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表1 规划指标" sheetId="70" r:id="rId41"/>
    <sheet name="指标" sheetId="68" state="hidden" r:id="rId42"/>
    <sheet name="土地案例" sheetId="69"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5区东建筑面积">#REF!</definedName>
    <definedName name="_5区建筑面积">#REF!</definedName>
    <definedName name="_5区西建筑面积">#REF!</definedName>
    <definedName name="_8_8">EVALUATE+#REF!</definedName>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bb">#REF!</definedName>
    <definedName name="cc">#REF!</definedName>
    <definedName name="growth">#REF!</definedName>
    <definedName name="_xlnm.Print_Area" localSheetId="40">'表1 规划指标'!$A$1:$W$45</definedName>
    <definedName name="阿瑟">'[1]5201.2004'!$A$1:$I$24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半地下室1" localSheetId="40">[2]主要规划指标!#REF!</definedName>
    <definedName name="半地下室1">[3]主要规划指标!#REF!</definedName>
    <definedName name="半地下室2" localSheetId="40">[2]主要规划指标!#REF!</definedName>
    <definedName name="半地下室2">[3]主要规划指标!#REF!</definedName>
    <definedName name="半地下室3" localSheetId="40">[2]主要规划指标!#REF!</definedName>
    <definedName name="半地下室3">[3]主要规划指标!#REF!</definedName>
    <definedName name="半地下室4" localSheetId="40">[2]主要规划指标!#REF!</definedName>
    <definedName name="半地下室4">[3]主要规划指标!#REF!</definedName>
    <definedName name="半地下室5" localSheetId="40">[2]主要规划指标!#REF!</definedName>
    <definedName name="半地下室5">[3]主要规划指标!#REF!</definedName>
    <definedName name="半地下室6" localSheetId="40">[2]主要规划指标!#REF!</definedName>
    <definedName name="半地下室6">[3]主要规划指标!#REF!</definedName>
    <definedName name="半地下室7" localSheetId="40">[2]主要规划指标!#REF!</definedName>
    <definedName name="半地下室7">[3]主要规划指标!#REF!</definedName>
    <definedName name="半地下室8" localSheetId="40">[2]主要规划指标!#REF!</definedName>
    <definedName name="半地下室8">[3]主要规划指标!#REF!</definedName>
    <definedName name="比例">#REF!</definedName>
    <definedName name="采购方式">[4]其他值列表!$B$2:$B$4</definedName>
    <definedName name="采购类别">[4]采购类别!$A$1:$A$65536</definedName>
    <definedName name="采购模式">[4]其他值列表!$A$2:$A$5</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操作">[4]其他值列表!$F$2:$F$4</definedName>
    <definedName name="产品成本分摊表">#REF!</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大型商场面积" localSheetId="40">[2]主要规划指标!#REF!</definedName>
    <definedName name="大型商场面积">[3]主要规划指标!#REF!</definedName>
    <definedName name="单价内涵">定义!$V$1:$V$3</definedName>
    <definedName name="单位">[4]其他值列表!$E$2:$E$41</definedName>
    <definedName name="道路占有率1" localSheetId="40">[2]主要规划指标!#REF!</definedName>
    <definedName name="道路占有率1">[3]主要规划指标!#REF!</definedName>
    <definedName name="底商">EVALUATE+#REF!</definedName>
    <definedName name="地类判定">定义!$H$1:$H$9</definedName>
    <definedName name="地面停车位1" localSheetId="40">[2]主要规划指标!#REF!</definedName>
    <definedName name="地面停车位1">[3]主要规划指标!#REF!</definedName>
    <definedName name="地面停车位2" localSheetId="40">[2]主要规划指标!#REF!</definedName>
    <definedName name="地面停车位2">[3]主要规划指标!#REF!</definedName>
    <definedName name="地面停车位3" localSheetId="40">[2]主要规划指标!#REF!</definedName>
    <definedName name="地面停车位3">[3]主要规划指标!#REF!</definedName>
    <definedName name="地面停车位4" localSheetId="40">[2]主要规划指标!#REF!</definedName>
    <definedName name="地面停车位4">[3]主要规划指标!#REF!</definedName>
    <definedName name="地面停车位5" localSheetId="40">[2]主要规划指标!#REF!</definedName>
    <definedName name="地面停车位5">[3]主要规划指标!#REF!</definedName>
    <definedName name="地面停车位6" localSheetId="40">[2]主要规划指标!#REF!</definedName>
    <definedName name="地面停车位6">[3]主要规划指标!#REF!</definedName>
    <definedName name="地面停车位7" localSheetId="40">[2]主要规划指标!#REF!</definedName>
    <definedName name="地面停车位7">[3]主要规划指标!#REF!</definedName>
    <definedName name="地面停车位8" localSheetId="40">[2]主要规划指标!#REF!</definedName>
    <definedName name="地面停车位8">[3]主要规划指标!#REF!</definedName>
    <definedName name="地下室">[3]主要规划指标!#REF!</definedName>
    <definedName name="地下室面积" localSheetId="40">[2]主要规划指标!#REF!</definedName>
    <definedName name="地下室面积">[3]主要规划指标!#REF!</definedName>
    <definedName name="地下室总面积" localSheetId="40">[2]主要规划指标!#REF!</definedName>
    <definedName name="地下室总面积">[3]主要规划指标!#REF!</definedName>
    <definedName name="多层建筑面积" localSheetId="40">[2]主要规划指标!#REF!</definedName>
    <definedName name="多层建筑面积">[3]主要规划指标!#REF!</definedName>
    <definedName name="多层建筑面积1" localSheetId="40">[2]主要规划指标!#REF!</definedName>
    <definedName name="多层建筑面积1">[3]主要规划指标!#REF!</definedName>
    <definedName name="多层建筑面积2" localSheetId="40">[2]主要规划指标!#REF!</definedName>
    <definedName name="多层建筑面积2">[3]主要规划指标!#REF!</definedName>
    <definedName name="多层建筑面积3" localSheetId="40">[2]主要规划指标!#REF!</definedName>
    <definedName name="多层建筑面积3">[3]主要规划指标!#REF!</definedName>
    <definedName name="多层建筑面积4" localSheetId="40">[2]主要规划指标!#REF!</definedName>
    <definedName name="多层建筑面积4">[3]主要规划指标!#REF!</definedName>
    <definedName name="多层建筑面积5" localSheetId="40">[2]主要规划指标!#REF!</definedName>
    <definedName name="多层建筑面积5">[3]主要规划指标!#REF!</definedName>
    <definedName name="多层建筑面积6" localSheetId="40">[2]主要规划指标!#REF!</definedName>
    <definedName name="多层建筑面积6">[3]主要规划指标!#REF!</definedName>
    <definedName name="多层建筑面积7" localSheetId="40">[2]主要规划指标!#REF!</definedName>
    <definedName name="多层建筑面积7">[3]主要规划指标!#REF!</definedName>
    <definedName name="多层建筑面积8" localSheetId="40">[2]主要规划指标!#REF!</definedName>
    <definedName name="多层建筑面积8">[3]主要规划指标!#REF!</definedName>
    <definedName name="多层面积">[5]主要规划指标!$D$9</definedName>
    <definedName name="二级">区片价!$J$1:$J$20</definedName>
    <definedName name="二级分类">修正!$C$17:$C$39</definedName>
    <definedName name="二期环境面积">[6]基本参数!$C$15</definedName>
    <definedName name="二期可售面积">[6]成本估算!$C$6</definedName>
    <definedName name="法定最高年限">定义!$G$2:$G$4</definedName>
    <definedName name="非人防地下室" localSheetId="40">[2]主要规划指标!#REF!</definedName>
    <definedName name="非人防地下室">[3]主要规划指标!#REF!</definedName>
    <definedName name="各产品类型目标成本表">#REF!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面积" localSheetId="40">[2]主要规划指标!#REF!</definedName>
    <definedName name="公建配套面积">[3]主要规划指标!#REF!</definedName>
    <definedName name="估价方法">定义!$B$1:$B$50</definedName>
    <definedName name="管理用房面积" localSheetId="40">[2]主要规划指标!#REF!</definedName>
    <definedName name="管理用房面积">[3]主要规划指标!#REF!</definedName>
    <definedName name="合作方式">[4]其他值列表!$C$2:$C$4</definedName>
    <definedName name="户数1" localSheetId="40">[2]主要规划指标!#REF!</definedName>
    <definedName name="户数1">[3]主要规划指标!#REF!</definedName>
    <definedName name="环境">定义!$S$1:$S$6</definedName>
    <definedName name="会所面积" localSheetId="40">[2]主要规划指标!#REF!</definedName>
    <definedName name="会所面积">[3]主要规划指标!#REF!</definedName>
    <definedName name="基础设施水平">定义!$R$1:$R$6</definedName>
    <definedName name="计容积率面积" localSheetId="40">[2]主要规划指标!#REF!</definedName>
    <definedName name="计容积率面积">[3]主要规划指标!#REF!</definedName>
    <definedName name="季度">基准地价!$N$19:$AG$19</definedName>
    <definedName name="季度2014">地价!$A$2:$A$22</definedName>
    <definedName name="价值类型2">定义!$B$54:$B$56</definedName>
    <definedName name="架空层面积">[5]主要规划指标!$D$24</definedName>
    <definedName name="架空层面积1" localSheetId="40">[2]主要规划指标!#REF!</definedName>
    <definedName name="架空层面积1">[3]主要规划指标!#REF!</definedName>
    <definedName name="架空层面积2" localSheetId="40">[2]主要规划指标!#REF!</definedName>
    <definedName name="架空层面积2">[3]主要规划指标!#REF!</definedName>
    <definedName name="架空层面积3" localSheetId="40">[2]主要规划指标!#REF!</definedName>
    <definedName name="架空层面积3">[3]主要规划指标!#REF!</definedName>
    <definedName name="架空层面积4" localSheetId="40">[2]主要规划指标!#REF!</definedName>
    <definedName name="架空层面积4">[3]主要规划指标!#REF!</definedName>
    <definedName name="架空层面积5" localSheetId="40">[2]主要规划指标!#REF!</definedName>
    <definedName name="架空层面积5">[3]主要规划指标!#REF!</definedName>
    <definedName name="架空层面积6" localSheetId="40">[2]主要规划指标!#REF!</definedName>
    <definedName name="架空层面积6">[3]主要规划指标!#REF!</definedName>
    <definedName name="架空层面积7" localSheetId="40">[2]主要规划指标!#REF!</definedName>
    <definedName name="架空层面积7">[3]主要规划指标!#REF!</definedName>
    <definedName name="架空层面积8" localSheetId="40">[2]主要规划指标!#REF!</definedName>
    <definedName name="架空层面积8">[3]主要规划指标!#REF!</definedName>
    <definedName name="建筑覆盖率1" localSheetId="40">[2]主要规划指标!#REF!</definedName>
    <definedName name="建筑覆盖率1">[3]主要规划指标!#REF!</definedName>
    <definedName name="建筑面积" localSheetId="40">[2]主要规划指标!#REF!</definedName>
    <definedName name="建筑面积">[3]主要规划指标!#REF!</definedName>
    <definedName name="交通便捷度">定义!$O$1:$O$6</definedName>
    <definedName name="九级">区片价!$Q$1:$Q$46</definedName>
    <definedName name="酒店面积" localSheetId="40">[2]主要规划指标!#REF!</definedName>
    <definedName name="酒店面积">[3]主要规划指标!#REF!</definedName>
    <definedName name="居住社区成熟度">定义!$K$1:$K$6</definedName>
    <definedName name="据" localSheetId="40">[2]主要规划指标!#REF!</definedName>
    <definedName name="据">[3]主要规划指标!#REF!</definedName>
    <definedName name="开间费">#REF!</definedName>
    <definedName name="科目余额表">#REF!</definedName>
    <definedName name="可销售面积">[5]主要规划指标!$D$16</definedName>
    <definedName name="可销售面积1" localSheetId="40">[2]主要规划指标!#REF!</definedName>
    <definedName name="可销售面积1">[3]主要规划指标!#REF!</definedName>
    <definedName name="可销售面积2" localSheetId="40">[2]主要规划指标!#REF!</definedName>
    <definedName name="可销售面积2">[3]主要规划指标!#REF!</definedName>
    <definedName name="可销售面积3" localSheetId="40">[2]主要规划指标!#REF!</definedName>
    <definedName name="可销售面积3">[3]主要规划指标!#REF!</definedName>
    <definedName name="可研销售面积" localSheetId="40">[2]主要规划指标!#REF!</definedName>
    <definedName name="可研销售面积">[3]主要规划指标!#REF!</definedName>
    <definedName name="栏杆价格明细">EVALUATE+#REF!</definedName>
    <definedName name="类别">定义!$J$1:$J$3</definedName>
    <definedName name="利息总额">#REF!</definedName>
    <definedName name="连廊面积" localSheetId="40">[2]主要规划指标!#REF!</definedName>
    <definedName name="连廊面积">[3]主要规划指标!#REF!</definedName>
    <definedName name="联排别墅">#REF!</definedName>
    <definedName name="临街状况">定义!$T$1:$T$5</definedName>
    <definedName name="六级">区片价!$N$1:$N$49</definedName>
    <definedName name="绿地率" localSheetId="40">[2]主要规划指标!#REF!</definedName>
    <definedName name="绿地率">[3]主要规划指标!#REF!</definedName>
    <definedName name="绿地率1" localSheetId="40">[2]主要规划指标!#REF!</definedName>
    <definedName name="绿地率1">[3]主要规划指标!#REF!</definedName>
    <definedName name="绿地率2" localSheetId="40">[2]主要规划指标!#REF!</definedName>
    <definedName name="绿地率2">[3]主要规划指标!#REF!</definedName>
    <definedName name="绿地率3" localSheetId="40">[2]主要规划指标!#REF!</definedName>
    <definedName name="绿地率3">[3]主要规划指标!#REF!</definedName>
    <definedName name="绿地率4" localSheetId="40">[2]主要规划指标!#REF!</definedName>
    <definedName name="绿地率4">[3]主要规划指标!#REF!</definedName>
    <definedName name="绿地率5" localSheetId="40">[2]主要规划指标!#REF!</definedName>
    <definedName name="绿地率5">[3]主要规划指标!#REF!</definedName>
    <definedName name="绿地率6" localSheetId="40">[2]主要规划指标!#REF!</definedName>
    <definedName name="绿地率6">[3]主要规划指标!#REF!</definedName>
    <definedName name="绿地率7" localSheetId="40">[2]主要规划指标!#REF!</definedName>
    <definedName name="绿地率7">[3]主要规划指标!#REF!</definedName>
    <definedName name="绿地率8" localSheetId="40">[2]主要规划指标!#REF!</definedName>
    <definedName name="绿地率8">[3]主要规划指标!#REF!</definedName>
    <definedName name="面积">#REF!</definedName>
    <definedName name="内部装修维护情况">定义!$U$1:$U$6</definedName>
    <definedName name="内街商铺面积" localSheetId="40">[2]主要规划指标!#REF!</definedName>
    <definedName name="内街商铺面积">[3]主要规划指标!#REF!</definedName>
    <definedName name="排水管线">[7]基础数据!$AB$2:$AB$10</definedName>
    <definedName name="判定">定义!$D$1:$D$4</definedName>
    <definedName name="普通多层">EVALUATE+#REF!</definedName>
    <definedName name="七级">区片价!$O$1:$O$49</definedName>
    <definedName name="七通一平">修正!$A$6:$A$14</definedName>
    <definedName name="区域土地利用方向">定义!$P$1:$P$6</definedName>
    <definedName name="全项目动态成本表">#REF!</definedName>
    <definedName name="人防地下室" localSheetId="40">[2]主要规划指标!#REF!</definedName>
    <definedName name="人防地下室">[3]主要规划指标!#REF!</definedName>
    <definedName name="人防地下室1" localSheetId="40">[2]主要规划指标!#REF!</definedName>
    <definedName name="人防地下室1">[3]主要规划指标!#REF!</definedName>
    <definedName name="人防地下室2" localSheetId="40">[2]主要规划指标!#REF!</definedName>
    <definedName name="人防地下室2">[3]主要规划指标!#REF!</definedName>
    <definedName name="人防地下室3" localSheetId="40">[2]主要规划指标!#REF!</definedName>
    <definedName name="人防地下室3">[3]主要规划指标!#REF!</definedName>
    <definedName name="人防地下室4" localSheetId="40">[2]主要规划指标!#REF!</definedName>
    <definedName name="人防地下室4">[3]主要规划指标!#REF!</definedName>
    <definedName name="人防地下室5" localSheetId="40">[2]主要规划指标!#REF!</definedName>
    <definedName name="人防地下室5">[3]主要规划指标!#REF!</definedName>
    <definedName name="人防地下室6" localSheetId="40">[2]主要规划指标!#REF!</definedName>
    <definedName name="人防地下室6">[3]主要规划指标!#REF!</definedName>
    <definedName name="人防地下室7" localSheetId="40">[2]主要规划指标!#REF!</definedName>
    <definedName name="人防地下室7">[3]主要规划指标!#REF!</definedName>
    <definedName name="人防地下室8" localSheetId="40">[2]主要规划指标!#REF!</definedName>
    <definedName name="人防地下室8">[3]主要规划指标!#REF!</definedName>
    <definedName name="容" localSheetId="40">[2]主要规划指标!#REF!</definedName>
    <definedName name="容">[3]主要规划指标!#REF!</definedName>
    <definedName name="容积率" localSheetId="40">[2]主要规划指标!#REF!</definedName>
    <definedName name="容积率">[3]主要规划指标!#REF!</definedName>
    <definedName name="容积率1" localSheetId="40">[2]主要规划指标!#REF!</definedName>
    <definedName name="容积率1">[3]主要规划指标!#REF!</definedName>
    <definedName name="容积率2" localSheetId="40">[2]主要规划指标!#REF!</definedName>
    <definedName name="容积率2">[3]主要规划指标!#REF!</definedName>
    <definedName name="三级">区片价!$K$1:$K$21</definedName>
    <definedName name="商场1" localSheetId="40">[2]主要规划指标!#REF!</definedName>
    <definedName name="商场1">[3]主要规划指标!#REF!</definedName>
    <definedName name="商铺">[5]主要规划指标!$D$12</definedName>
    <definedName name="商铺1" localSheetId="40">[2]主要规划指标!#REF!</definedName>
    <definedName name="商铺1">[3]主要规划指标!#REF!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面积" localSheetId="40">[2]主要规划指标!#REF!</definedName>
    <definedName name="商业面积">[3]主要规划指标!#REF!</definedName>
    <definedName name="商业面积1" localSheetId="40">[2]主要规划指标!#REF!</definedName>
    <definedName name="商业面积1">[3]主要规划指标!#REF!</definedName>
    <definedName name="商业面积4" localSheetId="40">[2]主要规划指标!#REF!</definedName>
    <definedName name="商业面积4">[3]主要规划指标!#REF!</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室内装修价格明细">EVALUATE+#REF!</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外廊架空层面积" localSheetId="40">[2]主要规划指标!#REF!</definedName>
    <definedName name="外廊架空层面积">[3]主要规划指标!#REF!</definedName>
    <definedName name="外廊商铺面积" localSheetId="40">[2]主要规划指标!#REF!</definedName>
    <definedName name="外廊商铺面积">[3]主要规划指标!#REF!</definedName>
    <definedName name="外墙装饰">[7]基础数据!$O$2:$O$8</definedName>
    <definedName name="位置">定义!$E$2:$E$4</definedName>
    <definedName name="五等判定">定义!$W$1:$W$6</definedName>
    <definedName name="五级">区片价!$M$1:$M$35</definedName>
    <definedName name="项目分期">[4]项目分期!$A$1:$A$65536</definedName>
    <definedName name="项目类型">'数据-汇总表'!$C$17:$C$26</definedName>
    <definedName name="小高层建筑面积" localSheetId="40">[2]主要规划指标!#REF!</definedName>
    <definedName name="小高层建筑面积">[3]主要规划指标!#REF!</definedName>
    <definedName name="小高层建筑面积1" localSheetId="40">[2]主要规划指标!#REF!</definedName>
    <definedName name="小高层建筑面积1">[3]主要规划指标!#REF!</definedName>
    <definedName name="小高层建筑面积2" localSheetId="40">[2]主要规划指标!#REF!</definedName>
    <definedName name="小高层建筑面积2">[3]主要规划指标!#REF!</definedName>
    <definedName name="小高层建筑面积3" localSheetId="40">[2]主要规划指标!#REF!</definedName>
    <definedName name="小高层建筑面积3">[3]主要规划指标!#REF!</definedName>
    <definedName name="小高层建筑面积4" localSheetId="40">[2]主要规划指标!#REF!</definedName>
    <definedName name="小高层建筑面积4">[3]主要规划指标!#REF!</definedName>
    <definedName name="小高层建筑面积5" localSheetId="40">[2]主要规划指标!#REF!</definedName>
    <definedName name="小高层建筑面积5">[3]主要规划指标!#REF!</definedName>
    <definedName name="小高层建筑面积6" localSheetId="40">[2]主要规划指标!#REF!</definedName>
    <definedName name="小高层建筑面积6">[3]主要规划指标!#REF!</definedName>
    <definedName name="小高层建筑面积7" localSheetId="40">[2]主要规划指标!#REF!</definedName>
    <definedName name="小高层建筑面积7">[3]主要规划指标!#REF!</definedName>
    <definedName name="小高层建筑面积8" localSheetId="40">[2]主要规划指标!#REF!</definedName>
    <definedName name="小高层建筑面积8">[3]主要规划指标!#REF!</definedName>
    <definedName name="小高层面积">[5]主要规划指标!$D$10</definedName>
    <definedName name="小学面积" localSheetId="40">[2]主要规划指标!#REF!</definedName>
    <definedName name="小学面积">[3]主要规划指标!#REF!</definedName>
    <definedName name="小学面积4" localSheetId="40">[2]主要规划指标!#REF!</definedName>
    <definedName name="小学面积4">[3]主要规划指标!#REF!</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#REF!</definedName>
    <definedName name="用途类型">定义!$A$1:$A$50</definedName>
    <definedName name="有无电梯">'不动产比较法-仓储'!$B$84:$M$84</definedName>
    <definedName name="幼儿园面积" localSheetId="40">[2]主要规划指标!#REF!</definedName>
    <definedName name="幼儿园面积">[3]主要规划指标!#REF!</definedName>
    <definedName name="预控占地面积" localSheetId="40">[2]主要规划指标!#REF!</definedName>
    <definedName name="预控占地面积">[3]主要规划指标!#REF!</definedName>
    <definedName name="预控占地面积之一" localSheetId="40">[2]主要规划指标!#REF!</definedName>
    <definedName name="预控占地面积之一">[3]主要规划指标!#REF!</definedName>
    <definedName name="责任人">[4]责任人!$A$1:$A$65536</definedName>
    <definedName name="占地面积" localSheetId="40">[2]主要规划指标!#REF!</definedName>
    <definedName name="占地面积">[3]主要规划指标!#REF!</definedName>
    <definedName name="中高层建筑面积1" localSheetId="40">[2]主要规划指标!#REF!</definedName>
    <definedName name="中高层建筑面积1">[3]主要规划指标!#REF!</definedName>
    <definedName name="中高层建筑面积2">[8]主要规划指标!$D$12</definedName>
    <definedName name="中高层建筑面积3">[8]主要规划指标!$E$12</definedName>
    <definedName name="中高层面积">[5]主要规划指标!$D$11</definedName>
    <definedName name="主题商业面积" localSheetId="40">[2]主要规划指标!#REF!</definedName>
    <definedName name="主题商业面积">[3]主要规划指标!#REF!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0">[2]主要规划指标!#REF!</definedName>
    <definedName name="住宅面积">[3]主要规划指标!#REF!</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住宅转换层面积" localSheetId="40">[2]主要规划指标!#REF!</definedName>
    <definedName name="住宅转换层面积">[3]主要规划指标!#REF!</definedName>
    <definedName name="注册房地产估价师">估价师及机构信息!$A$3:$A$24</definedName>
    <definedName name="总的商业面积" localSheetId="40">[2]主要规划指标!#REF!</definedName>
    <definedName name="总的商业面积">[3]主要规划指标!#REF!</definedName>
    <definedName name="总建筑面积">[6]成本估算!$B$6</definedName>
    <definedName name="总商业面积" localSheetId="40">[2]主要规划指标!#REF!</definedName>
    <definedName name="总商业面积">[3]主要规划指标!#REF!</definedName>
  </definedNames>
  <calcPr calcId="145621"/>
</workbook>
</file>

<file path=xl/calcChain.xml><?xml version="1.0" encoding="utf-8"?>
<calcChain xmlns="http://schemas.openxmlformats.org/spreadsheetml/2006/main">
  <c r="E10" i="12" l="1"/>
  <c r="D10" i="12"/>
  <c r="C10" i="12"/>
  <c r="J50" i="70"/>
  <c r="I50" i="70"/>
  <c r="G50" i="70"/>
  <c r="I49" i="70"/>
  <c r="J49" i="70" s="1"/>
  <c r="G49" i="70"/>
  <c r="U45" i="70"/>
  <c r="S45" i="70"/>
  <c r="Q45" i="70"/>
  <c r="K45" i="70"/>
  <c r="E45" i="70"/>
  <c r="D4" i="70" s="1"/>
  <c r="W44" i="70"/>
  <c r="V44" i="70"/>
  <c r="V45" i="70" s="1"/>
  <c r="U44" i="70"/>
  <c r="T44" i="70"/>
  <c r="S44" i="70"/>
  <c r="R44" i="70"/>
  <c r="R45" i="70" s="1"/>
  <c r="Q44" i="70"/>
  <c r="N44" i="70"/>
  <c r="L44" i="70"/>
  <c r="L45" i="70" s="1"/>
  <c r="K44" i="70"/>
  <c r="J44" i="70"/>
  <c r="J45" i="70" s="1"/>
  <c r="H44" i="70"/>
  <c r="H45" i="70" s="1"/>
  <c r="F44" i="70"/>
  <c r="F45" i="70" s="1"/>
  <c r="E44" i="70"/>
  <c r="M42" i="70"/>
  <c r="I42" i="70"/>
  <c r="E51" i="70" s="1"/>
  <c r="G51" i="70" s="1"/>
  <c r="M41" i="70"/>
  <c r="G41" i="70"/>
  <c r="P41" i="70" s="1"/>
  <c r="P40" i="70"/>
  <c r="M40" i="70"/>
  <c r="M39" i="70"/>
  <c r="G39" i="70"/>
  <c r="P39" i="70" s="1"/>
  <c r="P38" i="70"/>
  <c r="P33" i="70"/>
  <c r="M33" i="70"/>
  <c r="M32" i="70"/>
  <c r="G32" i="70"/>
  <c r="P32" i="70" s="1"/>
  <c r="W31" i="70"/>
  <c r="V31" i="70"/>
  <c r="U31" i="70"/>
  <c r="T31" i="70"/>
  <c r="S31" i="70"/>
  <c r="R31" i="70"/>
  <c r="Q31" i="70"/>
  <c r="P31" i="70"/>
  <c r="O31" i="70"/>
  <c r="L31" i="70"/>
  <c r="K31" i="70"/>
  <c r="J31" i="70"/>
  <c r="I31" i="70"/>
  <c r="H31" i="70"/>
  <c r="F31" i="70"/>
  <c r="E31" i="70"/>
  <c r="N21" i="70"/>
  <c r="M21" i="70" s="1"/>
  <c r="M31" i="70" s="1"/>
  <c r="G21" i="70"/>
  <c r="G31" i="70" s="1"/>
  <c r="V18" i="70"/>
  <c r="H4" i="70" s="1"/>
  <c r="U18" i="70"/>
  <c r="S18" i="70"/>
  <c r="R18" i="70"/>
  <c r="Q18" i="70"/>
  <c r="O18" i="70"/>
  <c r="N18" i="70"/>
  <c r="L18" i="70"/>
  <c r="K18" i="70"/>
  <c r="J18" i="70"/>
  <c r="H18" i="70"/>
  <c r="F18" i="70"/>
  <c r="E18" i="70"/>
  <c r="W16" i="70"/>
  <c r="V16" i="70"/>
  <c r="T16" i="70"/>
  <c r="M16" i="70"/>
  <c r="I16" i="70"/>
  <c r="G16" i="70"/>
  <c r="P16" i="70" s="1"/>
  <c r="V15" i="70"/>
  <c r="M15" i="70"/>
  <c r="I15" i="70"/>
  <c r="I18" i="70" s="1"/>
  <c r="I34" i="70" s="1"/>
  <c r="W14" i="70"/>
  <c r="W18" i="70" s="1"/>
  <c r="W45" i="70" s="1"/>
  <c r="V14" i="70"/>
  <c r="T14" i="70"/>
  <c r="T18" i="70" s="1"/>
  <c r="M14" i="70"/>
  <c r="M18" i="70" s="1"/>
  <c r="G14" i="70"/>
  <c r="F5" i="70"/>
  <c r="D5" i="70"/>
  <c r="L4" i="70"/>
  <c r="N5" i="70" s="1"/>
  <c r="L3" i="70"/>
  <c r="H2" i="70"/>
  <c r="H3" i="70" s="1"/>
  <c r="D2" i="70"/>
  <c r="D3" i="70" s="1"/>
  <c r="E120" i="39"/>
  <c r="F120" i="39" s="1"/>
  <c r="G120" i="39" s="1"/>
  <c r="H120" i="39" s="1"/>
  <c r="I120" i="39" s="1"/>
  <c r="D120" i="39"/>
  <c r="E73" i="39"/>
  <c r="F73" i="39" s="1"/>
  <c r="G73" i="39" s="1"/>
  <c r="H73" i="39" s="1"/>
  <c r="I73" i="39" s="1"/>
  <c r="J73" i="39" s="1"/>
  <c r="K73" i="39" s="1"/>
  <c r="L73" i="39" s="1"/>
  <c r="M73" i="39" s="1"/>
  <c r="N73" i="39" s="1"/>
  <c r="D73" i="39"/>
  <c r="I48" i="39"/>
  <c r="G48" i="39"/>
  <c r="E48" i="39"/>
  <c r="I40" i="39"/>
  <c r="G40" i="39"/>
  <c r="E40" i="39"/>
  <c r="C40" i="39"/>
  <c r="I13" i="39"/>
  <c r="G13" i="39"/>
  <c r="E13" i="39"/>
  <c r="C13" i="39"/>
  <c r="I9" i="39"/>
  <c r="G9" i="39"/>
  <c r="E9" i="39"/>
  <c r="I7" i="39"/>
  <c r="E7" i="39"/>
  <c r="G7" i="39"/>
  <c r="AL3" i="69"/>
  <c r="AL2" i="69"/>
  <c r="AL1" i="69"/>
  <c r="AL18" i="69"/>
  <c r="AL17" i="69"/>
  <c r="AL16" i="69"/>
  <c r="AL15" i="69"/>
  <c r="AL14" i="69"/>
  <c r="AL13" i="69"/>
  <c r="AL12" i="69"/>
  <c r="AL11" i="69"/>
  <c r="AL10" i="69"/>
  <c r="AL9" i="69"/>
  <c r="AL8" i="69"/>
  <c r="AL7" i="69"/>
  <c r="AL6" i="69"/>
  <c r="AL5" i="69"/>
  <c r="B29" i="1"/>
  <c r="O34" i="70" l="1"/>
  <c r="I44" i="70"/>
  <c r="I45" i="70" s="1"/>
  <c r="G34" i="70"/>
  <c r="P34" i="70" s="1"/>
  <c r="P44" i="70" s="1"/>
  <c r="N45" i="70"/>
  <c r="F4" i="70" s="1"/>
  <c r="T45" i="70"/>
  <c r="J2" i="70"/>
  <c r="J5" i="70" s="1"/>
  <c r="H5" i="70"/>
  <c r="N6" i="70"/>
  <c r="N31" i="70"/>
  <c r="N4" i="70"/>
  <c r="P14" i="70"/>
  <c r="G15" i="70"/>
  <c r="P15" i="70" s="1"/>
  <c r="G42" i="70"/>
  <c r="P42" i="70" s="1"/>
  <c r="G44" i="70"/>
  <c r="P45" i="70" l="1"/>
  <c r="F3" i="70"/>
  <c r="F6" i="70"/>
  <c r="G18" i="70"/>
  <c r="O44" i="70"/>
  <c r="O45" i="70" s="1"/>
  <c r="M34" i="70"/>
  <c r="M44" i="70" s="1"/>
  <c r="M45" i="70" s="1"/>
  <c r="P18" i="70"/>
  <c r="G45" i="70"/>
  <c r="F2" i="70" s="1"/>
  <c r="I8" i="1" l="1"/>
  <c r="I7" i="1"/>
  <c r="D3" i="4"/>
  <c r="AH5" i="59" l="1"/>
  <c r="AG5" i="59"/>
  <c r="AF5" i="59"/>
  <c r="AE5" i="59"/>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1" i="55"/>
  <c r="A10" i="55"/>
  <c r="A9" i="55"/>
  <c r="A8" i="55"/>
  <c r="A6" i="54"/>
  <c r="A8" i="54"/>
  <c r="A7" i="54"/>
  <c r="A27" i="51"/>
  <c r="D5" i="46" l="1"/>
  <c r="Q8" i="59" l="1"/>
  <c r="O8" i="59"/>
  <c r="N9" i="59"/>
  <c r="O9" i="59"/>
  <c r="P9" i="59"/>
  <c r="Q9" i="59"/>
  <c r="N8" i="59"/>
  <c r="P8" i="59"/>
  <c r="B12" i="67"/>
  <c r="F9" i="67"/>
  <c r="B13" i="67"/>
  <c r="B14" i="67"/>
  <c r="F10" i="67"/>
  <c r="B10" i="67"/>
  <c r="F12" i="67"/>
  <c r="F8" i="67"/>
  <c r="E8" i="67"/>
  <c r="F14" i="67"/>
  <c r="E13" i="67"/>
  <c r="F13" i="67"/>
  <c r="E9" i="67"/>
  <c r="B8" i="67"/>
  <c r="F11" i="67"/>
  <c r="E14" i="67"/>
  <c r="E10" i="67"/>
  <c r="B9" i="67"/>
  <c r="E12" i="67"/>
  <c r="E11" i="67"/>
  <c r="B11"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3" i="65" l="1"/>
  <c r="C1" i="65"/>
  <c r="N1" i="65" s="1"/>
  <c r="N7" i="65"/>
  <c r="H1" i="65" l="1"/>
  <c r="B76" i="63"/>
  <c r="I4" i="65"/>
  <c r="J5" i="65"/>
  <c r="N4" i="65"/>
  <c r="N5" i="65"/>
  <c r="I7" i="65"/>
  <c r="J6" i="65"/>
  <c r="N6" i="65"/>
  <c r="N3" i="65"/>
  <c r="J4" i="65"/>
  <c r="I3" i="65"/>
  <c r="I6" i="65"/>
  <c r="E20" i="46" l="1"/>
  <c r="C4" i="65"/>
  <c r="B39" i="1" s="1"/>
  <c r="J7" i="65"/>
  <c r="I5" i="65"/>
  <c r="J3"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5" i="59"/>
  <c r="X6"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AZ517" i="3" s="1"/>
  <c r="BA517" i="3"/>
  <c r="BL515" i="3"/>
  <c r="BA515" i="3"/>
  <c r="AZ515" i="3" s="1"/>
  <c r="BA514" i="3"/>
  <c r="BL513" i="3"/>
  <c r="BA513" i="3"/>
  <c r="AZ513" i="3" s="1"/>
  <c r="BL512" i="3"/>
  <c r="AZ512" i="3" s="1"/>
  <c r="BA511" i="3"/>
  <c r="AZ511" i="3" s="1"/>
  <c r="BA510" i="3"/>
  <c r="AZ510" i="3" s="1"/>
  <c r="BL509" i="3"/>
  <c r="AZ509" i="3" s="1"/>
  <c r="BL507" i="3"/>
  <c r="AZ507" i="3" s="1"/>
  <c r="BA507" i="3"/>
  <c r="BL506" i="3"/>
  <c r="BA506" i="3"/>
  <c r="AZ506" i="3" s="1"/>
  <c r="BL505" i="3"/>
  <c r="AZ505" i="3" s="1"/>
  <c r="BL504" i="3"/>
  <c r="BA504" i="3"/>
  <c r="BA503" i="3"/>
  <c r="AZ503" i="3" s="1"/>
  <c r="BA500" i="3"/>
  <c r="AZ500" i="3" s="1"/>
  <c r="BL499" i="3"/>
  <c r="AZ499" i="3" s="1"/>
  <c r="BA499" i="3"/>
  <c r="BL498" i="3"/>
  <c r="AZ498" i="3"/>
  <c r="BL497" i="3"/>
  <c r="BA497" i="3"/>
  <c r="AZ497" i="3" s="1"/>
  <c r="BL496" i="3"/>
  <c r="BA496" i="3"/>
  <c r="AZ496" i="3" s="1"/>
  <c r="BA495" i="3"/>
  <c r="AZ495" i="3" s="1"/>
  <c r="BL494" i="3"/>
  <c r="BA494" i="3"/>
  <c r="AZ494" i="3"/>
  <c r="G494" i="3"/>
  <c r="BA491" i="3"/>
  <c r="AZ491" i="3" s="1"/>
  <c r="BL490" i="3"/>
  <c r="AZ490" i="3" s="1"/>
  <c r="BA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54" i="3"/>
  <c r="B41" i="1"/>
  <c r="F27" i="43" s="1"/>
  <c r="J42" i="40"/>
  <c r="AC42" i="40" s="1"/>
  <c r="J40" i="40"/>
  <c r="AC40" i="40" s="1"/>
  <c r="J34" i="40"/>
  <c r="AC34" i="40" s="1"/>
  <c r="H16" i="40"/>
  <c r="AB16" i="40" s="1"/>
  <c r="H14" i="40"/>
  <c r="U14" i="40" s="1"/>
  <c r="F32" i="40"/>
  <c r="AA32" i="40" s="1"/>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72" i="9"/>
  <c r="AC14" i="40"/>
  <c r="S33" i="40"/>
  <c r="AC47" i="39"/>
  <c r="S47"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33" i="36"/>
  <c r="AA11" i="36"/>
  <c r="S14" i="35"/>
  <c r="G99" i="37"/>
  <c r="F33" i="37" s="1"/>
  <c r="AB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AA39" i="39"/>
  <c r="U34" i="39"/>
  <c r="AB46" i="39"/>
  <c r="F80" i="35"/>
  <c r="G80" i="35" s="1"/>
  <c r="H80" i="35" s="1"/>
  <c r="I80" i="35" s="1"/>
  <c r="J80" i="35" s="1"/>
  <c r="K80" i="35" s="1"/>
  <c r="L80" i="35" s="1"/>
  <c r="M80" i="35" s="1"/>
  <c r="W14" i="35"/>
  <c r="F90" i="34"/>
  <c r="G90" i="34" s="1"/>
  <c r="H90" i="34" s="1"/>
  <c r="I90" i="34" s="1"/>
  <c r="J90" i="34" s="1"/>
  <c r="K90" i="34" s="1"/>
  <c r="L90" i="34" s="1"/>
  <c r="M90" i="34" s="1"/>
  <c r="F27" i="34"/>
  <c r="S27" i="34" s="1"/>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AA43" i="39" l="1"/>
  <c r="AC43" i="39"/>
  <c r="AB44" i="39"/>
  <c r="AA33" i="39"/>
  <c r="AC33" i="39"/>
  <c r="U27" i="39"/>
  <c r="AB25" i="39"/>
  <c r="S23" i="39"/>
  <c r="AB17" i="39"/>
  <c r="S17" i="39"/>
  <c r="W14" i="39"/>
  <c r="F66" i="9"/>
  <c r="P72" i="9" s="1"/>
  <c r="F71" i="9"/>
  <c r="U27" i="33"/>
  <c r="AB27" i="33"/>
  <c r="W27" i="34"/>
  <c r="AC27" i="34"/>
  <c r="AB36" i="35"/>
  <c r="U36" i="35"/>
  <c r="AC26" i="37"/>
  <c r="W26" i="37"/>
  <c r="J17" i="40"/>
  <c r="F86" i="40"/>
  <c r="G86" i="40" s="1"/>
  <c r="AZ392" i="3"/>
  <c r="AZ397" i="3"/>
  <c r="AZ408" i="3"/>
  <c r="AZ413" i="3"/>
  <c r="AZ424" i="3"/>
  <c r="AZ437" i="3"/>
  <c r="AZ484" i="3"/>
  <c r="AC9" i="33"/>
  <c r="W9" i="33"/>
  <c r="S28" i="34"/>
  <c r="AA28" i="34"/>
  <c r="U45" i="33"/>
  <c r="AB45" i="33"/>
  <c r="U27" i="37"/>
  <c r="AB27" i="37"/>
  <c r="AZ405" i="3"/>
  <c r="AZ420" i="3"/>
  <c r="AC13" i="40"/>
  <c r="U11" i="36"/>
  <c r="AB29" i="39"/>
  <c r="AA34" i="33"/>
  <c r="AB23" i="40"/>
  <c r="W15" i="39"/>
  <c r="AA29" i="35"/>
  <c r="AB38" i="34"/>
  <c r="H100" i="40"/>
  <c r="I100" i="40" s="1"/>
  <c r="J100" i="40" s="1"/>
  <c r="K100" i="40" s="1"/>
  <c r="L100" i="40" s="1"/>
  <c r="M100" i="40" s="1"/>
  <c r="AB16" i="39"/>
  <c r="W27" i="39"/>
  <c r="AB32" i="40"/>
  <c r="W35" i="40"/>
  <c r="AB14" i="40"/>
  <c r="U31" i="37"/>
  <c r="AB44" i="33"/>
  <c r="AA23" i="37"/>
  <c r="AB43" i="33"/>
  <c r="AB44" i="21"/>
  <c r="AC28" i="33"/>
  <c r="S46" i="33"/>
  <c r="W42" i="21"/>
  <c r="AB30" i="21"/>
  <c r="S46" i="21"/>
  <c r="C29" i="39"/>
  <c r="U38" i="33"/>
  <c r="S33" i="33"/>
  <c r="U9" i="33"/>
  <c r="BI5" i="3"/>
  <c r="F9" i="33"/>
  <c r="AA9" i="33" s="1"/>
  <c r="J12" i="35"/>
  <c r="J36" i="35"/>
  <c r="F26" i="37"/>
  <c r="AA26" i="37" s="1"/>
  <c r="G15" i="3"/>
  <c r="G14" i="3"/>
  <c r="C18" i="9"/>
  <c r="D18" i="9" s="1"/>
  <c r="M44" i="9" s="1"/>
  <c r="AZ448" i="3"/>
  <c r="AZ468" i="3"/>
  <c r="AZ472" i="3"/>
  <c r="AZ206" i="3"/>
  <c r="AZ210" i="3"/>
  <c r="AZ222" i="3"/>
  <c r="AZ226" i="3"/>
  <c r="AZ238" i="3"/>
  <c r="AZ242" i="3"/>
  <c r="AZ254" i="3"/>
  <c r="AZ258" i="3"/>
  <c r="AZ269" i="3"/>
  <c r="AZ272" i="3"/>
  <c r="AZ285" i="3"/>
  <c r="AZ288" i="3"/>
  <c r="AZ296" i="3"/>
  <c r="AZ125" i="3"/>
  <c r="AZ128" i="3"/>
  <c r="AZ141" i="3"/>
  <c r="H5" i="3"/>
  <c r="A30" i="64"/>
  <c r="A30" i="51"/>
  <c r="AZ155" i="3"/>
  <c r="AZ168" i="3"/>
  <c r="AZ171" i="3"/>
  <c r="AZ186" i="3"/>
  <c r="AZ194" i="3"/>
  <c r="AZ33" i="3"/>
  <c r="AZ38" i="3"/>
  <c r="AZ49" i="3"/>
  <c r="AZ54" i="3"/>
  <c r="AZ64" i="3"/>
  <c r="G22" i="3"/>
  <c r="AZ80" i="3"/>
  <c r="AZ89" i="3"/>
  <c r="AZ100" i="3"/>
  <c r="AZ105" i="3"/>
  <c r="D1" i="57"/>
  <c r="E10" i="57" s="1"/>
  <c r="I21" i="57"/>
  <c r="AZ22" i="3"/>
  <c r="C10" i="15"/>
  <c r="C52" i="15"/>
  <c r="F6" i="1"/>
  <c r="AP6" i="1" s="1"/>
  <c r="G11" i="1"/>
  <c r="M22" i="44"/>
  <c r="F32" i="15"/>
  <c r="F59" i="15" s="1"/>
  <c r="F29" i="12"/>
  <c r="F70" i="9"/>
  <c r="D86" i="9"/>
  <c r="M20" i="44"/>
  <c r="F31" i="43"/>
  <c r="F30" i="44"/>
  <c r="C30" i="44" s="1"/>
  <c r="C27" i="43"/>
  <c r="C25" i="12"/>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1" i="46"/>
  <c r="H75"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26" i="15"/>
  <c r="L47" i="15"/>
  <c r="F11" i="44"/>
  <c r="M24" i="44"/>
  <c r="M8" i="15"/>
  <c r="M26" i="15"/>
  <c r="M28" i="44"/>
  <c r="J36" i="15"/>
  <c r="F28" i="44"/>
  <c r="F9" i="15"/>
  <c r="F42" i="15"/>
  <c r="F18" i="44"/>
  <c r="M6" i="15"/>
  <c r="M28" i="15"/>
  <c r="M23" i="15"/>
  <c r="M30" i="44"/>
  <c r="M9" i="15"/>
  <c r="M8" i="44"/>
  <c r="F16" i="15"/>
  <c r="F7" i="15"/>
  <c r="J15" i="15"/>
  <c r="L49" i="44"/>
  <c r="F13" i="15"/>
  <c r="M24" i="15"/>
  <c r="F15" i="44"/>
  <c r="F40" i="15"/>
  <c r="F38" i="44"/>
  <c r="M26" i="44"/>
  <c r="F39" i="44"/>
  <c r="F43" i="15"/>
  <c r="F10" i="44"/>
  <c r="F36" i="15"/>
  <c r="L48" i="15"/>
  <c r="J17" i="44"/>
  <c r="F37" i="15"/>
  <c r="F6" i="15"/>
  <c r="F45" i="44"/>
  <c r="L48" i="44"/>
  <c r="M22" i="15"/>
  <c r="F38" i="15"/>
  <c r="F8" i="15"/>
  <c r="F43" i="44"/>
  <c r="F8" i="44"/>
  <c r="M29" i="15"/>
  <c r="F9" i="44"/>
  <c r="F40" i="44"/>
  <c r="M31" i="44"/>
  <c r="M25" i="44"/>
  <c r="M10" i="44"/>
  <c r="M11" i="44"/>
  <c r="C16" i="46" l="1"/>
  <c r="C5" i="46" s="1"/>
  <c r="W12" i="35"/>
  <c r="AC12" i="35"/>
  <c r="AC36" i="35"/>
  <c r="W36" i="35"/>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C18" i="44"/>
  <c r="F41" i="15"/>
  <c r="M19" i="44"/>
  <c r="C16" i="15"/>
  <c r="M17" i="15"/>
  <c r="F33" i="44"/>
  <c r="F31" i="15"/>
  <c r="F46" i="44"/>
  <c r="F58" i="15"/>
  <c r="C29" i="46" l="1"/>
  <c r="E29" i="46"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M27" i="15"/>
  <c r="L52" i="44"/>
  <c r="M29" i="44"/>
  <c r="C30" i="46" l="1"/>
  <c r="E30" i="46" s="1"/>
  <c r="S7" i="37"/>
  <c r="G54" i="34"/>
  <c r="H54" i="34" s="1"/>
  <c r="U7" i="35"/>
  <c r="S6" i="46"/>
  <c r="T6" i="46" s="1"/>
  <c r="V6" i="46" s="1"/>
  <c r="S7" i="46"/>
  <c r="T7" i="46" s="1"/>
  <c r="V7" i="46" s="1"/>
  <c r="S4" i="46"/>
  <c r="T4" i="46" s="1"/>
  <c r="V4" i="46" s="1"/>
  <c r="S5" i="46"/>
  <c r="T5" i="46" s="1"/>
  <c r="V5" i="46" s="1"/>
  <c r="S2" i="46"/>
  <c r="T2" i="46" s="1"/>
  <c r="V2" i="46" s="1"/>
  <c r="S3" i="46"/>
  <c r="T3" i="46" s="1"/>
  <c r="V3" i="46" s="1"/>
  <c r="U7" i="34"/>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9" i="44"/>
  <c r="F7" i="67"/>
  <c r="C17" i="15"/>
  <c r="E4" i="67"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8" i="15" l="1"/>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D19" i="9"/>
  <c r="C44" i="44" l="1"/>
  <c r="C45" i="44" s="1"/>
  <c r="B2" i="44" s="1"/>
  <c r="B4" i="44" s="1"/>
  <c r="C30" i="15"/>
  <c r="C39" i="15" s="1"/>
  <c r="Q70" i="15" s="1"/>
  <c r="Q69" i="15" s="1"/>
  <c r="C58" i="15"/>
  <c r="C57" i="15" s="1"/>
  <c r="C66" i="15" s="1"/>
  <c r="C67" i="15" s="1"/>
  <c r="C70" i="15" s="1"/>
  <c r="Q70" i="44"/>
  <c r="Q49" i="44"/>
  <c r="Q55" i="44" s="1"/>
  <c r="Q58" i="44"/>
  <c r="Q64" i="44" s="1"/>
  <c r="B3" i="12"/>
  <c r="B4" i="12"/>
  <c r="L44" i="9"/>
  <c r="B5" i="12"/>
  <c r="B3" i="43"/>
  <c r="B5" i="43"/>
  <c r="B4" i="43"/>
  <c r="J9" i="40"/>
  <c r="F9" i="40"/>
  <c r="H9" i="40"/>
  <c r="J9" i="39"/>
  <c r="H9" i="39"/>
  <c r="F9" i="39"/>
  <c r="D20" i="9"/>
  <c r="D21" i="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<sst xmlns="http://schemas.openxmlformats.org/spreadsheetml/2006/main" count="7563" uniqueCount="3281">
  <si>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</si>
  <si>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</si>
  <si>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</si>
  <si>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</si>
  <si>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</si>
  <si>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</si>
  <si>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</si>
  <si>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</si>
  <si>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</si>
  <si>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</si>
  <si>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</si>
  <si>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</si>
  <si>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</si>
  <si>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</si>
  <si>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</si>
  <si>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</si>
  <si>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</si>
  <si>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</si>
  <si>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</si>
  <si>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</si>
  <si>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</si>
  <si>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</si>
  <si>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</si>
  <si>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</si>
  <si>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</si>
  <si>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</si>
  <si>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</si>
  <si>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</si>
  <si>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</si>
  <si>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</si>
  <si>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</si>
  <si>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</si>
  <si>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</si>
  <si>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</si>
  <si>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</si>
  <si>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</si>
  <si>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</si>
  <si>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</si>
  <si>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</si>
  <si>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</si>
  <si>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</si>
  <si>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</si>
  <si>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</si>
  <si>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</si>
  <si>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</si>
  <si>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</si>
  <si>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</si>
  <si>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</si>
  <si>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</si>
  <si>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</si>
  <si>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</si>
  <si>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</si>
  <si>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</si>
  <si>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</si>
  <si>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</si>
  <si>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</si>
  <si>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</si>
  <si>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</si>
  <si>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</si>
  <si>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</si>
  <si>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</si>
  <si>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</si>
  <si>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</si>
  <si>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</si>
  <si>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</si>
  <si>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</si>
  <si>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</si>
  <si>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</si>
  <si>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</si>
  <si>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</si>
  <si>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</si>
  <si>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</si>
  <si>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</si>
  <si>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</si>
  <si>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</si>
  <si>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</si>
  <si>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</si>
  <si>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</si>
  <si>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</si>
  <si>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</si>
  <si>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</si>
  <si>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</si>
  <si>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</si>
  <si>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</si>
  <si>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</si>
  <si>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</si>
  <si>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</si>
  <si>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</si>
  <si>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</si>
  <si>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</si>
  <si>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</si>
  <si>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</si>
  <si>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</si>
  <si>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</si>
  <si>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</si>
  <si>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</si>
  <si>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</si>
  <si>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</si>
  <si>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</si>
  <si>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</si>
  <si>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</si>
  <si>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</si>
  <si>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</si>
  <si>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</si>
  <si>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</si>
  <si>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</si>
  <si>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</si>
  <si>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</si>
  <si>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</si>
  <si>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</si>
  <si>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</si>
  <si>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</si>
  <si>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</si>
  <si>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</si>
  <si>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</si>
  <si>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</si>
  <si>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</si>
  <si>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</si>
  <si>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</si>
  <si>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</si>
  <si>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</si>
  <si>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</si>
  <si>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</si>
  <si>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</si>
  <si>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</si>
  <si>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</si>
  <si>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</si>
  <si>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</si>
  <si>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</si>
  <si>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</si>
  <si>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</si>
  <si>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</si>
  <si>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</si>
  <si>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</si>
  <si>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</si>
  <si>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</si>
  <si>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</si>
  <si>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</si>
  <si>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</si>
  <si>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</si>
  <si>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</si>
  <si>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</si>
  <si>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</si>
  <si>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</si>
  <si>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</si>
  <si>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</si>
  <si>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</si>
  <si>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</si>
  <si>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</si>
  <si>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</si>
  <si>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</si>
  <si>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</si>
  <si>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</si>
  <si>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</si>
  <si>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</si>
  <si>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</si>
  <si>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</si>
  <si>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</si>
  <si>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</si>
  <si>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</si>
  <si>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</si>
  <si>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</si>
  <si>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</si>
  <si>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</si>
  <si>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</si>
  <si>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</si>
  <si>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</si>
  <si>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</si>
  <si>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</si>
  <si>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</si>
  <si>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</si>
  <si>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</si>
  <si>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</si>
  <si>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</si>
  <si>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</si>
  <si>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</si>
  <si>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</si>
  <si>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</si>
  <si>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</si>
  <si>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</si>
  <si>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</si>
  <si>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</si>
  <si>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</si>
  <si>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</si>
  <si>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</si>
  <si>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</si>
  <si>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</si>
  <si>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</si>
  <si>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</si>
  <si>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</si>
  <si>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</si>
  <si>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</si>
  <si>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</si>
  <si>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</si>
  <si>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</si>
  <si>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</si>
  <si>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</si>
  <si>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</si>
  <si>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</si>
  <si>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</si>
  <si>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</si>
  <si>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</si>
  <si>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</si>
  <si>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</si>
  <si>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</si>
  <si>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</si>
  <si>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</si>
  <si>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</si>
  <si>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</si>
  <si>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</si>
  <si>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</si>
  <si>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</si>
  <si>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</si>
  <si>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</si>
  <si>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</si>
  <si>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</si>
  <si>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</si>
  <si>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</si>
  <si>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</si>
  <si>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</si>
  <si>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</si>
  <si>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</si>
  <si>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</si>
  <si>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</si>
  <si>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</si>
  <si>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</si>
  <si>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</si>
  <si>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</si>
  <si>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</si>
  <si>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</si>
  <si>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</si>
  <si>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</si>
  <si>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</si>
  <si>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</si>
  <si>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</si>
  <si>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</si>
  <si>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</si>
  <si>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</si>
  <si>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</si>
  <si>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</si>
  <si>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</si>
  <si>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</si>
  <si>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</si>
  <si>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</si>
  <si>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</si>
  <si>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</si>
  <si>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</si>
  <si>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</si>
  <si>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</si>
  <si>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</si>
  <si>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</si>
  <si>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</si>
  <si>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</si>
  <si>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</si>
  <si>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</si>
  <si>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</si>
  <si>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</si>
  <si>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</si>
  <si>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</si>
  <si>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</si>
  <si>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</si>
  <si>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</si>
  <si>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</si>
  <si>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</si>
  <si>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</si>
  <si>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</si>
  <si>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</si>
  <si>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</si>
  <si>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</si>
  <si>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</si>
  <si>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</si>
  <si>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</si>
  <si>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</si>
  <si>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</si>
  <si>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</si>
  <si>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</si>
  <si>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</si>
  <si>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</si>
  <si>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</si>
  <si>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</si>
  <si>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</si>
  <si>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</si>
  <si>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</si>
  <si>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</si>
  <si>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</si>
  <si>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</si>
  <si>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</si>
  <si>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</si>
  <si>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</si>
  <si>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</si>
  <si>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</si>
  <si>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</si>
  <si>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</si>
  <si>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</si>
  <si>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</si>
  <si>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</si>
  <si>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</si>
  <si>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</si>
  <si>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</si>
  <si>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</si>
  <si>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</si>
  <si>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</si>
  <si>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</si>
  <si>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</si>
  <si>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</si>
  <si>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</si>
  <si>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</si>
  <si>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</si>
  <si>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</si>
  <si>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</si>
  <si>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</si>
  <si>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</si>
  <si>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</si>
  <si>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</si>
  <si>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</si>
  <si>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</si>
  <si>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</si>
  <si>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</si>
  <si>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</si>
  <si>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</si>
  <si>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</si>
  <si>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</si>
  <si>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</si>
  <si>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</si>
  <si>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</si>
  <si>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</si>
  <si>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</si>
  <si>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</si>
  <si>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</si>
  <si>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</si>
  <si>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</si>
  <si>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</si>
  <si>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</si>
  <si>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</si>
  <si>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</si>
  <si>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</si>
  <si>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</si>
  <si>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</si>
  <si>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</si>
  <si>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</si>
  <si>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</si>
  <si>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</si>
  <si>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</si>
  <si>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</si>
  <si>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</si>
  <si>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</si>
  <si>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</si>
  <si>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</si>
  <si>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</si>
  <si>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</si>
  <si>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</si>
  <si>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</si>
  <si>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</si>
  <si>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</si>
  <si>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</si>
  <si>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</si>
  <si>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</si>
  <si>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</si>
  <si>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</si>
  <si>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</si>
  <si>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</si>
  <si>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</si>
  <si>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</si>
  <si>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</si>
  <si>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</si>
  <si>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</si>
  <si>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</si>
  <si>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</si>
  <si>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</si>
  <si>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</si>
  <si>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</si>
  <si>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</si>
  <si>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</si>
  <si>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</si>
  <si>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</si>
  <si>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</si>
  <si>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</si>
  <si>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</si>
  <si>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</si>
  <si>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</si>
  <si>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</si>
  <si>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</si>
  <si>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</si>
  <si>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</si>
  <si>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</si>
  <si>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</si>
  <si>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</si>
  <si>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</si>
  <si>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</si>
  <si>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</si>
  <si>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</si>
  <si>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</si>
  <si>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</si>
  <si>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</si>
  <si>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</si>
  <si>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</si>
  <si>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</si>
  <si>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</si>
  <si>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</si>
  <si>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</si>
  <si>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</si>
  <si>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</si>
  <si>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</si>
  <si>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</si>
  <si>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</si>
  <si>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</si>
  <si>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</si>
  <si>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</si>
  <si>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</si>
  <si>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</si>
  <si>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</si>
  <si>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</si>
  <si>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</si>
  <si>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</si>
  <si>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</si>
  <si>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</si>
  <si>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</si>
  <si>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</si>
  <si>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</si>
  <si>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</si>
  <si>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</si>
  <si>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</si>
  <si>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</si>
  <si>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</si>
  <si>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</si>
  <si>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</si>
  <si>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</si>
  <si>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</si>
  <si>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</si>
  <si>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</si>
  <si>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</si>
  <si>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</si>
  <si>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</si>
  <si>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</si>
  <si>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</si>
  <si>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</si>
  <si>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</si>
  <si>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</si>
  <si>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</si>
  <si>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</si>
  <si>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</si>
  <si>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</si>
  <si>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</si>
  <si>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</si>
  <si>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</si>
  <si>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</si>
  <si>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</si>
  <si>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</si>
  <si>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</si>
  <si>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</si>
  <si>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</si>
  <si>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</si>
  <si>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</si>
  <si>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</si>
  <si>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</si>
  <si>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</si>
  <si>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</si>
  <si>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</si>
  <si>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</si>
  <si>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</si>
  <si>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</si>
  <si>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</si>
  <si>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</si>
  <si>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</si>
  <si>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</si>
  <si>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</si>
  <si>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</si>
  <si>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</si>
  <si>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</si>
  <si>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</si>
  <si>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</si>
  <si>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</si>
  <si>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</si>
  <si>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</si>
  <si>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</si>
  <si>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</si>
  <si>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</si>
  <si>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</si>
  <si>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</si>
  <si>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</si>
  <si>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</si>
  <si>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</si>
  <si>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</si>
  <si>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</si>
  <si>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</si>
  <si>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</si>
  <si>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</si>
  <si>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</si>
  <si>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</si>
  <si>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</si>
  <si>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</si>
  <si>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</si>
  <si>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</si>
  <si>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</si>
  <si>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</si>
  <si>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</si>
  <si>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</si>
  <si>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</si>
  <si>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</si>
  <si>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</si>
  <si>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</si>
  <si>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</si>
  <si>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</si>
  <si>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</si>
  <si>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</si>
  <si>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</si>
  <si>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</si>
  <si>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</si>
  <si>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</si>
  <si>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</si>
  <si>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</si>
  <si>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</si>
  <si>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</si>
  <si>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</si>
  <si>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</si>
  <si>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</si>
  <si>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</si>
  <si>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</si>
  <si>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</si>
  <si>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</si>
  <si>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</si>
  <si>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</si>
  <si>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</si>
  <si>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</si>
  <si>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</si>
  <si>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</si>
  <si>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</si>
  <si>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</si>
  <si>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</si>
  <si>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</si>
  <si>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</si>
  <si>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</si>
  <si>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</si>
  <si>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</si>
  <si>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</si>
  <si>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</si>
  <si>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</si>
  <si>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</si>
  <si>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</si>
  <si>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</si>
  <si>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</si>
  <si>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</si>
  <si>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</si>
  <si>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</si>
  <si>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</si>
  <si>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</si>
  <si>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</si>
  <si>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</si>
  <si>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</si>
  <si>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</si>
  <si>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</si>
  <si>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</si>
  <si>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</si>
  <si>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</si>
  <si>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</si>
  <si>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</si>
  <si>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</si>
  <si>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</si>
  <si>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</si>
  <si>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</si>
  <si>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</si>
  <si>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</si>
  <si>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</si>
  <si>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</si>
  <si>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</si>
  <si>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</si>
  <si>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</si>
  <si>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</si>
  <si>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</si>
  <si>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</si>
  <si>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</si>
  <si>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</si>
  <si>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</si>
  <si>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</si>
  <si>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</si>
  <si>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</si>
  <si>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</si>
  <si>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</si>
  <si>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</si>
  <si>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</si>
  <si>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</si>
  <si>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</si>
  <si>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</si>
  <si>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</si>
  <si>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</si>
  <si>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</si>
  <si>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</si>
  <si>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</si>
  <si>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</si>
  <si>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</si>
  <si>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</si>
  <si>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</si>
  <si>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</si>
  <si>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</si>
  <si>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</si>
  <si>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</si>
  <si>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</si>
  <si>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</si>
  <si>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</si>
  <si>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</si>
  <si>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</si>
  <si>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</si>
  <si>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</si>
  <si>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</si>
  <si>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</si>
  <si>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</si>
  <si>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</si>
  <si>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</si>
  <si>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</si>
  <si>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</si>
  <si>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</si>
  <si>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</si>
  <si>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</si>
  <si>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</si>
  <si>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</si>
  <si>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</si>
  <si>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</si>
  <si>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</si>
  <si>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</si>
  <si>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</si>
  <si>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</si>
  <si>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</si>
  <si>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</si>
  <si>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</si>
  <si>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</si>
  <si>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</si>
  <si>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</si>
  <si>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</si>
  <si>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</si>
  <si>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</si>
  <si>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</si>
  <si>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</si>
  <si>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</si>
  <si>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</si>
  <si>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</si>
  <si>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</si>
  <si>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</si>
  <si>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</si>
  <si>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</si>
  <si>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</si>
  <si>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</si>
  <si>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</si>
  <si>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</si>
  <si>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</si>
  <si>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</si>
  <si>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</si>
  <si>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</si>
  <si>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</si>
  <si>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</si>
  <si>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</si>
  <si>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</si>
  <si>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</si>
  <si>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</si>
  <si>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</si>
  <si>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</si>
  <si>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</si>
  <si>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</si>
  <si>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</si>
  <si>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</si>
  <si>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</si>
  <si>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</si>
  <si>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</si>
  <si>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</si>
  <si>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</si>
  <si>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</si>
  <si>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</si>
  <si>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</si>
  <si>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</si>
  <si>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</si>
  <si>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</si>
  <si>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</si>
  <si>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</si>
  <si>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</si>
  <si>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</si>
  <si>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</si>
  <si>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</si>
  <si>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</si>
  <si>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</si>
  <si>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</si>
  <si>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</si>
  <si>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</si>
  <si>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</si>
  <si>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</si>
  <si>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</si>
  <si>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</si>
  <si>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</si>
  <si>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</si>
  <si>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</si>
  <si>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</si>
  <si>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</si>
  <si>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</si>
  <si>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</si>
  <si>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</si>
  <si>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</si>
  <si>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</si>
  <si>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</si>
  <si>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</si>
  <si>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</si>
  <si>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</si>
  <si>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</si>
  <si>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</si>
  <si>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</si>
  <si>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</si>
  <si>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</si>
  <si>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</si>
  <si>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</si>
  <si>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</si>
  <si>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</si>
  <si>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</si>
  <si>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</si>
  <si>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</si>
  <si>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</si>
  <si>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</si>
  <si>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</si>
  <si>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</si>
  <si>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</si>
  <si>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</si>
  <si>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</si>
  <si>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</si>
  <si>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</si>
  <si>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</si>
  <si>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</si>
  <si>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</si>
  <si>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</si>
  <si>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</si>
  <si>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</si>
  <si>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</si>
  <si>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</si>
  <si>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</si>
  <si>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</si>
  <si>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</si>
  <si>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</si>
  <si>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</si>
  <si>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</si>
  <si>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</si>
  <si>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</si>
  <si>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</si>
  <si>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</si>
  <si>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</si>
  <si>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</si>
  <si>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</si>
  <si>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</si>
  <si>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</si>
  <si>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</si>
  <si>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</si>
  <si>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</si>
  <si>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</si>
  <si>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</si>
  <si>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</si>
  <si>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</si>
  <si>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</si>
  <si>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</si>
  <si>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</si>
  <si>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</si>
  <si>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</si>
  <si>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</si>
  <si>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</si>
  <si>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</si>
  <si>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</si>
  <si>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</si>
  <si>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</si>
  <si>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</si>
  <si>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</si>
  <si>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</si>
  <si>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</si>
  <si>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</si>
  <si>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</si>
  <si>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</si>
  <si>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</si>
  <si>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</si>
  <si>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</si>
  <si>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</si>
  <si>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</si>
  <si>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</si>
  <si>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</si>
  <si>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</si>
  <si>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</si>
  <si>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</si>
  <si>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</si>
  <si>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</si>
  <si>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</si>
  <si>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</si>
  <si>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</si>
  <si>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</si>
  <si>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</si>
  <si>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</si>
  <si>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</si>
  <si>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</si>
  <si>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</si>
  <si>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</si>
  <si>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</si>
  <si>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</si>
  <si>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</si>
  <si>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</si>
  <si>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</si>
  <si>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</si>
  <si>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</si>
  <si>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</si>
  <si>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</si>
  <si>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</si>
  <si>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</si>
  <si>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</si>
  <si>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</si>
  <si>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</si>
  <si>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</si>
  <si>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</si>
  <si>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</si>
  <si>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</si>
  <si>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</si>
  <si>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</si>
  <si>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</si>
  <si>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</si>
  <si>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</si>
  <si>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</si>
  <si>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</si>
  <si>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</si>
  <si>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</si>
  <si>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</si>
  <si>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</si>
  <si>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</si>
  <si>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</si>
  <si>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</si>
  <si>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</si>
  <si>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</si>
  <si>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</si>
  <si>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</si>
  <si>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</si>
  <si>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</si>
  <si>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</si>
  <si>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</si>
  <si>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</si>
  <si>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</si>
  <si>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</si>
  <si>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</si>
  <si>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</si>
  <si>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</si>
  <si>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</si>
  <si>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</si>
  <si>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</si>
  <si>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</si>
  <si>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</si>
  <si>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</si>
  <si>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</si>
  <si>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</si>
  <si>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</si>
  <si>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</si>
  <si>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</si>
  <si>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</si>
  <si>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</si>
  <si>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</si>
  <si>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</si>
  <si>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</si>
  <si>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</si>
  <si>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</si>
  <si>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</si>
  <si>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</si>
  <si>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</si>
  <si>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</si>
  <si>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</si>
  <si>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</si>
  <si>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</si>
  <si>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</si>
  <si>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</si>
  <si>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</si>
  <si>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</si>
  <si>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</si>
  <si>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</si>
  <si>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</si>
  <si>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</si>
  <si>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</si>
  <si>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</si>
  <si>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</si>
  <si>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</si>
  <si>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</si>
  <si>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</si>
  <si>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</si>
  <si>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</si>
  <si>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</si>
  <si>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</si>
  <si>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</si>
  <si>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</si>
  <si>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</si>
  <si>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</si>
  <si>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</si>
  <si>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</si>
  <si>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</si>
  <si>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</si>
  <si>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</si>
  <si>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</si>
  <si>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</si>
  <si>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</si>
  <si>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</si>
  <si>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</si>
  <si>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</si>
  <si>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</si>
  <si>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</si>
  <si>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</si>
  <si>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</si>
  <si>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</si>
  <si>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</si>
  <si>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</si>
  <si>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</si>
  <si>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</si>
  <si>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</si>
  <si>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</si>
  <si>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</si>
  <si>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</si>
  <si>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</si>
  <si>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</si>
  <si>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</si>
  <si>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</si>
  <si>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</si>
  <si>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</si>
  <si>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</si>
  <si>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</si>
  <si>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</si>
  <si>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</si>
  <si>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</si>
  <si>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</si>
  <si>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</si>
  <si>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</si>
  <si>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</si>
  <si>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</si>
  <si>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</si>
  <si>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</si>
  <si>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</si>
  <si>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</si>
  <si>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</si>
  <si>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</si>
  <si>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</si>
  <si>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</si>
  <si>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</si>
  <si>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</si>
  <si>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</si>
  <si>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</si>
  <si>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</si>
  <si>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</si>
  <si>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</si>
  <si>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</si>
  <si>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</si>
  <si>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</si>
  <si>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</si>
  <si>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</si>
  <si>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</si>
  <si>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</si>
  <si>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</si>
  <si>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</si>
  <si>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</si>
  <si>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</si>
  <si>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</si>
  <si>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</si>
  <si>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</si>
  <si>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</si>
  <si>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</si>
  <si>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</si>
  <si>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</si>
  <si>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</si>
  <si>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</si>
  <si>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</si>
  <si>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</si>
  <si>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</si>
  <si>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</si>
  <si>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</si>
  <si>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</si>
  <si>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</si>
  <si>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</si>
  <si>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</si>
  <si>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</si>
  <si>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</si>
  <si>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</si>
  <si>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</si>
  <si>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</si>
  <si>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</si>
  <si>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</si>
  <si>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</si>
  <si>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</si>
  <si>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</si>
  <si>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</si>
  <si>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</si>
  <si>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</si>
  <si>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</si>
  <si>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</si>
  <si>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</si>
  <si>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</si>
  <si>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</si>
  <si>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</si>
  <si>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</si>
  <si>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</si>
  <si>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</si>
  <si>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</si>
  <si>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</si>
  <si>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</si>
  <si>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</si>
  <si>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</si>
  <si>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</si>
  <si>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</si>
  <si>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</si>
  <si>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</si>
  <si>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</si>
  <si>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</si>
  <si>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</si>
  <si>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</si>
  <si>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</si>
  <si>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</si>
  <si>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</si>
  <si>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</si>
  <si>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</si>
  <si>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</si>
  <si>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</si>
  <si>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</si>
  <si>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</si>
  <si>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</si>
  <si>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</si>
  <si>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</si>
  <si>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</si>
  <si>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</si>
  <si>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</si>
  <si>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</si>
  <si>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</si>
  <si>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</si>
  <si>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</si>
  <si>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</si>
  <si>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</si>
  <si>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</si>
  <si>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</si>
  <si>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</si>
  <si>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</si>
  <si>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</si>
  <si>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</si>
  <si>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</si>
  <si>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</si>
  <si>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</si>
  <si>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</si>
  <si>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</si>
  <si>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</si>
  <si>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</si>
  <si>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</si>
  <si>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</si>
  <si>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</si>
  <si>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</si>
  <si>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</si>
  <si>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</si>
  <si>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</si>
  <si>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</si>
  <si>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</si>
  <si>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</si>
  <si>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</si>
  <si>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</si>
  <si>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</si>
  <si>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</si>
  <si>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</si>
  <si>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</si>
  <si>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</si>
  <si>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</si>
  <si>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</si>
  <si>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</si>
  <si>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</si>
  <si>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</si>
  <si>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</si>
  <si>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</si>
  <si>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</si>
  <si>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</si>
  <si>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</si>
  <si>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</si>
  <si>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</si>
  <si>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</si>
  <si>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</si>
  <si>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</si>
  <si>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</si>
  <si>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</si>
  <si>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</si>
  <si>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</si>
  <si>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</si>
  <si>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</si>
  <si>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</si>
  <si>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</si>
  <si>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</si>
  <si>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</si>
  <si>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</si>
  <si>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</si>
  <si>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</si>
  <si>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</si>
  <si>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</si>
  <si>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</si>
  <si>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</si>
  <si>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</si>
  <si>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</si>
  <si>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</si>
  <si>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</si>
  <si>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</si>
  <si>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</si>
  <si>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</si>
  <si>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</si>
  <si>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</si>
  <si>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</si>
  <si>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</si>
  <si>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</si>
  <si>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</si>
  <si>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</si>
  <si>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</si>
  <si>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</si>
  <si>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</si>
  <si>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</si>
  <si>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</si>
  <si>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</si>
  <si>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</si>
  <si>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</si>
  <si>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</si>
  <si>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</si>
  <si>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</si>
  <si>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</si>
  <si>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</si>
  <si>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</si>
  <si>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</si>
  <si>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</si>
  <si>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</si>
  <si>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</si>
  <si>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</si>
  <si>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</si>
  <si>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</si>
  <si>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</si>
  <si>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</si>
  <si>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</si>
  <si>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</si>
  <si>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</si>
  <si>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</si>
  <si>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</si>
  <si>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</si>
  <si>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</si>
  <si>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</si>
  <si>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</si>
  <si>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</si>
  <si>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</si>
  <si>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</si>
  <si>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</si>
  <si>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</si>
  <si>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</si>
  <si>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</si>
  <si>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</si>
  <si>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</si>
  <si>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</si>
  <si>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</si>
  <si>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</si>
  <si>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</si>
  <si>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</si>
  <si>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</si>
  <si>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</si>
  <si>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</si>
  <si>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</si>
  <si>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</si>
  <si>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</si>
  <si>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</si>
  <si>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</si>
  <si>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</si>
  <si>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</si>
  <si>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</si>
  <si>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</si>
  <si>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</si>
  <si>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</si>
  <si>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</si>
  <si>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</si>
  <si>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</si>
  <si>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</si>
  <si>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</si>
  <si>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</si>
  <si>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</si>
  <si>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</si>
  <si>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</si>
  <si>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</si>
  <si>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</si>
  <si>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</si>
  <si>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</si>
  <si>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</si>
  <si>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</si>
  <si>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</si>
  <si>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</si>
  <si>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</si>
  <si>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</si>
  <si>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</si>
  <si>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</si>
  <si>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</si>
  <si>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</si>
  <si>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</si>
  <si>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</si>
  <si>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</si>
  <si>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</si>
  <si>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</si>
  <si>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</si>
  <si>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</si>
  <si>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</si>
  <si>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</si>
  <si>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</si>
  <si>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</si>
  <si>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</si>
  <si>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</si>
  <si>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</si>
  <si>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</si>
  <si>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</si>
  <si>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</si>
  <si>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</si>
  <si>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</si>
  <si>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</si>
  <si>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</si>
  <si>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</si>
  <si>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</si>
  <si>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</si>
  <si>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</si>
  <si>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</si>
  <si>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</si>
  <si>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</si>
  <si>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</si>
  <si>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</si>
  <si>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</si>
  <si>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</si>
  <si>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</si>
  <si>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</si>
  <si>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</si>
  <si>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</si>
  <si>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</si>
  <si>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</si>
  <si>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</si>
  <si>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</si>
  <si>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</si>
  <si>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</si>
  <si>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</si>
  <si>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</si>
  <si>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</si>
  <si>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</si>
  <si>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</si>
  <si>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</si>
  <si>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</si>
  <si>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</si>
  <si>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</si>
  <si>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</si>
  <si>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</si>
  <si>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</si>
  <si>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</si>
  <si>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</si>
  <si>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</si>
  <si>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</si>
  <si>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</si>
  <si>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</si>
  <si>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</si>
  <si>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</si>
  <si>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</si>
  <si>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</si>
  <si>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</si>
  <si>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</si>
  <si>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</si>
  <si>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</si>
  <si>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</si>
  <si>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</si>
  <si>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</si>
  <si>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</si>
  <si>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</si>
  <si>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</si>
  <si>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</si>
  <si>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</si>
  <si>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</si>
  <si>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</si>
  <si>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</si>
  <si>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</si>
  <si>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</si>
  <si>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</si>
  <si>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</si>
  <si>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</si>
  <si>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</si>
  <si>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</si>
  <si>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</si>
  <si>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</si>
  <si>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</si>
  <si>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</si>
  <si>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</si>
  <si>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</si>
  <si>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</si>
  <si>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</si>
  <si>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</si>
  <si>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</si>
  <si>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</si>
  <si>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</si>
  <si>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</si>
  <si>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</si>
  <si>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</si>
  <si>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</si>
  <si>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</si>
  <si>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</si>
  <si>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</si>
  <si>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</si>
  <si>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</si>
  <si>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</si>
  <si>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</si>
  <si>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</si>
  <si>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</si>
  <si>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</si>
  <si>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</si>
  <si>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</si>
  <si>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</si>
  <si>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</si>
  <si>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</si>
  <si>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</si>
  <si>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</si>
  <si>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</si>
  <si>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</si>
  <si>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</si>
  <si>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</si>
  <si>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</si>
  <si>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</si>
  <si>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</si>
  <si>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</si>
  <si>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</si>
  <si>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</si>
  <si>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</si>
  <si>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</si>
  <si>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</si>
  <si>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</si>
  <si>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</si>
  <si>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</si>
  <si>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</si>
  <si>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</si>
  <si>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</si>
  <si>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</si>
  <si>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</si>
  <si>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</si>
  <si>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</si>
  <si>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</si>
  <si>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</si>
  <si>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</si>
  <si>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</si>
  <si>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</si>
  <si>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</si>
  <si>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</si>
  <si>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</si>
  <si>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</si>
  <si>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</si>
  <si>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</si>
  <si>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</si>
  <si>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</si>
  <si>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</si>
  <si>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</si>
  <si>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</si>
  <si>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</si>
  <si>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</si>
  <si>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</si>
  <si>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</si>
  <si>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</si>
  <si>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</si>
  <si>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</si>
  <si>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</si>
  <si>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</si>
  <si>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</si>
  <si>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</si>
  <si>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</si>
  <si>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</si>
  <si>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</si>
  <si>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</si>
  <si>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</si>
  <si>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</si>
  <si>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</si>
  <si>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</si>
  <si>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</si>
  <si>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</si>
  <si>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</si>
  <si>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</si>
  <si>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</si>
  <si>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</si>
  <si>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</si>
  <si>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</si>
  <si>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</si>
  <si>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</si>
  <si>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</si>
  <si>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</si>
  <si>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</si>
  <si>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</si>
  <si>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</si>
  <si>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</si>
  <si>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</si>
  <si>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</si>
  <si>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</si>
  <si>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</si>
  <si>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</si>
  <si>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</si>
  <si>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</si>
  <si>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</si>
  <si>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</si>
  <si>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</si>
  <si>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</si>
  <si>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</si>
  <si>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</si>
  <si>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</si>
  <si>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</si>
  <si>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</si>
  <si>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</si>
  <si>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</si>
  <si>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</si>
  <si>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</si>
  <si>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</si>
  <si>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</si>
  <si>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</si>
  <si>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</si>
  <si>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</si>
  <si>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</si>
  <si>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</si>
  <si>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</si>
  <si>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</si>
  <si>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</si>
  <si>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</si>
  <si>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</si>
  <si>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</si>
  <si>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</si>
  <si>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</si>
  <si>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</si>
  <si>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</si>
  <si>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</si>
  <si>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</si>
  <si>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</si>
  <si>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</si>
  <si>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</si>
  <si>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</si>
  <si>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</si>
  <si>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</si>
  <si>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</si>
  <si>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</si>
  <si>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</si>
  <si>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</si>
  <si>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</si>
  <si>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</si>
  <si>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</si>
  <si>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</si>
  <si>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</si>
  <si>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</si>
  <si>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</si>
  <si>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</si>
  <si>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</si>
  <si>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</si>
  <si>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</si>
  <si>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</si>
  <si>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</si>
  <si>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</si>
  <si>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</si>
  <si>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</si>
  <si>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</si>
  <si>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</si>
  <si>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</si>
  <si>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</si>
  <si>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</si>
  <si>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</si>
  <si>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</si>
  <si>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</si>
  <si>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</si>
  <si>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</si>
  <si>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</si>
  <si>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</si>
  <si>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</si>
  <si>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</si>
  <si>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</si>
  <si>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</si>
  <si>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</si>
  <si>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</si>
  <si>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</si>
  <si>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</si>
  <si>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</si>
  <si>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</si>
  <si>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</si>
  <si>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</si>
  <si>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</si>
  <si>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</si>
  <si>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</si>
  <si>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</si>
  <si>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</si>
  <si>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</si>
  <si>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</si>
  <si>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</si>
  <si>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</si>
  <si>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</si>
  <si>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</si>
  <si>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</si>
  <si>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</si>
  <si>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</si>
  <si>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</si>
  <si>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</si>
  <si>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</si>
  <si>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</si>
  <si>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</si>
  <si>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</si>
  <si>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</si>
  <si>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</si>
  <si>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</si>
  <si>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</si>
  <si>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</si>
  <si>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</si>
  <si>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</si>
  <si>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</si>
  <si>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</si>
  <si>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</si>
  <si>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</si>
  <si>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</si>
  <si>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</si>
  <si>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</si>
  <si>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</si>
  <si>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</si>
  <si>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</si>
  <si>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</si>
  <si>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</si>
  <si>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</si>
  <si>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</si>
  <si>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</si>
  <si>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</si>
  <si>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</si>
  <si>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</si>
  <si>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</si>
  <si>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</si>
  <si>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</si>
  <si>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</si>
  <si>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</si>
  <si>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</si>
  <si>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</si>
  <si>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</si>
  <si>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</si>
  <si>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</si>
  <si>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</si>
  <si>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</si>
  <si>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</si>
  <si>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</si>
  <si>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</si>
  <si>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</si>
  <si>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</si>
  <si>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</si>
  <si>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</si>
  <si>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</si>
  <si>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</si>
  <si>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</si>
  <si>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</si>
  <si>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</si>
  <si>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</si>
  <si>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</si>
  <si>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</si>
  <si>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</si>
  <si>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</si>
  <si>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</si>
  <si>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</si>
  <si>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</si>
  <si>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</si>
  <si>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</si>
  <si>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</si>
  <si>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</si>
  <si>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</si>
  <si>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</si>
  <si>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</si>
  <si>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</si>
  <si>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</si>
  <si>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</si>
  <si>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</si>
  <si>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</si>
  <si>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</si>
  <si>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</si>
  <si>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</si>
  <si>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</si>
  <si>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</si>
  <si>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</si>
  <si>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</si>
  <si>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</si>
  <si>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</si>
  <si>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</si>
  <si>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</si>
  <si>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</si>
  <si>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</si>
  <si>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</si>
  <si>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</si>
  <si>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</si>
  <si>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</si>
  <si>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</si>
  <si>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</si>
  <si>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</si>
  <si>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</si>
  <si>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</si>
  <si>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</si>
  <si>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</si>
  <si>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</si>
  <si>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</si>
  <si>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</si>
  <si>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</si>
  <si>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</si>
  <si>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</si>
  <si>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</si>
  <si>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</si>
  <si>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</si>
  <si>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</si>
  <si>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</si>
  <si>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</si>
  <si>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</si>
  <si>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</si>
  <si>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</si>
  <si>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</si>
  <si>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</si>
  <si>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</si>
  <si>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</si>
  <si>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</si>
  <si>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</si>
  <si>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</si>
  <si>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</si>
  <si>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</si>
  <si>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</si>
  <si>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</si>
  <si>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</si>
  <si>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</si>
  <si>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</si>
  <si>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</si>
  <si>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</si>
  <si>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</si>
  <si>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</si>
  <si>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</si>
  <si>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</si>
  <si>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</si>
  <si>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</si>
  <si>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</si>
  <si>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</si>
  <si>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</si>
  <si>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</si>
  <si>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</si>
  <si>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</si>
  <si>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</si>
  <si>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</si>
  <si>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</si>
  <si>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</si>
  <si>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</si>
  <si>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</si>
  <si>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</si>
  <si>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</si>
  <si>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</si>
  <si>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</si>
  <si>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</si>
  <si>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</si>
  <si>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</si>
  <si>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</si>
  <si>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</si>
  <si>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</si>
  <si>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</si>
  <si>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</si>
  <si>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</si>
  <si>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</si>
  <si>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</si>
  <si>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</si>
  <si>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</si>
  <si>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</si>
  <si>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</si>
  <si>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</si>
  <si>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</si>
  <si>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</si>
  <si>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</si>
  <si>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</si>
  <si>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</si>
  <si>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</si>
  <si>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</si>
  <si>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</si>
  <si>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</si>
  <si>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</si>
  <si>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</si>
  <si>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</si>
  <si>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</si>
  <si>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</si>
  <si>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</si>
  <si>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</si>
  <si>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</si>
  <si>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</si>
  <si>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</si>
  <si>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</si>
  <si>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</si>
  <si>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</si>
  <si>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</si>
  <si>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</si>
  <si>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</si>
  <si>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</si>
  <si>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</si>
  <si>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</si>
  <si>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</si>
  <si>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</si>
  <si>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</si>
  <si>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</si>
  <si>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</si>
  <si>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</si>
  <si>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</si>
  <si>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</si>
  <si>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</si>
  <si>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</si>
  <si>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</si>
  <si>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</si>
  <si>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</si>
  <si>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</si>
  <si>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</si>
  <si>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</si>
  <si>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</si>
  <si>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</si>
  <si>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</si>
  <si>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</si>
  <si>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</si>
  <si>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</si>
  <si>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</si>
  <si>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</si>
  <si>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</si>
  <si>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</si>
  <si>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</si>
  <si>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</si>
  <si>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</si>
  <si>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</si>
  <si>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</si>
  <si>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</si>
  <si>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</si>
  <si>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</si>
  <si>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</si>
  <si>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</si>
  <si>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</si>
  <si>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</si>
  <si>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</si>
  <si>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</si>
  <si>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</si>
  <si>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</si>
  <si>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</si>
  <si>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</si>
  <si>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</si>
  <si>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</si>
  <si>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</si>
  <si>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</si>
  <si>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</si>
  <si>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</si>
  <si>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</si>
  <si>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</si>
  <si>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</si>
  <si>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</si>
  <si>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</si>
  <si>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</si>
  <si>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</si>
  <si>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</si>
  <si>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</si>
  <si>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</si>
  <si>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</si>
  <si>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</si>
  <si>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</si>
  <si>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</si>
  <si>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</si>
  <si>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</si>
  <si>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</si>
  <si>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</si>
  <si>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</si>
  <si>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</si>
  <si>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</si>
  <si>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</si>
  <si>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</si>
  <si>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</si>
  <si>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</si>
  <si>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</si>
  <si>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</si>
  <si>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</si>
  <si>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</si>
  <si>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</si>
  <si>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</si>
  <si>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</si>
  <si>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</si>
  <si>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</si>
  <si>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</si>
  <si>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</si>
  <si>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</si>
  <si>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</si>
  <si>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</si>
  <si>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</si>
  <si>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</si>
  <si>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</si>
  <si>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</si>
  <si>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</si>
  <si>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</si>
  <si>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</si>
  <si>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</si>
  <si>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</si>
  <si>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</si>
  <si>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</si>
  <si>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</si>
  <si>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</si>
  <si>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</si>
  <si>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</si>
  <si>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</si>
  <si>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</si>
  <si>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</si>
  <si>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</si>
  <si>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</si>
  <si>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</si>
  <si>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</si>
  <si>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</si>
  <si>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</si>
  <si>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</si>
  <si>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</si>
  <si>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</si>
  <si>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</si>
  <si>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</si>
  <si>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</si>
  <si>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</si>
  <si>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</si>
  <si>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</si>
  <si>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</si>
  <si>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</si>
  <si>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</si>
  <si>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</si>
  <si>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</si>
  <si>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</si>
  <si>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</si>
  <si>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</si>
  <si>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</si>
  <si>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</si>
  <si>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</si>
  <si>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</si>
  <si>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</si>
  <si>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</si>
  <si>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</si>
  <si>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</si>
  <si>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</si>
  <si>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</si>
  <si>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</si>
  <si>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</si>
  <si>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</si>
  <si>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</si>
  <si>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</si>
  <si>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</si>
  <si>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</si>
  <si>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</si>
  <si>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</si>
  <si>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</si>
  <si>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</si>
  <si>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</si>
  <si>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</si>
  <si>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</si>
  <si>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</si>
  <si>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</si>
  <si>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</si>
  <si>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</si>
  <si>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</si>
  <si>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</si>
  <si>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</si>
  <si>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</si>
  <si>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</si>
  <si>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</si>
  <si>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</si>
  <si>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</si>
  <si>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</si>
  <si>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</si>
  <si>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</si>
  <si>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</si>
  <si>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</si>
  <si>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</si>
  <si>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</si>
  <si>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</si>
  <si>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</si>
  <si>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</si>
  <si>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</si>
  <si>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</si>
  <si>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</si>
  <si>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</si>
  <si>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</si>
  <si>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</si>
  <si>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</si>
  <si>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</si>
  <si>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</si>
  <si>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</si>
  <si>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</si>
  <si>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</si>
  <si>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</si>
  <si>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</si>
  <si>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</si>
  <si>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</si>
  <si>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</si>
  <si>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</si>
  <si>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</si>
  <si>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</si>
  <si>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</si>
  <si>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</si>
  <si>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</si>
  <si>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</si>
  <si>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</si>
  <si>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</si>
  <si>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</si>
  <si>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</si>
  <si>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</si>
  <si>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</si>
  <si>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</si>
  <si>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</si>
  <si>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</si>
  <si>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</si>
  <si>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</si>
  <si>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</si>
  <si>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</si>
  <si>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</si>
  <si>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</si>
  <si>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</si>
  <si>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</si>
  <si>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</si>
  <si>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</si>
  <si>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</si>
  <si>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</si>
  <si>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</si>
  <si>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</si>
  <si>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</si>
  <si>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</si>
  <si>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</si>
  <si>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</si>
  <si>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</si>
  <si>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</si>
  <si>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</si>
  <si>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</si>
  <si>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</si>
  <si>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</si>
  <si>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</si>
  <si>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</si>
  <si>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</si>
  <si>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</si>
  <si>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</si>
  <si>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</si>
  <si>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</si>
  <si>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</si>
  <si>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</si>
  <si>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</si>
  <si>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</si>
  <si>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</si>
  <si>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</si>
  <si>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</si>
  <si>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</si>
  <si>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</si>
  <si>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</si>
  <si>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</si>
  <si>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</si>
  <si>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</si>
  <si>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</si>
  <si>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</si>
  <si>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</si>
  <si>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</si>
  <si>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</si>
  <si>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</si>
  <si>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</si>
  <si>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</si>
  <si>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</si>
  <si>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</si>
  <si>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</si>
  <si>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</si>
  <si>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</si>
  <si>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</si>
  <si>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</si>
  <si>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</si>
  <si>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</si>
  <si>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</si>
  <si>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</si>
  <si>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</si>
  <si>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</si>
  <si>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</si>
  <si>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</si>
  <si>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</si>
  <si>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</si>
  <si>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</si>
  <si>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</si>
  <si>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</si>
  <si>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</si>
  <si>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</si>
  <si>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</si>
  <si>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</si>
  <si>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</si>
  <si>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</si>
  <si>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</si>
  <si>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</si>
  <si>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</si>
  <si>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</si>
  <si>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</si>
  <si>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</si>
  <si>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</si>
  <si>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</si>
  <si>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</si>
  <si>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</si>
  <si>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</si>
  <si>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</si>
  <si>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</si>
  <si>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</si>
  <si>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</si>
  <si>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</si>
  <si>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</si>
  <si>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</si>
  <si>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</si>
  <si>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</si>
  <si>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</si>
  <si>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</si>
  <si>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</si>
  <si>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</si>
  <si>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</si>
  <si>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</si>
  <si>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</si>
  <si>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</si>
  <si>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</si>
  <si>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</si>
  <si>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</si>
  <si>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</si>
  <si>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</si>
  <si>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</si>
  <si>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</si>
  <si>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</si>
  <si>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</si>
  <si>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</si>
  <si>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</si>
  <si>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</si>
  <si>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</si>
  <si>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</si>
  <si>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</si>
  <si>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</si>
  <si>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</si>
  <si>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</si>
  <si>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</si>
  <si>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</si>
  <si>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</si>
  <si>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</si>
  <si>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</si>
  <si>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</si>
  <si>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</si>
  <si>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</si>
  <si>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</si>
  <si>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</si>
  <si>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</si>
  <si>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</si>
  <si>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</si>
  <si>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</si>
  <si>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</si>
  <si>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</si>
  <si>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</si>
  <si>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</si>
  <si>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</si>
  <si>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</si>
  <si>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</si>
  <si>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</si>
  <si>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</si>
  <si>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</si>
  <si>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</si>
  <si>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</si>
  <si>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</si>
  <si>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</si>
  <si>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</si>
  <si>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</si>
  <si>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</si>
  <si>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</si>
  <si>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</si>
  <si>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</si>
  <si>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</si>
  <si>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</si>
  <si>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</si>
  <si>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</si>
  <si>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</si>
  <si>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</si>
  <si>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</si>
  <si>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</si>
  <si>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</si>
  <si>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</si>
  <si>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</si>
  <si>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</si>
  <si>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</si>
  <si>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</si>
  <si>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</si>
  <si>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</si>
  <si>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</si>
  <si>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</si>
  <si>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</si>
  <si>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</si>
  <si>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</si>
  <si>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</si>
  <si>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</si>
  <si>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</si>
  <si>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</si>
  <si>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</si>
  <si>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</si>
  <si>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</si>
  <si>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</si>
  <si>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</si>
  <si>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</si>
  <si>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</si>
  <si>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</si>
  <si>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</si>
  <si>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</si>
  <si>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</si>
  <si>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</si>
  <si>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</si>
  <si>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</si>
  <si>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</si>
  <si>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</si>
  <si>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</si>
  <si>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</si>
  <si>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</si>
  <si>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</si>
  <si>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</si>
  <si>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</si>
  <si>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</si>
  <si>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</si>
  <si>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</si>
  <si>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</si>
  <si>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</si>
  <si>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</si>
  <si>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</si>
  <si>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</si>
  <si>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</si>
  <si>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</si>
  <si>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</si>
  <si>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</si>
  <si>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</si>
  <si>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</si>
  <si>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</si>
  <si>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</si>
  <si>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</si>
  <si>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</si>
  <si>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</si>
  <si>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</si>
  <si>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</si>
  <si>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</si>
  <si>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</si>
  <si>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</si>
  <si>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</si>
  <si>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</si>
  <si>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</si>
  <si>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</si>
  <si>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</si>
  <si>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</si>
  <si>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</si>
  <si>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</si>
  <si>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</si>
  <si>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</si>
  <si>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</si>
  <si>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</si>
  <si>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</si>
  <si>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</si>
  <si>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</si>
  <si>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</si>
  <si>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</si>
  <si>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</si>
  <si>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</si>
  <si>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</si>
  <si>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</si>
  <si>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</si>
  <si>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</si>
  <si>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</si>
  <si>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</si>
  <si>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</si>
  <si>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</si>
  <si>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</si>
  <si>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</si>
  <si>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</si>
  <si>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</si>
  <si>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</si>
  <si>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</si>
  <si>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</si>
  <si>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</si>
  <si>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</si>
  <si>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</si>
  <si>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</si>
  <si>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</si>
  <si>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</si>
  <si>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</si>
  <si>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</si>
  <si>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</si>
  <si>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</si>
  <si>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</si>
  <si>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</si>
  <si>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</si>
  <si>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</si>
  <si>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</si>
  <si>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</si>
  <si>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</si>
  <si>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</si>
  <si>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</si>
  <si>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</si>
  <si>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</si>
  <si>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</si>
  <si>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</si>
  <si>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</si>
  <si>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</si>
  <si>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</si>
  <si>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</si>
  <si>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</si>
  <si>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</si>
  <si>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</si>
  <si>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</si>
  <si>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</si>
  <si>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</si>
  <si>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</si>
  <si>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</si>
  <si>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</si>
  <si>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</si>
  <si>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</si>
  <si>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</si>
  <si>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</si>
  <si>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</si>
  <si>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</si>
  <si>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</si>
  <si>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</si>
  <si>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</si>
  <si>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</si>
  <si>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</si>
  <si>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</si>
  <si>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</si>
  <si>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</si>
  <si>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</si>
  <si>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</si>
  <si>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</si>
  <si>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</si>
  <si>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</si>
  <si>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</si>
  <si>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</si>
  <si>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</si>
  <si>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</si>
  <si>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</si>
  <si>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</si>
  <si>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</si>
  <si>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</si>
  <si>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</si>
  <si>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</si>
  <si>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</si>
  <si>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</si>
  <si>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</si>
  <si>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</si>
  <si>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</si>
  <si>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</si>
  <si>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</si>
  <si>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</si>
  <si>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</si>
  <si>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</si>
  <si>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</si>
  <si>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</si>
  <si>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</si>
  <si>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</si>
  <si>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</si>
  <si>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</si>
  <si>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</si>
  <si>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</si>
  <si>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</si>
  <si>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</si>
  <si>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</si>
  <si>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</si>
  <si>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</si>
  <si>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</si>
  <si>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</si>
  <si>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</si>
  <si>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</si>
  <si>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</si>
  <si>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</si>
  <si>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</si>
  <si>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</si>
  <si>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</si>
  <si>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</si>
  <si>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</si>
  <si>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</si>
  <si>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</si>
  <si>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</si>
  <si>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</si>
  <si>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</si>
  <si>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</si>
  <si>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</si>
  <si>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</si>
  <si>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</si>
  <si>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</si>
  <si>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</si>
  <si>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</si>
  <si>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</si>
  <si>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</si>
  <si>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</si>
  <si>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</si>
  <si>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</si>
  <si>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</si>
  <si>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</si>
  <si>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</si>
  <si>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</si>
  <si>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</si>
  <si>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</si>
  <si>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</si>
  <si>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</si>
  <si>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</si>
  <si>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</si>
  <si>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</si>
  <si>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</si>
  <si>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</si>
  <si>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</si>
  <si>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</si>
  <si>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</si>
  <si>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</si>
  <si>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</si>
  <si>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</si>
  <si>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</si>
  <si>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</si>
  <si>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</si>
  <si>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</si>
  <si>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</si>
  <si>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</si>
  <si>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</si>
  <si>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</si>
  <si>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</si>
  <si>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</si>
  <si>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</si>
  <si>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</si>
  <si>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</si>
  <si>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</si>
  <si>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</si>
  <si>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</si>
  <si>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</si>
  <si>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</si>
  <si>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</si>
  <si>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</si>
  <si>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</si>
  <si>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</si>
  <si>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</si>
  <si>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</si>
  <si>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</si>
  <si>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</si>
  <si>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</si>
  <si>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</si>
  <si>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</si>
  <si>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</si>
  <si>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</si>
  <si>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</si>
  <si>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</si>
  <si>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</si>
  <si>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</si>
  <si>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</si>
  <si>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</si>
  <si>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</si>
  <si>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</si>
  <si>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</si>
  <si>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</si>
  <si>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</si>
  <si>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</si>
  <si>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</si>
  <si>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</si>
  <si>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</si>
  <si>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</si>
  <si>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</si>
  <si>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</si>
  <si>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</si>
  <si>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</si>
  <si>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</si>
  <si>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</si>
  <si>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</si>
  <si>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</si>
  <si>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</si>
  <si>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</si>
  <si>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</si>
  <si>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</si>
  <si>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</si>
  <si>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</si>
  <si>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</si>
  <si>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</si>
  <si>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</si>
  <si>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</si>
  <si>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</si>
  <si>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</si>
  <si>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</si>
  <si>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</si>
  <si>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</si>
  <si>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</si>
  <si>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</si>
  <si>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</si>
  <si>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</si>
  <si>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</si>
  <si>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</si>
  <si>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</si>
  <si>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</si>
  <si>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</si>
  <si>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</si>
  <si>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</si>
  <si>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</si>
  <si>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</si>
  <si>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</si>
  <si>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</si>
  <si>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</si>
  <si>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</si>
  <si>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</si>
  <si>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</si>
  <si>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</si>
  <si>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</si>
  <si>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</si>
  <si>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</si>
  <si>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</si>
  <si>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</si>
  <si>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</si>
  <si>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</si>
  <si>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</si>
  <si>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</si>
  <si>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</si>
  <si>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</si>
  <si>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</si>
  <si>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</si>
  <si>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</si>
  <si>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</si>
  <si>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</si>
  <si>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</si>
  <si>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</si>
  <si>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</si>
  <si>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</si>
  <si>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</si>
  <si>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</si>
  <si>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</si>
  <si>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</si>
  <si>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</si>
  <si>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</si>
  <si>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</si>
  <si>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</si>
  <si>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</si>
  <si>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</si>
  <si>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</si>
  <si>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</si>
  <si>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</si>
  <si>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</si>
  <si>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</si>
  <si>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</si>
  <si>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</si>
  <si>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</si>
  <si>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</si>
  <si>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</si>
  <si>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</si>
  <si>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</si>
  <si>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</si>
  <si>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</si>
  <si>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</si>
  <si>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</si>
  <si>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</si>
  <si>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</si>
  <si>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</si>
  <si>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</si>
  <si>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</si>
  <si>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</si>
  <si>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</si>
  <si>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</si>
  <si>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</si>
  <si>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</si>
  <si>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</si>
  <si>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</si>
  <si>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</si>
  <si>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</si>
  <si>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</si>
  <si>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</si>
  <si>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</si>
  <si>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</si>
  <si>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</si>
  <si>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</si>
  <si>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</si>
  <si>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</si>
  <si>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</si>
  <si>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</si>
  <si>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</si>
  <si>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</si>
  <si>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</si>
  <si>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</si>
  <si>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</si>
  <si>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</si>
  <si>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</si>
  <si>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</si>
  <si>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</si>
  <si>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</si>
  <si>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</si>
  <si>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</si>
  <si>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</si>
  <si>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</si>
  <si>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</si>
  <si>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</si>
  <si>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</si>
  <si>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</si>
  <si>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</si>
  <si>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</si>
  <si>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</si>
  <si>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</si>
  <si>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</si>
  <si>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</si>
  <si>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</si>
  <si>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</si>
  <si>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</si>
  <si>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</si>
  <si>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</si>
  <si>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</si>
  <si>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</si>
  <si>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</si>
  <si>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</si>
  <si>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</si>
  <si>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</si>
  <si>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</si>
  <si>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</si>
  <si>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</si>
  <si>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</si>
  <si>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</si>
  <si>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</si>
  <si>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</si>
  <si>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</si>
  <si>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</si>
  <si>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</si>
  <si>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</si>
  <si>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</si>
  <si>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</si>
  <si>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</si>
  <si>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</si>
  <si>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</si>
  <si>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</si>
  <si>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</si>
  <si>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</si>
  <si>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</si>
  <si>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</si>
  <si>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</si>
  <si>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</si>
  <si>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</si>
  <si>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</si>
  <si>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</si>
  <si>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</si>
  <si>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</si>
  <si>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</si>
  <si>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</si>
  <si>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</si>
  <si>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</si>
  <si>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</si>
  <si>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</si>
  <si>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</si>
  <si>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</si>
  <si>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</si>
  <si>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</si>
  <si>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</si>
  <si>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</si>
  <si>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</si>
  <si>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</si>
  <si>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</si>
  <si>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</si>
  <si>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</si>
  <si>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</si>
  <si>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</si>
  <si>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</si>
  <si>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</si>
  <si>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</si>
  <si>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</si>
  <si>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</si>
  <si>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</si>
  <si>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</si>
  <si>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</si>
  <si>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</si>
  <si>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</si>
  <si>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</si>
  <si>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</si>
  <si>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</si>
  <si>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</si>
  <si>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</si>
  <si>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</si>
  <si>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</si>
  <si>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</si>
  <si>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</si>
  <si>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</si>
  <si>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</si>
  <si>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</si>
  <si>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</si>
  <si>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</si>
  <si>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</si>
  <si>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</si>
  <si>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</si>
  <si>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</si>
  <si>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</si>
  <si>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</si>
  <si>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</si>
  <si>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</si>
  <si>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</si>
  <si>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</si>
  <si>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</si>
  <si>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</si>
  <si>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</si>
  <si>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</si>
  <si>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</si>
  <si>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</si>
  <si>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</si>
  <si>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</si>
  <si>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</si>
  <si>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</si>
  <si>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</si>
  <si>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</si>
  <si>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</si>
  <si>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</si>
  <si>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</si>
  <si>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</si>
  <si>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</si>
  <si>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</si>
  <si>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</si>
  <si>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</si>
  <si>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</si>
  <si>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</si>
  <si>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</si>
  <si>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</si>
  <si>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</si>
  <si>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</si>
  <si>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</si>
  <si>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</si>
  <si>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</si>
  <si>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</si>
  <si>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</si>
  <si>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</si>
  <si>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</si>
  <si>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</si>
  <si>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</si>
  <si>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</si>
  <si>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</si>
  <si>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</si>
  <si>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</si>
  <si>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</si>
  <si>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</si>
  <si>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</si>
  <si>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</si>
  <si>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</si>
  <si>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</si>
  <si>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</si>
  <si>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</si>
  <si>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</si>
  <si>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</si>
  <si>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</si>
  <si>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</si>
  <si>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</si>
  <si>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</si>
  <si>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</si>
  <si>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</si>
  <si>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</si>
  <si>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</si>
  <si>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</si>
  <si>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</si>
  <si>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</si>
  <si>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</si>
  <si>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</si>
  <si>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</si>
  <si>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</si>
  <si>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</si>
  <si>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</si>
  <si>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</si>
  <si>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</si>
  <si>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</si>
  <si>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</si>
  <si>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</si>
  <si>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</si>
  <si>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</si>
  <si>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</si>
  <si>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</si>
  <si>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</si>
  <si>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</si>
  <si>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</si>
  <si>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</si>
  <si>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</si>
  <si>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</si>
  <si>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</si>
  <si>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</si>
  <si>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</si>
  <si>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</si>
  <si>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</si>
  <si>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</si>
  <si>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</si>
  <si>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</si>
  <si>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</si>
  <si>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</si>
  <si>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</si>
  <si>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</si>
  <si>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</si>
  <si>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</si>
  <si>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</si>
  <si>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</si>
  <si>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</si>
  <si>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</si>
  <si>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</si>
  <si>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</si>
  <si>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</si>
  <si>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</si>
  <si>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</si>
  <si>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</si>
  <si>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</si>
  <si>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</si>
  <si>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</si>
  <si>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</si>
  <si>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</si>
  <si>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</si>
  <si>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</si>
  <si>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</si>
  <si>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</si>
  <si>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</si>
  <si>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</si>
  <si>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</si>
  <si>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</si>
  <si>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</si>
  <si>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</si>
  <si>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</si>
  <si>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</si>
  <si>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</si>
  <si>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</si>
  <si>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</si>
  <si>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</si>
  <si>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</si>
  <si>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</si>
  <si>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</si>
  <si>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</si>
  <si>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</si>
  <si>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</si>
  <si>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</si>
  <si>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</si>
  <si>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</si>
  <si>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</si>
  <si>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</si>
  <si>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</si>
  <si>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</si>
  <si>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</si>
  <si>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</si>
  <si>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</si>
  <si>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</si>
  <si>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</si>
  <si>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</si>
  <si>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</si>
  <si>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</si>
  <si>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</si>
  <si>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</si>
  <si>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</si>
  <si>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</si>
  <si>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</si>
  <si>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</si>
  <si>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</si>
  <si>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</si>
  <si>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</si>
  <si>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</si>
  <si>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</si>
  <si>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</si>
  <si>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</si>
  <si>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</si>
  <si>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</si>
  <si>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</si>
  <si>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</si>
  <si>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</si>
  <si>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</si>
  <si>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</si>
  <si>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</si>
  <si>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</si>
  <si>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</si>
  <si>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</si>
  <si>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</si>
  <si>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</si>
  <si>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</si>
  <si>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</si>
  <si>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</si>
  <si>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</si>
  <si>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</si>
  <si>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</si>
  <si>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</si>
  <si>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</si>
  <si>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</si>
  <si>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</si>
  <si>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</si>
  <si>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</si>
  <si>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</si>
  <si>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</si>
  <si>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</si>
  <si>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</si>
  <si>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</si>
  <si>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</si>
  <si>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</si>
  <si>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</si>
  <si>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</si>
  <si>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</si>
  <si>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</si>
  <si>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</si>
  <si>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</si>
  <si>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</si>
  <si>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</si>
  <si>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</si>
  <si>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</si>
  <si>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</si>
  <si>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</si>
  <si>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</si>
  <si>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</si>
  <si>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</si>
  <si>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</si>
  <si>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</si>
  <si>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</si>
  <si>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</si>
  <si>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</si>
  <si>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</si>
  <si>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</si>
  <si>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</si>
  <si>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</si>
  <si>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</si>
  <si>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</si>
  <si>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</si>
  <si>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</si>
  <si>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</si>
  <si>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</si>
  <si>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</si>
  <si>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</si>
  <si>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</si>
  <si>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</si>
  <si>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</si>
  <si>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</si>
  <si>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</si>
  <si>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</si>
  <si>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</si>
  <si>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</si>
  <si>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</si>
  <si>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</si>
  <si>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</si>
  <si>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</si>
  <si>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</si>
  <si>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</si>
  <si>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</si>
  <si>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</si>
  <si>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</si>
  <si>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</si>
  <si>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</si>
  <si>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</si>
  <si>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</si>
  <si>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</si>
  <si>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</si>
  <si>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</si>
  <si>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</si>
  <si>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</si>
  <si>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</si>
  <si>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</si>
  <si>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</si>
  <si>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</si>
  <si>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</si>
  <si>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</si>
  <si>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</si>
  <si>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</si>
  <si>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</si>
  <si>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</si>
  <si>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</si>
  <si>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</si>
  <si>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</si>
  <si>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</si>
  <si>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</si>
  <si>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</si>
  <si>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</si>
  <si>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</si>
  <si>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</si>
  <si>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</si>
  <si>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</si>
  <si>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</si>
  <si>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</si>
  <si>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</si>
  <si>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</si>
  <si>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</si>
  <si>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</si>
  <si>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</si>
  <si>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</si>
  <si>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</si>
  <si>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</si>
  <si>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</si>
  <si>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</si>
  <si>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</si>
  <si>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</si>
  <si>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</si>
  <si>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</si>
  <si>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</si>
  <si>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</si>
  <si>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</si>
  <si>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</si>
  <si>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</si>
  <si>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</si>
  <si>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</si>
  <si>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</si>
  <si>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</si>
  <si>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</si>
  <si>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</si>
  <si>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</si>
  <si>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</si>
  <si>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</si>
  <si>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</si>
  <si>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</si>
  <si>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</si>
  <si>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</si>
  <si>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</si>
  <si>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</si>
  <si>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</si>
  <si>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</si>
  <si>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</si>
  <si>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</si>
  <si>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</si>
  <si>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</si>
  <si>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</si>
  <si>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</si>
  <si>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</si>
  <si>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</si>
  <si>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</si>
  <si>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</si>
  <si>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</si>
  <si>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</si>
  <si>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</si>
  <si>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</si>
  <si>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</si>
  <si>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</si>
  <si>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</si>
  <si>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</si>
  <si>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</si>
  <si>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</si>
  <si>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</si>
  <si>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</si>
  <si>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</si>
  <si>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</si>
  <si>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</si>
  <si>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</si>
  <si>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</si>
  <si>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</si>
  <si>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</si>
  <si>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</si>
  <si>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</si>
  <si>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</si>
  <si>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</si>
  <si>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</si>
  <si>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</si>
  <si>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</si>
  <si>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</si>
  <si>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</si>
  <si>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</si>
  <si>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</si>
  <si>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</si>
  <si>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</si>
  <si>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</si>
  <si>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</si>
  <si>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</si>
  <si>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</si>
  <si>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</si>
  <si>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</si>
  <si>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</si>
  <si>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</si>
  <si>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</si>
  <si>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</si>
  <si>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</si>
  <si>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</si>
  <si>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</si>
  <si>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</si>
  <si>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</si>
  <si>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</si>
  <si>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</si>
  <si>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</si>
  <si>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</si>
  <si>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</si>
  <si>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</si>
  <si>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</si>
  <si>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</si>
  <si>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</si>
  <si>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</si>
  <si>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</si>
  <si>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</si>
  <si>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</si>
  <si>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</si>
  <si>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</si>
  <si>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</si>
  <si>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</si>
  <si>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</si>
  <si>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</si>
  <si>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</si>
  <si>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</si>
  <si>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</si>
  <si>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</si>
  <si>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</si>
  <si>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</si>
  <si>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</si>
  <si>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</si>
  <si>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</si>
  <si>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</si>
  <si>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</si>
  <si>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</si>
  <si>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</si>
  <si>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</si>
  <si>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</si>
  <si>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</si>
  <si>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</si>
  <si>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</si>
  <si>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</si>
  <si>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</si>
  <si>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</si>
  <si>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</si>
  <si>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</si>
  <si>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</si>
  <si>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</si>
  <si>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</si>
  <si>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</si>
  <si>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</si>
  <si>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</si>
  <si>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</si>
  <si>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</si>
  <si>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</si>
  <si>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</si>
  <si>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</si>
  <si>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</si>
  <si>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</si>
  <si>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</si>
  <si>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</si>
  <si>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</si>
  <si>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</si>
  <si>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</si>
  <si>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高层</t>
  </si>
  <si>
    <t>高层</t>
    <phoneticPr fontId="7" type="noConversion"/>
  </si>
  <si>
    <t>洋房</t>
  </si>
  <si>
    <t>洋房</t>
    <phoneticPr fontId="7" type="noConversion"/>
  </si>
  <si>
    <t>地上</t>
  </si>
  <si>
    <t>普通住宅</t>
  </si>
  <si>
    <t>小高层</t>
  </si>
  <si>
    <t>小高层</t>
    <phoneticPr fontId="7" type="noConversion"/>
  </si>
  <si>
    <t>较好</t>
  </si>
  <si>
    <t>较好</t>
    <phoneticPr fontId="3" type="noConversion"/>
  </si>
  <si>
    <t>较好</t>
    <phoneticPr fontId="3" type="noConversion"/>
  </si>
  <si>
    <t xml:space="preserve"> </t>
  </si>
  <si>
    <t xml:space="preserve"> </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</si>
  <si>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</si>
  <si>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</si>
  <si>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</si>
  <si>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</si>
  <si>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</si>
  <si>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</si>
  <si>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</si>
  <si>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</si>
  <si>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</si>
  <si>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</si>
  <si>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</si>
  <si>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</si>
  <si>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</si>
  <si>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</si>
  <si>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</si>
  <si>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</si>
  <si>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</si>
  <si>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</si>
  <si>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</si>
  <si>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</si>
  <si>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</si>
  <si>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</si>
  <si>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</si>
  <si>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</si>
  <si>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</si>
  <si>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</si>
  <si>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</si>
  <si>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</si>
  <si>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</si>
  <si>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</si>
  <si>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</si>
  <si>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</si>
  <si>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</si>
  <si>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</si>
  <si>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</si>
  <si>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</si>
  <si>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</si>
  <si>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</si>
  <si>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</si>
  <si>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</si>
  <si>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</si>
  <si>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</si>
  <si>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</si>
  <si>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宁波电商园区核心区前洋E镇南侧</t>
  </si>
  <si>
    <t>宁波市</t>
  </si>
  <si>
    <t>综合用地(含住宅)</t>
  </si>
  <si>
    <t>北仑区</t>
  </si>
  <si>
    <t>挂牌</t>
  </si>
  <si>
    <t>电商创新园区前洋E镇南侧1号地块</t>
  </si>
  <si>
    <t>中低价位、中小套型普通商品住房用地</t>
  </si>
  <si>
    <t>≥1,≤1.5</t>
  </si>
  <si>
    <t>≤35%</t>
  </si>
  <si>
    <t>≤80米</t>
  </si>
  <si>
    <t>未开工</t>
  </si>
  <si>
    <t>2017-12-29</t>
  </si>
  <si>
    <t>2018-01-18</t>
  </si>
  <si>
    <t>2018-01-29</t>
  </si>
  <si>
    <t>甬土资告[2017]第05003号-2</t>
  </si>
  <si>
    <t>已成交</t>
  </si>
  <si>
    <t>宁波佳奥房地产信息咨询有限公司</t>
  </si>
  <si>
    <t>住宅70年、商业40年</t>
  </si>
  <si>
    <t>小港小浃江综合体地块</t>
  </si>
  <si>
    <t>小港泰山路东、小浃江路北</t>
  </si>
  <si>
    <t>城镇住宅及商服用地</t>
  </si>
  <si>
    <t>≥1.5且≤2.2</t>
  </si>
  <si>
    <t>居住≤30%、商服≤60%</t>
  </si>
  <si>
    <t>居住&gt;18且</t>
  </si>
  <si>
    <t>2017-12-19</t>
  </si>
  <si>
    <t>2018-01-08</t>
  </si>
  <si>
    <t>甬土资告[2017]06015号</t>
  </si>
  <si>
    <t>宁波万楚置业有限公司</t>
  </si>
  <si>
    <t>新碶太河路东、恒山路南</t>
  </si>
  <si>
    <t>住宅用地</t>
  </si>
  <si>
    <t>新碶档案馆北侧地块</t>
  </si>
  <si>
    <t>≥1,≤1.8</t>
  </si>
  <si>
    <t>≥18米且≤80米</t>
  </si>
  <si>
    <t>2017-11-20</t>
  </si>
  <si>
    <t>2017-12-11</t>
  </si>
  <si>
    <t>2017-12-21</t>
  </si>
  <si>
    <t>甬土资告[2017]06013号</t>
  </si>
  <si>
    <t>雅戈尔</t>
  </si>
  <si>
    <t>70年</t>
  </si>
  <si>
    <t>小港街道青墩片区11号地块</t>
  </si>
  <si>
    <t>＞1,≤2</t>
  </si>
  <si>
    <t>≤30%</t>
  </si>
  <si>
    <t>≥18米</t>
  </si>
  <si>
    <t>定向安置房,</t>
  </si>
  <si>
    <t>含保障房用地</t>
  </si>
  <si>
    <t>2017-08-30</t>
  </si>
  <si>
    <t>2017-09-20</t>
  </si>
  <si>
    <t>2017-09-30</t>
  </si>
  <si>
    <t>甬土告字[2017]06009号</t>
  </si>
  <si>
    <t>宁波高新区领俊房地产信息咨询有限公司</t>
  </si>
  <si>
    <t>春晓160号地块</t>
  </si>
  <si>
    <t>春晓大道北、明月路东</t>
  </si>
  <si>
    <t>≥2.0且≤2.1</t>
  </si>
  <si>
    <t>开工中</t>
  </si>
  <si>
    <t>2017-05-12</t>
  </si>
  <si>
    <t>2017-06-02</t>
  </si>
  <si>
    <t>2017-06-14</t>
  </si>
  <si>
    <t>甬土资告[2017]06005号</t>
  </si>
  <si>
    <t>舟山景尚置业有限公司(景瑞地产)</t>
  </si>
  <si>
    <t>商业40,住宅70</t>
  </si>
  <si>
    <t>春晓161#地块</t>
  </si>
  <si>
    <t>梅山</t>
  </si>
  <si>
    <t>住宅及商服用地</t>
  </si>
  <si>
    <t>2.0-2.1</t>
  </si>
  <si>
    <t>2017-05-05</t>
  </si>
  <si>
    <t>2017-05-26</t>
  </si>
  <si>
    <t>2017-06-07</t>
  </si>
  <si>
    <t>甬土告字[2017]06004号</t>
  </si>
  <si>
    <t>宁波龙嘉房地产发展有限公司(龙湖)</t>
  </si>
  <si>
    <t>梅山保税港区41#地块</t>
  </si>
  <si>
    <t>1.5-2.1</t>
  </si>
  <si>
    <t>宁波梅山美的房地产发展有限公司(美的)</t>
  </si>
  <si>
    <t>大碶宝山路南、规划二路西地块</t>
  </si>
  <si>
    <t>住宅(安置房等其他用地)</t>
  </si>
  <si>
    <t>1.0-2.21</t>
  </si>
  <si>
    <t>宁波市北仑海州房地产开发有限公司(仑江)</t>
  </si>
  <si>
    <t>城镇住宅用地</t>
  </si>
  <si>
    <t>1.0-1.8</t>
  </si>
  <si>
    <t>大碶九峰山1#地块</t>
  </si>
  <si>
    <t>北仑大碶太河路西</t>
  </si>
  <si>
    <t>1.0-1.01</t>
  </si>
  <si>
    <t>2017-04-21</t>
  </si>
  <si>
    <t>2017-05-24</t>
  </si>
  <si>
    <t>甬土告字[2017]06003号</t>
  </si>
  <si>
    <t>大碶</t>
  </si>
  <si>
    <t>1-1.05</t>
  </si>
  <si>
    <t>35%</t>
  </si>
  <si>
    <t>24米</t>
  </si>
  <si>
    <t>2016-11-08</t>
  </si>
  <si>
    <t>2016-11-29</t>
  </si>
  <si>
    <t>2016-12-09</t>
  </si>
  <si>
    <t>甬仑土挂告[2016]15号</t>
  </si>
  <si>
    <t>宁波市瑞奕房地产发展有限公司</t>
  </si>
  <si>
    <t>春晓140号地块</t>
  </si>
  <si>
    <t>春晓观海路南、西直河路东</t>
  </si>
  <si>
    <t>商住</t>
  </si>
  <si>
    <t>1.0-1.2</t>
  </si>
  <si>
    <t>2016-11-01</t>
  </si>
  <si>
    <t>2016-11-22</t>
  </si>
  <si>
    <t>2016-12-02</t>
  </si>
  <si>
    <t>甬仑土挂告[2016]14号</t>
  </si>
  <si>
    <t>宁波滨海新城置业有限公司</t>
  </si>
  <si>
    <t>住宅70年、商业40年、其他50年</t>
  </si>
  <si>
    <t>柴桥穿咸线东、高村北地块</t>
  </si>
  <si>
    <t>柴桥街道穿咸线东、高村北</t>
  </si>
  <si>
    <t>＞1.0且≤1.2</t>
  </si>
  <si>
    <t>≤45%</t>
  </si>
  <si>
    <t>2016-01-26</t>
  </si>
  <si>
    <t>2016-02-16</t>
  </si>
  <si>
    <t>2016-02-26</t>
  </si>
  <si>
    <t>甬仑土挂告[2016]03号</t>
  </si>
  <si>
    <t>宁波华论发展有限公司</t>
  </si>
  <si>
    <t>大榭行政商务区DX03-01-48地块</t>
  </si>
  <si>
    <t>行政商务区豪都花园一期北侧、山体南侧</t>
  </si>
  <si>
    <t>大于1并且小于或等于2</t>
  </si>
  <si>
    <t>已完工</t>
  </si>
  <si>
    <t>2015-06-02</t>
  </si>
  <si>
    <t>2015-06-22</t>
  </si>
  <si>
    <t>2015-07-01</t>
  </si>
  <si>
    <t>甬榭土告字[2015]1号</t>
  </si>
  <si>
    <t>宁波大榭房地产有限公司</t>
  </si>
  <si>
    <t>中南·锦悦府</t>
    <phoneticPr fontId="3" type="noConversion"/>
  </si>
  <si>
    <t>北仓区</t>
    <phoneticPr fontId="3" type="noConversion"/>
  </si>
  <si>
    <t>住宅</t>
    <phoneticPr fontId="26" type="noConversion"/>
  </si>
  <si>
    <t>70</t>
    <phoneticPr fontId="26" type="noConversion"/>
  </si>
  <si>
    <t>无</t>
    <phoneticPr fontId="26" type="noConversion"/>
  </si>
  <si>
    <t>六通</t>
  </si>
  <si>
    <t>较规则</t>
    <phoneticPr fontId="26" type="noConversion"/>
  </si>
  <si>
    <t>较适宜</t>
    <phoneticPr fontId="26" type="noConversion"/>
  </si>
  <si>
    <t>较好</t>
    <phoneticPr fontId="26" type="noConversion"/>
  </si>
  <si>
    <t>单位面积地价</t>
  </si>
  <si>
    <t>住宅</t>
    <phoneticPr fontId="26" type="noConversion"/>
  </si>
  <si>
    <t>三通</t>
  </si>
  <si>
    <t>比较法-住宅、综合</t>
  </si>
  <si>
    <t>项目全部</t>
  </si>
  <si>
    <t>土地</t>
  </si>
  <si>
    <r>
      <rPr>
        <b/>
        <sz val="18"/>
        <color indexed="60"/>
        <rFont val="黑体"/>
        <family val="3"/>
        <charset val="134"/>
      </rPr>
      <t>规</t>
    </r>
    <r>
      <rPr>
        <b/>
        <sz val="18"/>
        <color indexed="60"/>
        <rFont val="Times New Roman"/>
        <family val="1"/>
      </rPr>
      <t xml:space="preserve">  </t>
    </r>
    <r>
      <rPr>
        <b/>
        <sz val="18"/>
        <color indexed="60"/>
        <rFont val="黑体"/>
        <family val="3"/>
        <charset val="134"/>
      </rPr>
      <t>划</t>
    </r>
    <r>
      <rPr>
        <b/>
        <sz val="18"/>
        <color indexed="60"/>
        <rFont val="Times New Roman"/>
        <family val="1"/>
      </rPr>
      <t xml:space="preserve">  </t>
    </r>
    <r>
      <rPr>
        <b/>
        <sz val="18"/>
        <color indexed="60"/>
        <rFont val="黑体"/>
        <family val="3"/>
        <charset val="134"/>
      </rPr>
      <t>指</t>
    </r>
    <r>
      <rPr>
        <b/>
        <sz val="18"/>
        <color indexed="60"/>
        <rFont val="Times New Roman"/>
        <family val="1"/>
      </rPr>
      <t xml:space="preserve">  </t>
    </r>
    <r>
      <rPr>
        <b/>
        <sz val="18"/>
        <color indexed="60"/>
        <rFont val="黑体"/>
        <family val="3"/>
        <charset val="134"/>
      </rPr>
      <t>标</t>
    </r>
    <r>
      <rPr>
        <b/>
        <sz val="18"/>
        <color indexed="60"/>
        <rFont val="Times New Roman"/>
        <family val="1"/>
      </rPr>
      <t xml:space="preserve"> </t>
    </r>
    <r>
      <rPr>
        <b/>
        <sz val="18"/>
        <color indexed="60"/>
        <rFont val="黑体"/>
        <family val="3"/>
        <charset val="134"/>
      </rPr>
      <t>表</t>
    </r>
  </si>
  <si>
    <t>总占地面积(M2)</t>
  </si>
  <si>
    <t>可售比</t>
  </si>
  <si>
    <r>
      <rPr>
        <b/>
        <sz val="10"/>
        <rFont val="宋体"/>
        <family val="3"/>
        <charset val="134"/>
      </rPr>
      <t>容</t>
    </r>
    <r>
      <rPr>
        <b/>
        <sz val="10"/>
        <rFont val="Times New Roman"/>
        <family val="1"/>
      </rPr>
      <t xml:space="preserve">    </t>
    </r>
    <r>
      <rPr>
        <b/>
        <sz val="10"/>
        <rFont val="宋体"/>
        <family val="3"/>
        <charset val="134"/>
      </rPr>
      <t>积</t>
    </r>
    <r>
      <rPr>
        <b/>
        <sz val="10"/>
        <rFont val="Times New Roman"/>
        <family val="1"/>
      </rPr>
      <t xml:space="preserve">    </t>
    </r>
    <r>
      <rPr>
        <b/>
        <sz val="10"/>
        <rFont val="宋体"/>
        <family val="3"/>
        <charset val="134"/>
      </rPr>
      <t>率</t>
    </r>
  </si>
  <si>
    <t>景观面积</t>
  </si>
  <si>
    <t>区内道路面积</t>
  </si>
  <si>
    <t>政府要求车位数量配比</t>
  </si>
  <si>
    <t>建设用地面积(M2)</t>
  </si>
  <si>
    <t>总销售面积(M2)</t>
  </si>
  <si>
    <t>计容面积(M2)</t>
  </si>
  <si>
    <t>小区入口数量（个）</t>
  </si>
  <si>
    <t>道路占有率</t>
  </si>
  <si>
    <t>建筑物占地面积(M2)</t>
  </si>
  <si>
    <t>其中：地上可售</t>
  </si>
  <si>
    <t>总户数</t>
  </si>
  <si>
    <t>建筑限高（M）</t>
  </si>
  <si>
    <t>车位数量</t>
  </si>
  <si>
    <t>实际车位数量配比</t>
  </si>
  <si>
    <t>赠送面积(M2)</t>
  </si>
  <si>
    <t xml:space="preserve">     地下可售</t>
  </si>
  <si>
    <t>景观绿化率</t>
  </si>
  <si>
    <t>其中：地上车位</t>
  </si>
  <si>
    <t>其中:地上车位</t>
  </si>
  <si>
    <t>分摊口径可售面积</t>
  </si>
  <si>
    <t>其中：地下车位</t>
  </si>
  <si>
    <t>其中:地下车位</t>
  </si>
  <si>
    <t>产品构成</t>
  </si>
  <si>
    <t>占地面积
(m2)</t>
  </si>
  <si>
    <t>计容面积
(m2)</t>
  </si>
  <si>
    <t>建筑面积
(m2)</t>
  </si>
  <si>
    <t>地上建筑面积
(m2)</t>
  </si>
  <si>
    <t>地下建筑面积
(m2)</t>
  </si>
  <si>
    <t>自持面积
(m2)</t>
  </si>
  <si>
    <t>地上自持面积
(m2)</t>
  </si>
  <si>
    <t>地下自持面积
(m2)</t>
  </si>
  <si>
    <t>可售面积
(m2)</t>
  </si>
  <si>
    <t>地上可售面积
(m2)</t>
  </si>
  <si>
    <t>地下可售面积
(m2)</t>
  </si>
  <si>
    <r>
      <rPr>
        <b/>
        <sz val="10"/>
        <rFont val="宋体"/>
        <family val="3"/>
        <charset val="134"/>
      </rPr>
      <t xml:space="preserve">建造面积
</t>
    </r>
    <r>
      <rPr>
        <b/>
        <sz val="10"/>
        <rFont val="Times New Roman"/>
        <family val="1"/>
      </rPr>
      <t>(m2)</t>
    </r>
  </si>
  <si>
    <t>单元数</t>
  </si>
  <si>
    <t>电梯数</t>
  </si>
  <si>
    <t>户数</t>
  </si>
  <si>
    <t>精装修面积</t>
  </si>
  <si>
    <t>赠送面积</t>
  </si>
  <si>
    <t>精装修户数</t>
  </si>
  <si>
    <t>楼层数</t>
  </si>
  <si>
    <t>物业分类</t>
  </si>
  <si>
    <t>业态名称</t>
  </si>
  <si>
    <t>产品配置标准</t>
  </si>
  <si>
    <t>独栋别墅</t>
  </si>
  <si>
    <t>联排别墅</t>
  </si>
  <si>
    <t>叠加别墅</t>
  </si>
  <si>
    <t>双拼别墅</t>
  </si>
  <si>
    <t>多层花园洋房（6-9层）</t>
  </si>
  <si>
    <t>小高层（10-18层）</t>
  </si>
  <si>
    <t>高层（19层以上，层高100米以下）</t>
  </si>
  <si>
    <t>超高层（层高100米以上）</t>
  </si>
  <si>
    <t>商业</t>
  </si>
  <si>
    <t>街区式商业</t>
  </si>
  <si>
    <t>shopping mall</t>
  </si>
  <si>
    <t>底商</t>
  </si>
  <si>
    <t>公寓式酒店</t>
  </si>
  <si>
    <t>写字楼(非超高层)</t>
  </si>
  <si>
    <t>写字楼(超高层)</t>
  </si>
  <si>
    <t>酒店(超高层)</t>
  </si>
  <si>
    <t>酒店(非超高层)</t>
  </si>
  <si>
    <t>LOFT(非超高层)</t>
  </si>
  <si>
    <t>LOFT(超高层)</t>
  </si>
  <si>
    <t>平层公寓(非超高层)</t>
  </si>
  <si>
    <t>平层公寓(超高层)</t>
  </si>
  <si>
    <t>公建配套</t>
  </si>
  <si>
    <t>人防地库_普通车位</t>
  </si>
  <si>
    <t>人防地库_机械车位</t>
  </si>
  <si>
    <t>非人防地库_普通车位</t>
  </si>
  <si>
    <t>非人防地库_机械车位</t>
  </si>
  <si>
    <t>学校</t>
  </si>
  <si>
    <t>会所</t>
  </si>
  <si>
    <t>幼儿园</t>
  </si>
  <si>
    <t>物业用房</t>
  </si>
  <si>
    <t>公共事业用房</t>
  </si>
  <si>
    <t>公共设备用房</t>
  </si>
  <si>
    <t>公共建设</t>
  </si>
  <si>
    <t>半地下室</t>
  </si>
  <si>
    <t>待摊业态</t>
  </si>
  <si>
    <t>校验</t>
  </si>
  <si>
    <t>停车位组成</t>
  </si>
  <si>
    <t>车位数(个)</t>
  </si>
  <si>
    <r>
      <rPr>
        <b/>
        <sz val="10"/>
        <rFont val="宋体"/>
        <family val="3"/>
        <charset val="134"/>
      </rPr>
      <t>建筑面积</t>
    </r>
    <r>
      <rPr>
        <b/>
        <sz val="10"/>
        <rFont val="Times New Roman"/>
        <family val="1"/>
      </rPr>
      <t>(m2)</t>
    </r>
  </si>
  <si>
    <r>
      <rPr>
        <b/>
        <sz val="10"/>
        <rFont val="宋体"/>
        <family val="3"/>
        <charset val="134"/>
      </rPr>
      <t>可售面积</t>
    </r>
    <r>
      <rPr>
        <b/>
        <sz val="10"/>
        <rFont val="Times New Roman"/>
        <family val="1"/>
      </rPr>
      <t>(m2)</t>
    </r>
  </si>
  <si>
    <t>车位面积            (m2/个)</t>
  </si>
  <si>
    <t>层高（m）</t>
  </si>
  <si>
    <t>停车</t>
  </si>
  <si>
    <t>非人防地下车库</t>
  </si>
  <si>
    <t>人防地下室</t>
  </si>
  <si>
    <t>架空层（半地下室）</t>
  </si>
  <si>
    <t>地面车库</t>
  </si>
  <si>
    <t>地面露天</t>
  </si>
  <si>
    <t>说明：</t>
  </si>
  <si>
    <t>1、建造面积=建筑面积+赠送面积+计算规则面积差，赠送面积（不计容积率面积）按以下规则计算：</t>
  </si>
  <si>
    <t>剩余法-待开发</t>
  </si>
  <si>
    <t>宁波电商园区核心区前洋E镇南侧</t>
    <phoneticPr fontId="233" type="noConversion"/>
  </si>
  <si>
    <t>梅山保税港区41#地块</t>
    <phoneticPr fontId="233" type="noConversion"/>
  </si>
  <si>
    <t>大碶宝山路南、规划二路西地块</t>
    <phoneticPr fontId="233" type="noConversion"/>
  </si>
  <si>
    <t>春晓160号地块</t>
    <phoneticPr fontId="233" type="noConversion"/>
  </si>
  <si>
    <t>梅山保税港区40#地块</t>
    <phoneticPr fontId="233" type="noConversion"/>
  </si>
  <si>
    <t>大碶九峰山5-1号地块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</si>
</sst>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0_ "/>
    <numFmt numFmtId="196" formatCode="_ * #,##0_ ;_ * \-#,##0_ ;_ * &quot;-&quot;??_ ;_ @_ "/>
    <numFmt numFmtId="197" formatCode="#,##0.00_ "/>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theme="1"/>
      <name val="Times New Roman"/>
      <family val="1"/>
    </font>
    <font>
      <sz val="12"/>
      <color theme="1"/>
      <name val="宋体"/>
      <family val="3"/>
      <charset val="134"/>
    </font>
    <font>
      <sz val="14"/>
      <color rgb="FF000000"/>
      <name val="等线"/>
      <charset val="134"/>
    </font>
    <font>
      <b/>
      <sz val="18"/>
      <color indexed="60"/>
      <name val="黑体"/>
      <family val="3"/>
      <charset val="134"/>
    </font>
    <font>
      <b/>
      <sz val="18"/>
      <color indexed="60"/>
      <name val="Times New Roman"/>
      <family val="1"/>
    </font>
    <font>
      <b/>
      <sz val="10"/>
      <name val="Times New Roman"/>
      <family val="1"/>
    </font>
    <font>
      <sz val="11"/>
      <color rgb="FF000000"/>
      <name val="宋体"/>
      <family val="3"/>
      <charset val="134"/>
      <scheme val="minor"/>
    </font>
    <font>
      <sz val="10"/>
      <color rgb="FF000000"/>
      <name val="宋体"/>
      <family val="3"/>
      <charset val="134"/>
      <scheme val="minor"/>
    </font>
    <font>
      <b/>
      <sz val="10"/>
      <color rgb="FF000000"/>
      <name val="Arial"/>
      <family val="2"/>
    </font>
    <font>
      <sz val="10"/>
      <color indexed="12"/>
      <name val="Arial"/>
      <family val="2"/>
    </font>
    <font>
      <sz val="10"/>
      <color indexed="1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58ED5"/>
        <bgColor indexed="64"/>
      </patternFill>
    </fill>
    <fill>
      <patternFill patternType="solid">
        <fgColor theme="9" tint="0.59999389629810485"/>
        <bgColor indexed="64"/>
      </patternFill>
    </fill>
    <fill>
      <patternFill patternType="solid">
        <fgColor indexed="44"/>
        <bgColor indexed="64"/>
      </patternFill>
    </fill>
    <fill>
      <patternFill patternType="solid">
        <fgColor theme="9" tint="0.39985351115451523"/>
        <bgColor indexed="64"/>
      </patternFill>
    </fill>
    <fill>
      <patternFill patternType="solid">
        <fgColor rgb="FFBFBFBF"/>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45" fillId="0" borderId="0">
      <alignment vertical="center"/>
    </xf>
    <xf numFmtId="194" fontId="81" fillId="0" borderId="0" applyFont="0" applyFill="0" applyBorder="0" applyAlignment="0" applyProtection="0">
      <alignment vertical="center"/>
    </xf>
    <xf numFmtId="9" fontId="81" fillId="0" borderId="0" applyFont="0" applyFill="0" applyBorder="0" applyAlignment="0" applyProtection="0">
      <alignment vertical="center"/>
    </xf>
    <xf numFmtId="0" fontId="32" fillId="0" borderId="0">
      <alignment vertical="top"/>
    </xf>
  </cellStyleXfs>
  <cellXfs count="36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278" fillId="17" borderId="153" xfId="0" applyFont="1" applyFill="1" applyBorder="1" applyAlignment="1">
      <alignment horizontal="center" vertical="center" wrapText="1"/>
    </xf>
    <xf numFmtId="0" fontId="278" fillId="17" borderId="154" xfId="0" applyFont="1" applyFill="1" applyBorder="1" applyAlignment="1">
      <alignment horizontal="center" vertical="center" wrapText="1"/>
    </xf>
    <xf numFmtId="0" fontId="278" fillId="0" borderId="157" xfId="0" applyFont="1" applyBorder="1" applyAlignment="1">
      <alignment horizontal="center" vertical="center" wrapText="1"/>
    </xf>
    <xf numFmtId="0" fontId="277" fillId="0" borderId="157" xfId="0" applyFont="1" applyBorder="1" applyAlignment="1">
      <alignment vertical="center" wrapText="1"/>
    </xf>
    <xf numFmtId="0" fontId="278" fillId="0" borderId="155" xfId="0" applyFont="1" applyBorder="1" applyAlignment="1">
      <alignment horizontal="center" vertical="center" wrapText="1"/>
    </xf>
    <xf numFmtId="0" fontId="145" fillId="0" borderId="0" xfId="0" applyFont="1">
      <alignment vertical="center"/>
    </xf>
    <xf numFmtId="0" fontId="279"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0" fillId="18" borderId="0" xfId="0" applyFill="1" applyAlignment="1"/>
    <xf numFmtId="0" fontId="127" fillId="18" borderId="0" xfId="0" applyFont="1" applyFill="1" applyAlignment="1"/>
    <xf numFmtId="0" fontId="158" fillId="18" borderId="0" xfId="0" applyFont="1" applyFill="1" applyAlignment="1"/>
    <xf numFmtId="0" fontId="0" fillId="6" borderId="0" xfId="0" applyFill="1"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280" fillId="0" borderId="0" xfId="15" applyFont="1" applyFill="1" applyBorder="1" applyAlignment="1" applyProtection="1">
      <alignment horizontal="center" vertical="center"/>
      <protection locked="0"/>
    </xf>
    <xf numFmtId="0" fontId="145" fillId="0" borderId="0" xfId="15">
      <alignment vertical="center"/>
    </xf>
    <xf numFmtId="179" fontId="226" fillId="20" borderId="7" xfId="16" applyNumberFormat="1" applyFont="1" applyFill="1" applyBorder="1" applyAlignment="1" applyProtection="1">
      <alignment horizontal="left" vertical="center"/>
      <protection locked="0"/>
    </xf>
    <xf numFmtId="195" fontId="226" fillId="19" borderId="42" xfId="15" applyNumberFormat="1" applyFont="1" applyFill="1" applyBorder="1" applyAlignment="1" applyProtection="1">
      <alignment horizontal="center" vertical="center" wrapText="1"/>
      <protection locked="0"/>
    </xf>
    <xf numFmtId="9" fontId="226" fillId="5" borderId="6" xfId="17" applyFont="1" applyFill="1" applyBorder="1" applyAlignment="1" applyProtection="1">
      <alignment horizontal="left" vertical="center"/>
    </xf>
    <xf numFmtId="195" fontId="226" fillId="19" borderId="6" xfId="15" applyNumberFormat="1" applyFont="1" applyFill="1" applyBorder="1" applyAlignment="1" applyProtection="1">
      <alignment horizontal="center" vertical="center" wrapText="1"/>
      <protection locked="0"/>
    </xf>
    <xf numFmtId="0" fontId="226" fillId="19" borderId="6" xfId="15" applyFont="1" applyFill="1" applyBorder="1" applyAlignment="1" applyProtection="1">
      <alignment horizontal="center" vertical="center"/>
      <protection locked="0"/>
    </xf>
    <xf numFmtId="179" fontId="226" fillId="20" borderId="6" xfId="15" applyNumberFormat="1" applyFont="1" applyFill="1" applyBorder="1" applyAlignment="1" applyProtection="1">
      <alignment horizontal="left" vertical="center"/>
    </xf>
    <xf numFmtId="0" fontId="226" fillId="20" borderId="6" xfId="15" applyFont="1" applyFill="1" applyBorder="1" applyAlignment="1" applyProtection="1">
      <alignment horizontal="left" vertical="center"/>
      <protection locked="0"/>
    </xf>
    <xf numFmtId="0" fontId="226" fillId="0" borderId="0" xfId="15" applyFont="1" applyFill="1" applyBorder="1" applyAlignment="1" applyProtection="1">
      <alignment horizontal="left" vertical="center"/>
      <protection locked="0"/>
    </xf>
    <xf numFmtId="179" fontId="226" fillId="5" borderId="12" xfId="16" applyNumberFormat="1" applyFont="1" applyFill="1" applyBorder="1" applyAlignment="1" applyProtection="1">
      <alignment horizontal="left" vertical="center"/>
    </xf>
    <xf numFmtId="195" fontId="226" fillId="19" borderId="9" xfId="15" applyNumberFormat="1" applyFont="1" applyFill="1" applyBorder="1" applyAlignment="1" applyProtection="1">
      <alignment horizontal="center" vertical="center" wrapText="1"/>
      <protection locked="0"/>
    </xf>
    <xf numFmtId="179" fontId="226" fillId="5" borderId="2" xfId="16" applyNumberFormat="1" applyFont="1" applyFill="1" applyBorder="1" applyAlignment="1" applyProtection="1">
      <alignment horizontal="left" vertical="center"/>
    </xf>
    <xf numFmtId="0" fontId="226" fillId="19" borderId="2" xfId="15" applyFont="1" applyFill="1" applyBorder="1" applyAlignment="1" applyProtection="1">
      <alignment horizontal="center" vertical="center"/>
      <protection locked="0"/>
    </xf>
    <xf numFmtId="0" fontId="226" fillId="5" borderId="2" xfId="15" applyFont="1" applyFill="1" applyBorder="1" applyAlignment="1" applyProtection="1">
      <alignment horizontal="left" vertical="center"/>
      <protection locked="0"/>
    </xf>
    <xf numFmtId="9" fontId="226" fillId="5" borderId="2" xfId="17" applyFont="1" applyFill="1" applyBorder="1" applyAlignment="1" applyProtection="1">
      <alignment horizontal="left" vertical="center"/>
    </xf>
    <xf numFmtId="195" fontId="226" fillId="19" borderId="2" xfId="15" applyNumberFormat="1" applyFont="1" applyFill="1" applyBorder="1" applyAlignment="1" applyProtection="1">
      <alignment horizontal="center" vertical="center" wrapText="1"/>
      <protection locked="0"/>
    </xf>
    <xf numFmtId="0" fontId="226" fillId="5" borderId="2" xfId="15" applyFont="1" applyFill="1" applyBorder="1" applyAlignment="1" applyProtection="1">
      <alignment horizontal="left" vertical="center"/>
    </xf>
    <xf numFmtId="12" fontId="226" fillId="5" borderId="12" xfId="17" applyNumberFormat="1" applyFont="1" applyFill="1" applyBorder="1" applyAlignment="1" applyProtection="1">
      <alignment horizontal="center" vertical="center"/>
    </xf>
    <xf numFmtId="0" fontId="226" fillId="0" borderId="2" xfId="15" applyFont="1" applyFill="1" applyBorder="1" applyAlignment="1" applyProtection="1">
      <alignment horizontal="left" vertical="center"/>
      <protection locked="0"/>
    </xf>
    <xf numFmtId="9" fontId="226" fillId="5" borderId="12" xfId="17" applyFont="1" applyFill="1" applyBorder="1" applyAlignment="1" applyProtection="1">
      <alignment horizontal="center" vertical="center"/>
    </xf>
    <xf numFmtId="195" fontId="226" fillId="19" borderId="47" xfId="15" applyNumberFormat="1" applyFont="1" applyFill="1" applyBorder="1" applyAlignment="1" applyProtection="1">
      <alignment horizontal="center" vertical="center" wrapText="1"/>
      <protection locked="0"/>
    </xf>
    <xf numFmtId="179" fontId="226" fillId="5" borderId="44" xfId="16" applyNumberFormat="1" applyFont="1" applyFill="1" applyBorder="1" applyAlignment="1" applyProtection="1">
      <alignment horizontal="left" vertical="center"/>
    </xf>
    <xf numFmtId="195" fontId="226" fillId="19" borderId="44" xfId="15" applyNumberFormat="1" applyFont="1" applyFill="1" applyBorder="1" applyAlignment="1" applyProtection="1">
      <alignment horizontal="center" vertical="center" wrapText="1"/>
      <protection locked="0"/>
    </xf>
    <xf numFmtId="195" fontId="226" fillId="0" borderId="44" xfId="15" applyNumberFormat="1" applyFont="1" applyFill="1" applyBorder="1" applyAlignment="1" applyProtection="1">
      <alignment horizontal="left" vertical="center" wrapText="1"/>
      <protection locked="0"/>
    </xf>
    <xf numFmtId="9" fontId="226" fillId="5" borderId="46" xfId="17" applyFont="1" applyFill="1" applyBorder="1" applyAlignment="1" applyProtection="1">
      <alignment horizontal="center" vertical="center"/>
    </xf>
    <xf numFmtId="0" fontId="226" fillId="0" borderId="0" xfId="15" applyFont="1" applyFill="1" applyBorder="1" applyAlignment="1" applyProtection="1">
      <alignment vertical="center"/>
      <protection locked="0"/>
    </xf>
    <xf numFmtId="0" fontId="226" fillId="19" borderId="11" xfId="15" applyFont="1" applyFill="1" applyBorder="1" applyAlignment="1" applyProtection="1">
      <alignment horizontal="center" vertical="center" wrapText="1"/>
      <protection locked="0"/>
    </xf>
    <xf numFmtId="0" fontId="226" fillId="19" borderId="2" xfId="15" applyFont="1" applyFill="1" applyBorder="1" applyAlignment="1" applyProtection="1">
      <alignment horizontal="center" vertical="center" wrapText="1"/>
      <protection locked="0"/>
    </xf>
    <xf numFmtId="0" fontId="233" fillId="0" borderId="2" xfId="15" applyFont="1" applyBorder="1" applyAlignment="1" applyProtection="1">
      <alignment horizontal="left" vertical="center" wrapText="1"/>
      <protection locked="0"/>
    </xf>
    <xf numFmtId="0" fontId="127" fillId="0" borderId="2" xfId="15" applyFont="1" applyFill="1" applyBorder="1" applyAlignment="1" applyProtection="1">
      <alignment horizontal="center" vertical="center"/>
      <protection locked="0"/>
    </xf>
    <xf numFmtId="176" fontId="283" fillId="0" borderId="159" xfId="15" applyNumberFormat="1" applyFont="1" applyBorder="1" applyAlignment="1" applyProtection="1">
      <alignment horizontal="right" vertical="center" wrapText="1"/>
      <protection locked="0"/>
    </xf>
    <xf numFmtId="176" fontId="283" fillId="21" borderId="159" xfId="15" applyNumberFormat="1" applyFont="1" applyFill="1" applyBorder="1" applyAlignment="1" applyProtection="1">
      <alignment horizontal="right" vertical="center" wrapText="1"/>
      <protection locked="0"/>
    </xf>
    <xf numFmtId="0" fontId="284" fillId="0" borderId="159" xfId="15" applyFont="1" applyBorder="1" applyAlignment="1" applyProtection="1">
      <alignment vertical="center" wrapText="1"/>
      <protection locked="0"/>
    </xf>
    <xf numFmtId="195" fontId="283" fillId="21" borderId="159" xfId="15" applyNumberFormat="1" applyFont="1" applyFill="1" applyBorder="1" applyAlignment="1">
      <alignment horizontal="right" vertical="center" wrapText="1"/>
    </xf>
    <xf numFmtId="184" fontId="283" fillId="0" borderId="159" xfId="15" applyNumberFormat="1" applyFont="1" applyBorder="1" applyAlignment="1" applyProtection="1">
      <alignment horizontal="right" vertical="center" wrapText="1"/>
      <protection locked="0"/>
    </xf>
    <xf numFmtId="176" fontId="283" fillId="0" borderId="160" xfId="15" applyNumberFormat="1" applyFont="1" applyBorder="1" applyAlignment="1" applyProtection="1">
      <alignment horizontal="right" vertical="center" wrapText="1"/>
      <protection locked="0"/>
    </xf>
    <xf numFmtId="176" fontId="263" fillId="0" borderId="159" xfId="15" applyNumberFormat="1" applyFont="1" applyBorder="1" applyAlignment="1" applyProtection="1">
      <alignment horizontal="right" vertical="center" wrapText="1"/>
      <protection locked="0"/>
    </xf>
    <xf numFmtId="176" fontId="263" fillId="21" borderId="159" xfId="15" applyNumberFormat="1" applyFont="1" applyFill="1" applyBorder="1" applyAlignment="1" applyProtection="1">
      <alignment horizontal="right" vertical="center" wrapText="1"/>
      <protection locked="0"/>
    </xf>
    <xf numFmtId="176" fontId="263" fillId="0" borderId="159" xfId="15" applyNumberFormat="1" applyFont="1" applyBorder="1" applyAlignment="1" applyProtection="1">
      <alignment vertical="center" wrapText="1"/>
      <protection locked="0"/>
    </xf>
    <xf numFmtId="176" fontId="263" fillId="21" borderId="159" xfId="15" applyNumberFormat="1" applyFont="1" applyFill="1" applyBorder="1" applyAlignment="1">
      <alignment horizontal="right" vertical="center" wrapText="1"/>
    </xf>
    <xf numFmtId="176" fontId="263" fillId="0" borderId="160" xfId="15" applyNumberFormat="1" applyFont="1" applyBorder="1" applyAlignment="1" applyProtection="1">
      <alignment horizontal="right" vertical="center" wrapText="1"/>
      <protection locked="0"/>
    </xf>
    <xf numFmtId="0" fontId="3" fillId="0" borderId="2" xfId="15" applyFont="1" applyFill="1" applyBorder="1" applyAlignment="1" applyProtection="1">
      <alignment horizontal="center" vertical="center" wrapText="1"/>
      <protection locked="0"/>
    </xf>
    <xf numFmtId="0" fontId="3" fillId="0" borderId="2" xfId="15" applyFont="1" applyFill="1" applyBorder="1" applyAlignment="1" applyProtection="1">
      <alignment horizontal="left" vertical="center" wrapText="1"/>
      <protection locked="0"/>
    </xf>
    <xf numFmtId="176" fontId="263" fillId="0" borderId="159" xfId="15" applyNumberFormat="1" applyFont="1" applyFill="1" applyBorder="1" applyAlignment="1" applyProtection="1">
      <alignment horizontal="right" vertical="center" wrapText="1"/>
      <protection locked="0"/>
    </xf>
    <xf numFmtId="176" fontId="263" fillId="0" borderId="160" xfId="15" applyNumberFormat="1" applyFont="1" applyFill="1" applyBorder="1" applyAlignment="1" applyProtection="1">
      <alignment horizontal="right" vertical="center" wrapText="1"/>
      <protection locked="0"/>
    </xf>
    <xf numFmtId="176" fontId="263" fillId="0" borderId="159" xfId="15" applyNumberFormat="1" applyFont="1" applyFill="1" applyBorder="1" applyAlignment="1" applyProtection="1">
      <alignment vertical="center" wrapText="1"/>
      <protection locked="0"/>
    </xf>
    <xf numFmtId="176" fontId="95" fillId="5" borderId="2" xfId="15" applyNumberFormat="1" applyFont="1" applyFill="1" applyBorder="1" applyAlignment="1" applyProtection="1">
      <alignment horizontal="right" vertical="center" wrapText="1"/>
    </xf>
    <xf numFmtId="176" fontId="95" fillId="5" borderId="12" xfId="15" applyNumberFormat="1" applyFont="1" applyFill="1" applyBorder="1" applyAlignment="1" applyProtection="1">
      <alignment horizontal="right" vertical="center" wrapText="1"/>
    </xf>
    <xf numFmtId="195" fontId="263" fillId="21" borderId="159" xfId="15" applyNumberFormat="1" applyFont="1" applyFill="1" applyBorder="1" applyAlignment="1">
      <alignment horizontal="right" vertical="center" wrapText="1"/>
    </xf>
    <xf numFmtId="196" fontId="263" fillId="0" borderId="159" xfId="15" applyNumberFormat="1" applyFont="1" applyBorder="1" applyAlignment="1">
      <alignment horizontal="right" vertical="center" wrapText="1"/>
    </xf>
    <xf numFmtId="184" fontId="263" fillId="0" borderId="159" xfId="15" applyNumberFormat="1" applyFont="1" applyBorder="1" applyAlignment="1" applyProtection="1">
      <alignment horizontal="right" vertical="center" wrapText="1"/>
      <protection locked="0"/>
    </xf>
    <xf numFmtId="0" fontId="263" fillId="0" borderId="159" xfId="15" applyFont="1" applyBorder="1" applyAlignment="1" applyProtection="1">
      <alignment vertical="center" wrapText="1"/>
      <protection locked="0"/>
    </xf>
    <xf numFmtId="184" fontId="95" fillId="5" borderId="2" xfId="15" applyNumberFormat="1" applyFont="1" applyFill="1" applyBorder="1" applyAlignment="1" applyProtection="1">
      <alignment horizontal="right" vertical="center" wrapText="1"/>
    </xf>
    <xf numFmtId="2" fontId="263" fillId="0" borderId="159" xfId="15" applyNumberFormat="1" applyFont="1" applyBorder="1" applyAlignment="1" applyProtection="1">
      <alignment vertical="center" wrapText="1"/>
      <protection locked="0"/>
    </xf>
    <xf numFmtId="184" fontId="263" fillId="0" borderId="159" xfId="15" applyNumberFormat="1" applyFont="1" applyBorder="1" applyAlignment="1">
      <alignment horizontal="right" vertical="center" wrapText="1"/>
    </xf>
    <xf numFmtId="196" fontId="263" fillId="21" borderId="159" xfId="15" applyNumberFormat="1" applyFont="1" applyFill="1" applyBorder="1" applyAlignment="1">
      <alignment horizontal="right" vertical="center" wrapText="1"/>
    </xf>
    <xf numFmtId="176" fontId="252" fillId="0" borderId="2" xfId="15" applyNumberFormat="1" applyFont="1" applyFill="1" applyBorder="1" applyAlignment="1" applyProtection="1">
      <alignment horizontal="right" vertical="center" wrapText="1"/>
      <protection locked="0"/>
    </xf>
    <xf numFmtId="176" fontId="285" fillId="21" borderId="161" xfId="15" applyNumberFormat="1" applyFont="1" applyFill="1" applyBorder="1" applyAlignment="1">
      <alignment horizontal="right" vertical="center" wrapText="1"/>
    </xf>
    <xf numFmtId="176" fontId="285" fillId="21" borderId="162" xfId="15" applyNumberFormat="1" applyFont="1" applyFill="1" applyBorder="1" applyAlignment="1">
      <alignment horizontal="right" vertical="center" wrapText="1"/>
    </xf>
    <xf numFmtId="176" fontId="252" fillId="0" borderId="0" xfId="15" applyNumberFormat="1" applyFont="1" applyFill="1" applyBorder="1" applyAlignment="1" applyProtection="1">
      <alignment horizontal="right" vertical="center" wrapText="1"/>
      <protection locked="0"/>
    </xf>
    <xf numFmtId="195" fontId="226" fillId="19" borderId="7" xfId="15" applyNumberFormat="1" applyFont="1" applyFill="1" applyBorder="1" applyAlignment="1" applyProtection="1">
      <alignment horizontal="center" vertical="center" wrapText="1"/>
      <protection locked="0"/>
    </xf>
    <xf numFmtId="195" fontId="226" fillId="0" borderId="0" xfId="15" applyNumberFormat="1" applyFont="1" applyFill="1" applyAlignment="1" applyProtection="1">
      <alignment horizontal="center" vertical="center" wrapText="1"/>
      <protection locked="0"/>
    </xf>
    <xf numFmtId="0" fontId="127" fillId="0" borderId="0" xfId="15" applyFont="1" applyFill="1" applyBorder="1" applyAlignment="1" applyProtection="1">
      <alignment horizontal="left" vertical="center" wrapText="1"/>
      <protection locked="0"/>
    </xf>
    <xf numFmtId="0" fontId="127" fillId="0" borderId="0" xfId="15" applyFont="1" applyFill="1" applyAlignment="1" applyProtection="1">
      <alignment vertical="center"/>
      <protection locked="0"/>
    </xf>
    <xf numFmtId="0" fontId="127" fillId="0" borderId="2" xfId="15" applyFont="1" applyFill="1" applyBorder="1" applyAlignment="1" applyProtection="1">
      <alignment horizontal="left" vertical="center" wrapText="1"/>
      <protection locked="0"/>
    </xf>
    <xf numFmtId="177" fontId="86" fillId="6" borderId="2" xfId="18" applyNumberFormat="1" applyFont="1" applyFill="1" applyBorder="1" applyAlignment="1">
      <alignment horizontal="center" vertical="center" wrapText="1" shrinkToFit="1"/>
    </xf>
    <xf numFmtId="195" fontId="79" fillId="0" borderId="2" xfId="15" applyNumberFormat="1" applyFont="1" applyFill="1" applyBorder="1" applyAlignment="1" applyProtection="1">
      <alignment horizontal="center" vertical="center" wrapText="1"/>
      <protection locked="0"/>
    </xf>
    <xf numFmtId="195" fontId="286" fillId="0" borderId="2" xfId="15" applyNumberFormat="1" applyFont="1" applyFill="1" applyBorder="1" applyAlignment="1" applyProtection="1">
      <alignment horizontal="right" vertical="center" wrapText="1"/>
      <protection locked="0"/>
    </xf>
    <xf numFmtId="197" fontId="79" fillId="0" borderId="2" xfId="15" applyNumberFormat="1" applyFont="1" applyFill="1" applyBorder="1" applyAlignment="1" applyProtection="1">
      <alignment horizontal="center" vertical="center" wrapText="1"/>
      <protection locked="0"/>
    </xf>
    <xf numFmtId="197" fontId="79" fillId="6" borderId="12" xfId="15" applyNumberFormat="1" applyFont="1" applyFill="1" applyBorder="1" applyAlignment="1" applyProtection="1">
      <alignment horizontal="center" vertical="center" wrapText="1"/>
      <protection locked="0"/>
    </xf>
    <xf numFmtId="195" fontId="287" fillId="0" borderId="0" xfId="15" applyNumberFormat="1" applyFont="1" applyFill="1" applyAlignment="1" applyProtection="1">
      <alignment horizontal="center" vertical="center" wrapText="1"/>
      <protection locked="0"/>
    </xf>
    <xf numFmtId="195" fontId="127" fillId="0" borderId="0" xfId="15" applyNumberFormat="1" applyFont="1" applyFill="1" applyBorder="1" applyAlignment="1" applyProtection="1">
      <alignment horizontal="right" vertical="center" wrapText="1"/>
      <protection locked="0"/>
    </xf>
    <xf numFmtId="195" fontId="86" fillId="0" borderId="2" xfId="15" applyNumberFormat="1" applyFont="1" applyFill="1" applyBorder="1" applyAlignment="1" applyProtection="1">
      <alignment horizontal="center" vertical="center" wrapText="1"/>
      <protection locked="0"/>
    </xf>
    <xf numFmtId="195" fontId="86" fillId="0" borderId="2" xfId="15" applyNumberFormat="1" applyFont="1" applyFill="1" applyBorder="1" applyAlignment="1" applyProtection="1">
      <alignment horizontal="right" vertical="center" wrapText="1"/>
      <protection locked="0"/>
    </xf>
    <xf numFmtId="197" fontId="86" fillId="6" borderId="12" xfId="15" applyNumberFormat="1" applyFont="1" applyFill="1" applyBorder="1" applyAlignment="1" applyProtection="1">
      <alignment horizontal="center" vertical="center" wrapText="1"/>
      <protection locked="0"/>
    </xf>
    <xf numFmtId="195" fontId="127" fillId="0" borderId="0" xfId="15" applyNumberFormat="1" applyFont="1" applyFill="1" applyAlignment="1" applyProtection="1">
      <alignment horizontal="center" vertical="center" wrapText="1"/>
      <protection locked="0"/>
    </xf>
    <xf numFmtId="195" fontId="127" fillId="0" borderId="0" xfId="15" applyNumberFormat="1" applyFont="1" applyFill="1" applyBorder="1" applyAlignment="1" applyProtection="1">
      <alignment horizontal="left" vertical="center" wrapText="1"/>
      <protection locked="0"/>
    </xf>
    <xf numFmtId="1" fontId="86" fillId="6" borderId="2" xfId="15" applyNumberFormat="1" applyFont="1" applyFill="1" applyBorder="1" applyAlignment="1" applyProtection="1">
      <alignment horizontal="center" vertical="center" wrapText="1"/>
      <protection locked="0"/>
    </xf>
    <xf numFmtId="195" fontId="79" fillId="0" borderId="2" xfId="15" applyNumberFormat="1" applyFont="1" applyFill="1" applyBorder="1" applyAlignment="1" applyProtection="1">
      <alignment horizontal="right" vertical="center" wrapText="1"/>
      <protection locked="0"/>
    </xf>
    <xf numFmtId="195" fontId="79" fillId="0" borderId="12" xfId="15" applyNumberFormat="1" applyFont="1" applyFill="1" applyBorder="1" applyAlignment="1" applyProtection="1">
      <alignment horizontal="center" vertical="center" wrapText="1"/>
      <protection locked="0"/>
    </xf>
    <xf numFmtId="0" fontId="86" fillId="0" borderId="2" xfId="15" applyFont="1" applyFill="1" applyBorder="1" applyAlignment="1" applyProtection="1">
      <alignment horizontal="center" vertical="center" wrapText="1"/>
      <protection locked="0"/>
    </xf>
    <xf numFmtId="197" fontId="79" fillId="0" borderId="2" xfId="15" applyNumberFormat="1" applyFont="1" applyFill="1" applyBorder="1" applyAlignment="1" applyProtection="1">
      <alignment horizontal="right" vertical="center" wrapText="1"/>
      <protection locked="0"/>
    </xf>
    <xf numFmtId="0" fontId="79" fillId="0" borderId="2" xfId="15" applyFont="1" applyFill="1" applyBorder="1" applyAlignment="1" applyProtection="1">
      <alignment horizontal="center" vertical="center" wrapText="1"/>
      <protection locked="0"/>
    </xf>
    <xf numFmtId="0" fontId="226" fillId="0" borderId="44" xfId="15" applyFont="1" applyFill="1" applyBorder="1" applyAlignment="1" applyProtection="1">
      <alignment horizontal="center" vertical="center" wrapText="1"/>
      <protection locked="0"/>
    </xf>
    <xf numFmtId="195" fontId="95" fillId="0" borderId="44" xfId="15" applyNumberFormat="1" applyFont="1" applyFill="1" applyBorder="1" applyAlignment="1" applyProtection="1">
      <alignment horizontal="center" vertical="center" wrapText="1"/>
      <protection locked="0"/>
    </xf>
    <xf numFmtId="195" fontId="95" fillId="0" borderId="44" xfId="15" applyNumberFormat="1" applyFont="1" applyFill="1" applyBorder="1" applyAlignment="1" applyProtection="1">
      <alignment horizontal="right" vertical="center" wrapText="1"/>
      <protection locked="0"/>
    </xf>
    <xf numFmtId="195" fontId="95" fillId="0" borderId="46" xfId="15" applyNumberFormat="1" applyFont="1" applyFill="1" applyBorder="1" applyAlignment="1" applyProtection="1">
      <alignment horizontal="center" vertical="center" wrapText="1"/>
      <protection locked="0"/>
    </xf>
    <xf numFmtId="195" fontId="282" fillId="0" borderId="0" xfId="15" applyNumberFormat="1" applyFont="1" applyFill="1" applyAlignment="1" applyProtection="1">
      <alignment horizontal="center" vertical="center" wrapText="1"/>
      <protection locked="0"/>
    </xf>
    <xf numFmtId="0" fontId="145" fillId="6" borderId="0" xfId="0" applyFont="1" applyFill="1" applyAlignment="1"/>
    <xf numFmtId="0" fontId="145" fillId="11" borderId="0" xfId="0" applyFont="1" applyFill="1" applyAlignment="1"/>
    <xf numFmtId="0" fontId="0" fillId="11" borderId="0" xfId="0"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27" fillId="0" borderId="11" xfId="15" applyFont="1" applyFill="1" applyBorder="1" applyAlignment="1" applyProtection="1">
      <alignment horizontal="center" vertical="center" wrapText="1"/>
      <protection locked="0"/>
    </xf>
    <xf numFmtId="0" fontId="226" fillId="0" borderId="2" xfId="15" applyFont="1" applyFill="1" applyBorder="1" applyAlignment="1" applyProtection="1">
      <alignment horizontal="center" vertical="center" wrapText="1"/>
      <protection locked="0"/>
    </xf>
    <xf numFmtId="0" fontId="226" fillId="0" borderId="43" xfId="15" applyFont="1" applyFill="1" applyBorder="1" applyAlignment="1" applyProtection="1">
      <alignment horizontal="center" vertical="center" wrapText="1"/>
      <protection locked="0"/>
    </xf>
    <xf numFmtId="0" fontId="226" fillId="0" borderId="44" xfId="15" applyFont="1" applyFill="1" applyBorder="1" applyAlignment="1" applyProtection="1">
      <alignment horizontal="center" vertical="center" wrapText="1"/>
      <protection locked="0"/>
    </xf>
    <xf numFmtId="0" fontId="226" fillId="0" borderId="28" xfId="15" applyFont="1" applyFill="1" applyBorder="1" applyAlignment="1" applyProtection="1">
      <alignment horizontal="center" vertical="center" wrapText="1"/>
      <protection locked="0"/>
    </xf>
    <xf numFmtId="0" fontId="226" fillId="19" borderId="1" xfId="15" applyFont="1" applyFill="1" applyBorder="1" applyAlignment="1" applyProtection="1">
      <alignment horizontal="center" vertical="center" wrapText="1"/>
      <protection locked="0"/>
    </xf>
    <xf numFmtId="0" fontId="226" fillId="19" borderId="6" xfId="15" applyFont="1" applyFill="1" applyBorder="1" applyAlignment="1" applyProtection="1">
      <alignment horizontal="center" vertical="center" wrapText="1"/>
      <protection locked="0"/>
    </xf>
    <xf numFmtId="0" fontId="127" fillId="0" borderId="43" xfId="15" applyFont="1" applyFill="1" applyBorder="1" applyAlignment="1" applyProtection="1">
      <alignment horizontal="center" vertical="center" wrapText="1"/>
      <protection locked="0"/>
    </xf>
    <xf numFmtId="176" fontId="226" fillId="19" borderId="6" xfId="15" applyNumberFormat="1" applyFont="1" applyFill="1" applyBorder="1" applyAlignment="1" applyProtection="1">
      <alignment horizontal="center" vertical="center" wrapText="1"/>
      <protection locked="0"/>
    </xf>
    <xf numFmtId="176" fontId="226" fillId="19" borderId="2" xfId="15" applyNumberFormat="1" applyFont="1" applyFill="1" applyBorder="1" applyAlignment="1" applyProtection="1">
      <alignment horizontal="center" vertical="center" wrapText="1"/>
      <protection locked="0"/>
    </xf>
    <xf numFmtId="176" fontId="226" fillId="19" borderId="7" xfId="15" applyNumberFormat="1" applyFont="1" applyFill="1" applyBorder="1" applyAlignment="1" applyProtection="1">
      <alignment horizontal="center" vertical="center" wrapText="1"/>
      <protection locked="0"/>
    </xf>
    <xf numFmtId="176" fontId="226" fillId="19" borderId="12" xfId="15" applyNumberFormat="1" applyFont="1" applyFill="1" applyBorder="1" applyAlignment="1" applyProtection="1">
      <alignment horizontal="center" vertical="center" wrapText="1"/>
      <protection locked="0"/>
    </xf>
    <xf numFmtId="176" fontId="226" fillId="19" borderId="27" xfId="15" applyNumberFormat="1" applyFont="1" applyFill="1" applyBorder="1" applyAlignment="1" applyProtection="1">
      <alignment horizontal="center" vertical="center" wrapText="1"/>
      <protection locked="0"/>
    </xf>
    <xf numFmtId="176" fontId="226" fillId="19" borderId="21" xfId="15" applyNumberFormat="1" applyFont="1" applyFill="1" applyBorder="1" applyAlignment="1" applyProtection="1">
      <alignment horizontal="center" vertical="center" wrapText="1"/>
      <protection locked="0"/>
    </xf>
    <xf numFmtId="9" fontId="226" fillId="5" borderId="10" xfId="17" applyFont="1" applyFill="1" applyBorder="1" applyAlignment="1" applyProtection="1">
      <alignment horizontal="center" vertical="center"/>
    </xf>
    <xf numFmtId="9" fontId="226" fillId="5" borderId="55" xfId="17" applyFont="1" applyFill="1" applyBorder="1" applyAlignment="1" applyProtection="1">
      <alignment horizontal="center" vertical="center"/>
    </xf>
    <xf numFmtId="0" fontId="280" fillId="0" borderId="0" xfId="15" applyFont="1" applyFill="1" applyBorder="1" applyAlignment="1" applyProtection="1">
      <alignment horizontal="center" vertical="center"/>
      <protection locked="0"/>
    </xf>
    <xf numFmtId="179" fontId="226" fillId="19" borderId="1" xfId="16" applyNumberFormat="1" applyFont="1" applyFill="1" applyBorder="1" applyAlignment="1" applyProtection="1">
      <alignment horizontal="center" vertical="center"/>
      <protection locked="0"/>
    </xf>
    <xf numFmtId="179" fontId="226" fillId="19" borderId="6" xfId="16" applyNumberFormat="1" applyFont="1" applyFill="1" applyBorder="1" applyAlignment="1" applyProtection="1">
      <alignment horizontal="center" vertical="center"/>
      <protection locked="0"/>
    </xf>
    <xf numFmtId="195" fontId="226" fillId="19" borderId="27" xfId="15" applyNumberFormat="1" applyFont="1" applyFill="1" applyBorder="1" applyAlignment="1" applyProtection="1">
      <alignment horizontal="center" vertical="center" wrapText="1"/>
      <protection locked="0"/>
    </xf>
    <xf numFmtId="195" fontId="226" fillId="19" borderId="21" xfId="15" applyNumberFormat="1" applyFont="1" applyFill="1" applyBorder="1" applyAlignment="1" applyProtection="1">
      <alignment horizontal="center" vertical="center" wrapText="1"/>
      <protection locked="0"/>
    </xf>
    <xf numFmtId="0" fontId="226" fillId="0" borderId="41" xfId="15" applyFont="1" applyFill="1" applyBorder="1" applyAlignment="1" applyProtection="1">
      <alignment horizontal="center" vertical="center"/>
      <protection locked="0"/>
    </xf>
    <xf numFmtId="0" fontId="226" fillId="0" borderId="51" xfId="15" applyFont="1" applyFill="1" applyBorder="1" applyAlignment="1" applyProtection="1">
      <alignment horizontal="center" vertical="center"/>
      <protection locked="0"/>
    </xf>
    <xf numFmtId="179" fontId="226" fillId="19" borderId="11" xfId="16" applyNumberFormat="1" applyFont="1" applyFill="1" applyBorder="1" applyAlignment="1" applyProtection="1">
      <alignment horizontal="center" vertical="center"/>
      <protection locked="0"/>
    </xf>
    <xf numFmtId="179" fontId="226" fillId="19" borderId="2" xfId="16" applyNumberFormat="1" applyFont="1" applyFill="1" applyBorder="1" applyAlignment="1" applyProtection="1">
      <alignment horizontal="center" vertical="center"/>
      <protection locked="0"/>
    </xf>
    <xf numFmtId="179" fontId="226" fillId="19" borderId="11" xfId="16" applyNumberFormat="1" applyFont="1" applyFill="1" applyBorder="1" applyAlignment="1" applyProtection="1">
      <alignment horizontal="center" vertical="center" wrapText="1"/>
      <protection locked="0"/>
    </xf>
    <xf numFmtId="179" fontId="226" fillId="19" borderId="2" xfId="16" applyNumberFormat="1" applyFont="1" applyFill="1" applyBorder="1" applyAlignment="1" applyProtection="1">
      <alignment horizontal="center" vertical="center" wrapText="1"/>
      <protection locked="0"/>
    </xf>
    <xf numFmtId="179" fontId="226" fillId="19" borderId="43" xfId="16" applyNumberFormat="1" applyFont="1" applyFill="1" applyBorder="1" applyAlignment="1" applyProtection="1">
      <alignment horizontal="center" vertical="center" wrapText="1"/>
      <protection locked="0"/>
    </xf>
    <xf numFmtId="179" fontId="226" fillId="19" borderId="44" xfId="16" applyNumberFormat="1" applyFont="1" applyFill="1" applyBorder="1" applyAlignment="1" applyProtection="1">
      <alignment horizontal="center" vertical="center" wrapText="1"/>
      <protection locked="0"/>
    </xf>
    <xf numFmtId="179" fontId="226" fillId="5" borderId="12" xfId="16" applyNumberFormat="1" applyFont="1" applyFill="1" applyBorder="1" applyAlignment="1" applyProtection="1">
      <alignment horizontal="left" vertical="center"/>
    </xf>
    <xf numFmtId="179" fontId="226" fillId="5" borderId="46" xfId="16" applyNumberFormat="1" applyFont="1" applyFill="1" applyBorder="1" applyAlignment="1" applyProtection="1">
      <alignment horizontal="left" vertical="center"/>
    </xf>
    <xf numFmtId="195" fontId="226" fillId="19" borderId="10" xfId="15" applyNumberFormat="1" applyFont="1" applyFill="1" applyBorder="1" applyAlignment="1" applyProtection="1">
      <alignment horizontal="center" vertical="center" wrapText="1"/>
      <protection locked="0"/>
    </xf>
    <xf numFmtId="195" fontId="226" fillId="19" borderId="55" xfId="15" applyNumberFormat="1" applyFont="1" applyFill="1" applyBorder="1" applyAlignment="1" applyProtection="1">
      <alignment horizontal="center" vertical="center" wrapText="1"/>
      <protection locked="0"/>
    </xf>
    <xf numFmtId="9" fontId="226" fillId="5" borderId="10" xfId="17" applyFont="1" applyFill="1" applyBorder="1" applyAlignment="1" applyProtection="1">
      <alignment horizontal="left" vertical="center"/>
    </xf>
    <xf numFmtId="9" fontId="226" fillId="5" borderId="55" xfId="17" applyFont="1" applyFill="1" applyBorder="1" applyAlignment="1" applyProtection="1">
      <alignment horizontal="left" vertical="center"/>
    </xf>
    <xf numFmtId="0" fontId="278" fillId="0" borderId="158" xfId="0" applyFont="1" applyBorder="1" applyAlignment="1">
      <alignment horizontal="center" vertical="center" wrapText="1"/>
    </xf>
    <xf numFmtId="0" fontId="278" fillId="0" borderId="156" xfId="0" applyFont="1" applyBorder="1" applyAlignment="1">
      <alignment horizontal="center" vertical="center" wrapText="1"/>
    </xf>
    <xf numFmtId="0" fontId="278" fillId="0" borderId="155" xfId="0" applyFont="1" applyBorder="1" applyAlignment="1">
      <alignment horizontal="center" vertical="center" wrapText="1"/>
    </xf>
  </cellXfs>
  <cellStyles count="19">
    <cellStyle name="百分比 15" xfId="17"/>
    <cellStyle name="百分比 2" xfId="11"/>
    <cellStyle name="常规" xfId="0" builtinId="0"/>
    <cellStyle name="常规 16" xfId="1"/>
    <cellStyle name="常规 19 3 7" xfId="15"/>
    <cellStyle name="常规 2" xfId="2"/>
    <cellStyle name="常规 2 2" xfId="3"/>
    <cellStyle name="常规 2 2 2 2 3" xfId="12"/>
    <cellStyle name="常规 3" xfId="4"/>
    <cellStyle name="常规 3 2" xfId="5"/>
    <cellStyle name="常规 3 3" xfId="18"/>
    <cellStyle name="常规 4" xfId="6"/>
    <cellStyle name="常规 5" xfId="7"/>
    <cellStyle name="常规 6" xfId="8"/>
    <cellStyle name="常规 6 2" xfId="10"/>
    <cellStyle name="常规 6 2 2" xfId="13"/>
    <cellStyle name="常规 7" xfId="9"/>
    <cellStyle name="常规 9" xfId="14"/>
    <cellStyle name="千位分隔 19 2" xfId="16"/>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68580</xdr:colOff>
      <xdr:row>1</xdr:row>
      <xdr:rowOff>104775</xdr:rowOff>
    </xdr:from>
    <xdr:ext cx="635635" cy="165735"/>
    <xdr:pic>
      <xdr:nvPicPr>
        <xdr:cNvPr id="2" name="图片 1" descr="QQ图片20170531120340">
          <a:extLst>
            <a:ext uri="{FF2B5EF4-FFF2-40B4-BE49-F238E27FC236}">
              <a16:creationId xmlns="" xmlns:a16="http://schemas.microsoft.com/office/drawing/2014/main" id="{DA48ED0C-04AE-42C5-B5B0-D6194F4DE42F}"/>
            </a:ext>
          </a:extLst>
        </xdr:cNvPr>
        <xdr:cNvPicPr>
          <a:picLocks noChangeAspect="1"/>
        </xdr:cNvPicPr>
      </xdr:nvPicPr>
      <xdr:blipFill>
        <a:blip xmlns:r="http://schemas.openxmlformats.org/officeDocument/2006/relationships" r:embed="rId1" cstate="print"/>
        <a:stretch>
          <a:fillRect/>
        </a:stretch>
      </xdr:blipFill>
      <xdr:spPr>
        <a:xfrm>
          <a:off x="12841605" y="485775"/>
          <a:ext cx="635635" cy="1657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18</xdr:row>
      <xdr:rowOff>0</xdr:rowOff>
    </xdr:from>
    <xdr:to>
      <xdr:col>33</xdr:col>
      <xdr:colOff>161048</xdr:colOff>
      <xdr:row>49</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15773400" y="3095625"/>
          <a:ext cx="7019048" cy="5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b-gzdc/&#25104;&#26412;&#37096;&#25991;&#20214;/DOCUME~1/yaoj/LOCALS~1/Temp/107&#24037;&#20316;&#65293;home/&#22478;&#33457;/&#33829;&#38144;&#36153;&#29992;&#21512;&#21516;&#65293;&#20184;&#27454;&#65288;&#22478;&#33457;&#65289;0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1&#25104;&#26412;&#31649;&#29702;&#24037;&#20855;/01-&#26412;&#20844;&#21496;&#25104;&#26412;&#65288;&#29579;&#65289;/03-&#21508;&#39033;&#30446;&#30446;&#26631;&#25104;&#26412;/&#24050;&#19979;&#21457;&#30446;&#26631;&#25104;&#26412;/&#22025;&#20852;/&#22025;&#20852;&#26045;&#24037;&#22270;/&#27993;&#27743;&#26093;&#36745;/&#27010;&#39044;&#31639;/&#30446;&#26631;&#25104;&#26412;/&#22025;&#20852;&#30446;&#26631;&#25104;&#26412;/&#25105;&#30340;&#24037;&#20316;/&#39033;&#30446;&#25299;&#23637;/&#40857;&#21326;&#26032;&#22478;/&#40857;&#21326;&#26032;&#22478;20040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xh/AppData/Roaming/Microsoft/Excel/RecoveredExternalLink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angwq03/AppData/Local/Microsoft/Windows/Temporary%20Internet%20Files/Content.Outlook/FRSE5T6F/&#25242;&#39034;&#37329;&#22495;&#22269;&#38469;&#20108;&#26399;&#37319;&#36141;&#35745;&#21010;%20-%202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1&#25104;&#26412;&#31649;&#29702;&#24037;&#20855;/01-&#26412;&#20844;&#21496;&#25104;&#26412;&#65288;&#29579;&#65289;/03-&#21508;&#39033;&#30446;&#30446;&#26631;&#25104;&#26412;/&#24050;&#19979;&#21457;&#30446;&#26631;&#25104;&#26412;/&#22025;&#20852;/&#22025;&#20852;&#26045;&#24037;&#22270;/&#27993;&#27743;&#26093;&#36745;/&#27010;&#39044;&#31639;/&#30446;&#26631;&#25104;&#26412;/&#22025;&#20852;&#30446;&#26631;&#25104;&#26412;/Documents%20and%20Settings/wyj.GEMDALE/Local%20Settings/Temporary%20Internet%20Files/OLK2E/&#19996;&#33694;&#19996;&#22478;&#21306;&#26087;&#22478;&#25913;&#36896;&#27979;&#31639;1-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9579;&#36154;&#23431;/&#22235;&#23395;&#33457;&#22478;/&#25104;&#26412;&#21450;&#38754;&#31215;/&#22235;&#23395;&#33457;&#22478;&#19977;&#26399;&#65288;6&#21306;&#65289;&#30446;&#26631;&#25104;&#26412;031031&#65288;&#29579;&#25913;2&#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2&#25968;&#25454;&#24211;/&#38598;&#22242;&#25968;&#25454;&#24211;/&#25151;&#20135;&#20844;&#21496;&#25968;&#25454;&#24211;090219/&#40644;&#25991;&#24428;&#25991;&#20214;/&#40644;&#25991;&#24428;&#24037;&#20316;&#25991;&#20214;/&#25104;&#26412;&#25511;&#21046;&#25991;&#20214;/&#24314;&#35774;&#24037;&#31243;&#29305;&#24449;&#20998;&#26512;&#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1&#25104;&#26412;&#31649;&#29702;&#24037;&#20855;/01-&#26412;&#20844;&#21496;&#25104;&#26412;&#65288;&#29579;&#65289;/03-&#21508;&#39033;&#30446;&#30446;&#26631;&#25104;&#26412;/&#24050;&#19979;&#21457;&#30446;&#26631;&#25104;&#26412;/&#22025;&#20852;/&#22025;&#20852;&#26045;&#24037;&#22270;/&#27993;&#27743;&#26093;&#36745;/&#27010;&#39044;&#31639;/&#30446;&#26631;&#25104;&#26412;/&#22025;&#20852;&#30446;&#26631;&#25104;&#26412;/&#25105;&#30340;&#24037;&#20316;/&#21335;&#27833;/&#19996;&#33694;&#26032;&#20013;&#38134;&#21271;&#21306;&#35268;&#21010;&#25237;&#26631;&#26041;&#26696;&#25104;&#26412;&#27979;&#31639;&#65288;8-14-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工程量计算书"/>
      <sheetName val="汇总表"/>
      <sheetName val="成本汇总 "/>
      <sheetName val="施工参考单价报价表"/>
      <sheetName val="甲指乙供材料报价表"/>
      <sheetName val="规划指标"/>
      <sheetName val="名称"/>
      <sheetName val="计算表"/>
      <sheetName val="土建工程综合单价表"/>
      <sheetName val="综合单价汇总表"/>
      <sheetName val="给排水工程量计算书"/>
      <sheetName val="其它工作项目报价清单"/>
      <sheetName val="Mp-team 1"/>
      <sheetName val="土地款支出"/>
      <sheetName val="内部往来"/>
      <sheetName val="测算2-当前状态（含返迁）"/>
      <sheetName val="基础项目"/>
      <sheetName val="参数表"/>
      <sheetName val="Cashflow(Scenario)"/>
      <sheetName val="XLR_NoRangeSheet"/>
      <sheetName val="工程量计算"/>
      <sheetName val="枣园--建安-间接"/>
      <sheetName val="Sheet1"/>
      <sheetName val="Financial highligts"/>
      <sheetName val="Open"/>
      <sheetName val="Toolbox"/>
      <sheetName val="Parameters"/>
      <sheetName val="目录"/>
      <sheetName val="Note 1 - Recon Profit"/>
      <sheetName val="Cash Flow Statement"/>
      <sheetName val="基础资料（B）"/>
      <sheetName val="组团面积"/>
      <sheetName val="套数"/>
      <sheetName val="总指标"/>
      <sheetName val="2004年"/>
      <sheetName val="2006年"/>
      <sheetName val="2005年"/>
      <sheetName val="资本化利息分配表"/>
      <sheetName val="Aging Datasheet"/>
      <sheetName val="面积指标"/>
      <sheetName val="单方成本测算(帐面)"/>
      <sheetName val="成本结转表(IFRS)"/>
      <sheetName val="时间设置"/>
      <sheetName val="成本测算"/>
      <sheetName val="财务费用"/>
      <sheetName val="收入与成本"/>
      <sheetName val="销售比率"/>
      <sheetName val="2、明细表"/>
      <sheetName val="XL4Poppy"/>
      <sheetName val="CFS"/>
      <sheetName val="敏感参数"/>
      <sheetName val="写字楼B"/>
      <sheetName val="土建工程综合单价组价明细表"/>
      <sheetName val="全期规划指标 "/>
      <sheetName val="BS"/>
      <sheetName val="材料费"/>
      <sheetName val="040506利息分摊"/>
      <sheetName val="2006内部公司往来利息及调整（per entity）"/>
      <sheetName val="07利息分摊"/>
      <sheetName val="list"/>
      <sheetName val="NAME"/>
      <sheetName val="梁"/>
      <sheetName val="承台(砖模) "/>
      <sheetName val="柱"/>
      <sheetName val="指标表"/>
      <sheetName val="车库"/>
      <sheetName val="江宁新指标"/>
      <sheetName val="叠拼"/>
      <sheetName val="复式"/>
      <sheetName val="平层"/>
      <sheetName val="独立商业"/>
      <sheetName val="地下超市"/>
      <sheetName val="规划指标表"/>
      <sheetName val="下拉菜单"/>
      <sheetName val="型材线密度表"/>
      <sheetName val="门窗表"/>
      <sheetName val="电（计算式）"/>
      <sheetName val="四季花城城南地块户型面积"/>
      <sheetName val="土建直接费"/>
      <sheetName val="301-6"/>
      <sheetName val="工程材料"/>
      <sheetName val="Global"/>
      <sheetName val="板房区目标成本"/>
      <sheetName val="报批报建计划"/>
      <sheetName val="设计指标"/>
      <sheetName val="   合同台账  "/>
      <sheetName val="A投资指标"/>
      <sheetName val="Z控制表"/>
      <sheetName val="K流量表过渡"/>
      <sheetName val="O售价敏感分析"/>
      <sheetName val="总表"/>
      <sheetName val="成就共享（全周期）"/>
      <sheetName val="15年御湾"/>
      <sheetName val="收入预测"/>
      <sheetName val="六类"/>
      <sheetName val="总体指标表"/>
      <sheetName val="地下车库"/>
      <sheetName val="sheet2"/>
      <sheetName val="每日C300"/>
      <sheetName val="成本汇总"/>
      <sheetName val="指标"/>
      <sheetName val="139叠加"/>
      <sheetName val="室内装修价格明细"/>
      <sheetName val="全区规划指标"/>
      <sheetName val="全区成本汇总"/>
      <sheetName val="测算明细表(0+1+1)"/>
      <sheetName val="主要规划指标"/>
      <sheetName val="PL 2007"/>
      <sheetName val="PL 2005"/>
      <sheetName val="PL 2006"/>
      <sheetName val="材料"/>
      <sheetName val="东一一层方柱砼"/>
      <sheetName val="项目指标"/>
      <sheetName val="动态成本"/>
      <sheetName val="付款台账"/>
      <sheetName val="附表1"/>
      <sheetName val="合同台账"/>
      <sheetName val="2.1设计部"/>
      <sheetName val="Macro1"/>
      <sheetName val="成本测算-太科园"/>
      <sheetName val="常用项目"/>
      <sheetName val="计算稿"/>
      <sheetName val="设计部"/>
      <sheetName val="清单1"/>
      <sheetName val="单位库"/>
      <sheetName val="土方"/>
      <sheetName val="ls"/>
      <sheetName val="4301_2004ch"/>
      <sheetName val="5201_2004"/>
      <sheetName val="预算执行情况_(2)"/>
      <sheetName val="弱电"/>
      <sheetName val="折线图2数据"/>
      <sheetName val="Sheetl"/>
      <sheetName val="Main"/>
      <sheetName val="Financ. Overview"/>
      <sheetName val="8"/>
      <sheetName val="2"/>
      <sheetName val="6"/>
      <sheetName val="面积合计（藏）"/>
      <sheetName val="7"/>
      <sheetName val="3"/>
      <sheetName val="4"/>
      <sheetName val="投标材料清单 "/>
      <sheetName val="5"/>
      <sheetName val="1"/>
      <sheetName val="POWER ASSUMPTIONS"/>
      <sheetName val="参数1"/>
      <sheetName val="封面"/>
      <sheetName val="5、销售费用预算表"/>
      <sheetName val="选项"/>
      <sheetName val="3-工程现金流"/>
      <sheetName val="summary"/>
      <sheetName val="CJA 2006"/>
      <sheetName val="公摊费用及期间费"/>
      <sheetName val="甲供材表一水电材料(开关)"/>
      <sheetName val="甲供材表二水电材料（灯具）"/>
      <sheetName val="甲供材表三水电材料（浴霸）"/>
      <sheetName val="甲供材表四水电材料（五金洁具）"/>
      <sheetName val="系数516"/>
      <sheetName val="报价单"/>
      <sheetName val="General"/>
      <sheetName val="Estimate Details"/>
      <sheetName val="计量"/>
      <sheetName val="附表-规划指标表一期"/>
      <sheetName val="附表-规划指标表三期"/>
      <sheetName val="财务费用多栏明细账"/>
      <sheetName val="管理费用多栏明细账"/>
      <sheetName val="营业费用多栏明细账"/>
      <sheetName val="变更"/>
      <sheetName val="日报_无证（扣除变更数）"/>
      <sheetName val="日报_有证（扣除变更数）"/>
      <sheetName val="挞定退房"/>
      <sheetName val="营销费用合同－付款（城花）0109"/>
      <sheetName val="基本参数"/>
      <sheetName val="成本估算"/>
      <sheetName val="ECCS_1 DataSheet"/>
      <sheetName val="KPI Datasheet"/>
      <sheetName val="A3"/>
      <sheetName val="A300"/>
      <sheetName val="付款进度表"/>
      <sheetName val="科目列表"/>
      <sheetName val="无合同工程及销费"/>
      <sheetName val="二级成本动态表"/>
      <sheetName val="成本表1 项目规划指标及收入计划"/>
      <sheetName val="基本数据计算底稿"/>
      <sheetName val="資料庫"/>
      <sheetName val="D户型防水"/>
      <sheetName val="基础数据"/>
      <sheetName val="TAX COM"/>
      <sheetName val="人工费"/>
      <sheetName val="G.1R-Shou COP Gf"/>
      <sheetName val="B标段叠拼"/>
      <sheetName val="B标段联排"/>
      <sheetName val="地库三安装工程"/>
      <sheetName val="报表项目基本情况表"/>
      <sheetName val="材料清单"/>
      <sheetName val="地面过水泥砂"/>
      <sheetName val="楼板镂空及加楼板（部分项目有争议）"/>
      <sheetName val="DDETABLE "/>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建安成本"/>
      <sheetName val="盈利预测表"/>
      <sheetName val="B1配置表"/>
      <sheetName val="03项目基础数据表"/>
      <sheetName val="数据库(综合)"/>
      <sheetName val="科目复核的标准样表（勿删）"/>
      <sheetName val="编__制__说__明"/>
      <sheetName val="A4.分摊说明"/>
      <sheetName val="A9-4.建安（高层人防地下室）"/>
      <sheetName val="A9-4.建安（高层非人防地下室）"/>
      <sheetName val="基础数据"/>
      <sheetName val="XLR_NoRangeSheet"/>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建安成本"/>
      <sheetName val="盈利预测表"/>
      <sheetName val="科目复核的标准样表（勿删）"/>
      <sheetName val="编__制__说__明"/>
      <sheetName val="03项目基础数据表"/>
      <sheetName val="B1配置表"/>
      <sheetName val="A4.分摊说明"/>
      <sheetName val="A9-4.建安（高层人防地下室）"/>
      <sheetName val="A9-4.建安（高层非人防地下室）"/>
      <sheetName val="基础数据"/>
      <sheetName val="数据库(综合)"/>
      <sheetName val="OJF8AD"/>
      <sheetName val="00逻辑梳理"/>
      <sheetName val="01测算封面 "/>
      <sheetName val="02编制说明"/>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合同台账"/>
      <sheetName val="结算台账"/>
      <sheetName val="Sheet1"/>
      <sheetName val="Sheet2"/>
      <sheetName val="Macro1"/>
      <sheetName val="XXXX"/>
      <sheetName val="npqp"/>
      <sheetName val="填报流程说明"/>
      <sheetName val="成本编制指引"/>
      <sheetName val="总表"/>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填写说明"/>
      <sheetName val="方案版目标成本审批表单 "/>
      <sheetName val="附件1 成本策划及责任成本落实"/>
      <sheetName val="附件2 建造标准及结构指标"/>
      <sheetName val="XLR_NoRangeSheet"/>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1"/>
      <sheetName val="2"/>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说明"/>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销售计划"/>
      <sheetName val="税费说明"/>
      <sheetName val="土地增值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汇总表"/>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Sheet4"/>
      <sheetName val="Sheet5"/>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工程量计算书"/>
      <sheetName val="成本汇总 "/>
      <sheetName val="施工参考单价报价表"/>
      <sheetName val="甲指乙供材料报价表"/>
      <sheetName val="规划指标"/>
      <sheetName val="名称"/>
      <sheetName val="计算表"/>
      <sheetName val="土建工程综合单价表"/>
      <sheetName val="综合单价汇总表"/>
      <sheetName val="给排水工程量计算书"/>
      <sheetName val="其它工作项目报价清单"/>
      <sheetName val="Mp-team 1"/>
      <sheetName val="土地款支出"/>
      <sheetName val="内部往来"/>
      <sheetName val="测算2-当前状态（含返迁）"/>
      <sheetName val="基础项目"/>
      <sheetName val="参数表"/>
      <sheetName val="Cashflow(Scenario)"/>
      <sheetName val="工程量计算"/>
      <sheetName val="利润测算（年度规划）"/>
      <sheetName val="成本汇总及分摊表"/>
      <sheetName val="表2 成本汇总表"/>
      <sheetName val="综合体投模_全项目_V4"/>
      <sheetName val="基本参数"/>
      <sheetName val="成本估算"/>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s>
    <sheetDataSet>
      <sheetData sheetId="0"/>
      <sheetData sheetId="1"/>
      <sheetData sheetId="2"/>
      <sheetData sheetId="3"/>
      <sheetData sheetId="4"/>
      <sheetData sheetId="5">
        <row r="10">
          <cell r="F10">
            <v>2159.9529824433998</v>
          </cell>
        </row>
      </sheetData>
      <sheetData sheetId="6">
        <row r="207">
          <cell r="GU207">
            <v>0</v>
          </cell>
        </row>
      </sheetData>
      <sheetData sheetId="7">
        <row r="7">
          <cell r="C7" t="str">
            <v>独栋别墅</v>
          </cell>
        </row>
      </sheetData>
      <sheetData sheetId="8">
        <row r="14">
          <cell r="F14">
            <v>1323.6460414056</v>
          </cell>
        </row>
      </sheetData>
      <sheetData sheetId="9"/>
      <sheetData sheetId="10">
        <row r="13">
          <cell r="F13">
            <v>168258.51417944001</v>
          </cell>
        </row>
      </sheetData>
      <sheetData sheetId="11"/>
      <sheetData sheetId="12"/>
      <sheetData sheetId="13"/>
      <sheetData sheetId="14">
        <row r="104">
          <cell r="S10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采购计划模板"/>
      <sheetName val="项目分期"/>
      <sheetName val="采购类别"/>
      <sheetName val="责任人"/>
      <sheetName val="合作供应商"/>
      <sheetName val="其他值列表"/>
      <sheetName val="Sheet4"/>
      <sheetName val="Sheet5"/>
      <sheetName val="参数表"/>
      <sheetName val="主要规划指标"/>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说明"/>
      <sheetName val="主要规划指标"/>
      <sheetName val="建安成本"/>
      <sheetName val="06-4售楼处"/>
      <sheetName val="基础数据"/>
      <sheetName val="CS02"/>
      <sheetName val="list"/>
      <sheetName val="土建工程综合单价表"/>
      <sheetName val="面积指标"/>
      <sheetName val="其他值列表"/>
      <sheetName val="采购类别"/>
      <sheetName val="项目分期"/>
      <sheetName val="责任人"/>
    </sheetNames>
    <sheetDataSet>
      <sheetData sheetId="0" refreshError="1"/>
      <sheetData sheetId="1" refreshError="1"/>
      <sheetData sheetId="2" refreshError="1">
        <row r="9">
          <cell r="D9">
            <v>102400</v>
          </cell>
        </row>
        <row r="10">
          <cell r="D10">
            <v>83700</v>
          </cell>
        </row>
        <row r="11">
          <cell r="D11">
            <v>136680</v>
          </cell>
        </row>
        <row r="12">
          <cell r="D12">
            <v>16520</v>
          </cell>
        </row>
        <row r="16">
          <cell r="D16">
            <v>339300</v>
          </cell>
        </row>
        <row r="24">
          <cell r="D24">
            <v>16880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说明"/>
      <sheetName val="目标责任成本指标"/>
      <sheetName val="基本参数"/>
      <sheetName val="成本估算"/>
      <sheetName val="主体造价"/>
      <sheetName val="报批报建费"/>
      <sheetName val="主要规划指标"/>
    </sheetNames>
    <sheetDataSet>
      <sheetData sheetId="0"/>
      <sheetData sheetId="1"/>
      <sheetData sheetId="2"/>
      <sheetData sheetId="3" refreshError="1"/>
      <sheetData sheetId="4" refreshError="1"/>
      <sheetData sheetId="5"/>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安装分析表"/>
      <sheetName val="土建分析表"/>
      <sheetName val="主要规划指标"/>
      <sheetName val="4.项目基础数据表"/>
      <sheetName val="8.2建安费用（高层B1～B11）"/>
      <sheetName val="8.1建安费用（地库）"/>
      <sheetName val="13.规划面积"/>
      <sheetName val="3.项目基础数据表"/>
      <sheetName val="7-3建安费用（A3) "/>
      <sheetName val="05.2 商业A1楼总成本"/>
      <sheetName val="05.3 A2、A3商业总成本"/>
      <sheetName val="S1单价表"/>
      <sheetName val="盈利预测表"/>
      <sheetName val="HKBUD"/>
      <sheetName val="A区CS02"/>
      <sheetName val="基本参数"/>
      <sheetName val="成本估算"/>
    </sheetNames>
    <sheetDataSet>
      <sheetData sheetId="0" refreshError="1">
        <row r="2">
          <cell r="O2" t="str">
            <v>蘑菇石外墙</v>
          </cell>
          <cell r="AB2" t="str">
            <v>DN50</v>
          </cell>
        </row>
        <row r="3">
          <cell r="O3" t="str">
            <v>大理石外墙</v>
          </cell>
          <cell r="AB3" t="str">
            <v>DN75</v>
          </cell>
        </row>
        <row r="4">
          <cell r="O4" t="str">
            <v>外墙涂料</v>
          </cell>
          <cell r="AB4" t="str">
            <v>DN100</v>
          </cell>
        </row>
        <row r="5">
          <cell r="O5" t="str">
            <v>外墙面转</v>
          </cell>
          <cell r="AB5" t="str">
            <v>DN125</v>
          </cell>
        </row>
        <row r="6">
          <cell r="O6" t="str">
            <v>其他</v>
          </cell>
          <cell r="AB6" t="str">
            <v>DN150</v>
          </cell>
        </row>
        <row r="7">
          <cell r="AB7" t="str">
            <v>DN200</v>
          </cell>
        </row>
        <row r="8">
          <cell r="AB8" t="str">
            <v>DN250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建安成本"/>
      <sheetName val="盈利预测表"/>
      <sheetName val="基础数据"/>
      <sheetName val="财务费用"/>
      <sheetName val="收入与成本"/>
      <sheetName val="销售比率"/>
      <sheetName val="RGDP"/>
      <sheetName val="III-1-10"/>
      <sheetName val="III-1-7"/>
      <sheetName val="III-1-9"/>
      <sheetName val="III-1-6"/>
      <sheetName val="III-1-1"/>
      <sheetName val="III-1-8"/>
      <sheetName val="III-1-2-1"/>
      <sheetName val="III-1-5"/>
      <sheetName val="III-1-4"/>
    </sheetNames>
    <sheetDataSet>
      <sheetData sheetId="0" refreshError="1"/>
      <sheetData sheetId="1" refreshError="1"/>
      <sheetData sheetId="2" refreshError="1">
        <row r="12">
          <cell r="D12">
            <v>40970.239999999998</v>
          </cell>
          <cell r="E12">
            <v>21930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2660</v>
      </c>
      <c r="B1" s="2915" t="s">
        <v>2757</v>
      </c>
    </row>
    <row r="2" spans="1:55" s="2919" customFormat="1" ht="15" thickTop="1">
      <c r="A2" s="2917" t="s">
        <v>2664</v>
      </c>
      <c r="B2" s="2918" t="str">
        <f>'预评函-封皮'!B37</f>
        <v>国有建设用地使用权预评估</v>
      </c>
      <c r="AX2" s="2920"/>
      <c r="AZ2" s="2920"/>
      <c r="BA2" s="2921"/>
      <c r="BC2" s="2921"/>
    </row>
    <row r="3" spans="1:55" s="2922" customFormat="1">
      <c r="A3" s="2901" t="s">
        <v>2665</v>
      </c>
      <c r="B3" s="2904">
        <f>'预评函-封皮'!B40</f>
        <v>0</v>
      </c>
    </row>
    <row r="4" spans="1:55" s="2903" customFormat="1">
      <c r="A4" s="2901" t="s">
        <v>2666</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2667</v>
      </c>
      <c r="B5" s="2924" t="str">
        <f>'预评函-封皮'!B49</f>
        <v>康正预评字号</v>
      </c>
    </row>
    <row r="6" spans="1:55" s="2925" customFormat="1" ht="15" thickTop="1">
      <c r="A6" s="2917" t="s">
        <v>2709</v>
      </c>
      <c r="B6" s="2918" t="str">
        <f>'预评函-1'!A4</f>
        <v>受贵公司委托，我公司对国有建设用地使用权进行了预评估。</v>
      </c>
      <c r="AM6" s="2926"/>
    </row>
    <row r="7" spans="1:55" s="2900" customFormat="1">
      <c r="A7" s="2901" t="s">
        <v>2661</v>
      </c>
      <c r="B7" s="2902" t="str">
        <f>'预评函-1'!A6</f>
        <v>估价对象为使用的、位于国有建设用地使用权。根据《国有土地使用证》[]，估价对象（分摊）国有建设用地使用权面积为80775.5平方米。根据《建设工程规划许可证》[]、《出让合同》[]，估价对象规划建筑面积为177705.36平方米。</v>
      </c>
    </row>
    <row r="8" spans="1:55" s="2900" customFormat="1">
      <c r="A8" s="2901" t="s">
        <v>2662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2712</v>
      </c>
      <c r="B9" s="2902" t="str">
        <f>'预评函-1'!A9</f>
        <v>本次评估为委托估价方了解标的物之市场价格提供参考依据而评估国有建设用地使用权市场价格。</v>
      </c>
    </row>
    <row r="10" spans="1:55" s="2900" customFormat="1">
      <c r="A10" s="2901" t="s">
        <v>2663</v>
      </c>
      <c r="B10" s="2902" t="str">
        <f>'预评函-1'!A11</f>
        <v>2018年4月19日（评估专业人员勘察现场之日）</v>
      </c>
    </row>
    <row r="11" spans="1:55" s="2900" customFormat="1">
      <c r="A11" s="2901" t="s">
        <v>2669</v>
      </c>
      <c r="B11" s="2902" t="str">
        <f>'预评函-1'!A14</f>
        <v>根据《国有土地使用证》[]，本次评估估价对象证载（地类）用途为。</v>
      </c>
    </row>
    <row r="12" spans="1:55" s="2900" customFormat="1">
      <c r="A12" s="2901" t="s">
        <v>2670</v>
      </c>
      <c r="B12" s="2902" t="str">
        <f>'预评函-1'!A15</f>
        <v>本次评估设定用途即为证载用途。</v>
      </c>
    </row>
    <row r="13" spans="1:55" s="2900" customFormat="1">
      <c r="A13" s="2901" t="s">
        <v>2671</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2672</v>
      </c>
      <c r="B14" s="2902" t="str">
        <f>'预评函-1'!A18</f>
        <v>。本次评估设定土地开发程度为红线外市政基础设施达“七通”、宗地红线内场地平整。</v>
      </c>
    </row>
    <row r="15" spans="1:55" s="2900" customFormat="1">
      <c r="A15" s="2901" t="s">
        <v>2668</v>
      </c>
      <c r="B15" s="2902" t="str">
        <f>'预评函-1'!A20</f>
        <v>根据《国有土地使用证》[]，估价对象（分摊）出让国有建设用地使用权面积为80775.5平方米。根据《建设工程规划许可证》[]、《出让合同》[]，估价对象规划建筑面积为177705.36平方米。</v>
      </c>
    </row>
    <row r="16" spans="1:55" s="2900" customFormat="1">
      <c r="A16" s="2901" t="s">
        <v>2673</v>
      </c>
      <c r="B16" s="2902" t="str">
        <f>'预评函-1'!A22</f>
        <v>本次估价对象国有建设用地使用权类型为划拨，无土地使用年限限制。</v>
      </c>
    </row>
    <row r="17" spans="1:48" s="2900" customFormat="1">
      <c r="A17" s="2901" t="s">
        <v>2674</v>
      </c>
      <c r="B17" s="2902" t="str">
        <f>'预评函-1'!A23</f>
        <v/>
      </c>
    </row>
    <row r="18" spans="1:48" s="2900" customFormat="1">
      <c r="A18" s="2901" t="s">
        <v>2675</v>
      </c>
      <c r="B18" s="290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4月19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00" customFormat="1">
      <c r="A19" s="2901" t="s">
        <v>2676</v>
      </c>
      <c r="B19" s="2902"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900" customFormat="1">
      <c r="A20" s="2901" t="s">
        <v>2677</v>
      </c>
      <c r="B20" s="2902" t="str">
        <f>'预评函-1'!A27</f>
        <v>——</v>
      </c>
    </row>
    <row r="21" spans="1:48" s="2916" customFormat="1" ht="15" thickBot="1">
      <c r="A21" s="2923" t="s">
        <v>2678</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2679</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国有建设用地使用权预评估价格详见估价结果一览表。</v>
      </c>
    </row>
    <row r="23" spans="1:48">
      <c r="A23" s="2901" t="s">
        <v>2680</v>
      </c>
      <c r="B23" s="2902" t="str">
        <f>'预评函-2'!K2</f>
        <v>估价期日：2018年4月19日</v>
      </c>
    </row>
    <row r="24" spans="1:48">
      <c r="A24" s="2901" t="s">
        <v>2681</v>
      </c>
      <c r="B24" s="2902" t="str">
        <f>'预评函-2'!R2</f>
        <v>估价期日的国有建设用地使用权性质：</v>
      </c>
    </row>
    <row r="25" spans="1:48">
      <c r="A25" s="2901" t="s">
        <v>2737</v>
      </c>
      <c r="B25" s="2902" t="str">
        <f>'预评函-2'!A3</f>
        <v>估价期日土地使用者</v>
      </c>
    </row>
    <row r="26" spans="1:48">
      <c r="A26" s="2901" t="s">
        <v>2713</v>
      </c>
      <c r="B26" s="2902" t="str">
        <f>'预评函-2'!A5</f>
        <v>中信开发</v>
      </c>
    </row>
    <row r="27" spans="1:48">
      <c r="A27" s="2901" t="s">
        <v>2738</v>
      </c>
      <c r="B27" s="2902" t="str">
        <f>'预评函-2'!B3</f>
        <v>宗地编号/不动产单元号</v>
      </c>
    </row>
    <row r="28" spans="1:48">
      <c r="A28" s="2901" t="s">
        <v>2714</v>
      </c>
      <c r="B28" s="2902" t="str">
        <f>'预评函-2'!B5</f>
        <v>11111111111</v>
      </c>
    </row>
    <row r="29" spans="1:48">
      <c r="A29" s="2901" t="s">
        <v>2740</v>
      </c>
      <c r="B29" s="2902">
        <f>'预评函-2'!C5</f>
        <v>22</v>
      </c>
    </row>
    <row r="30" spans="1:48">
      <c r="A30" s="2901" t="s">
        <v>2741</v>
      </c>
      <c r="B30" s="2902" t="str">
        <f>'预评函-2'!D3</f>
        <v>土地使用证编号/不动产权证书编号</v>
      </c>
    </row>
    <row r="31" spans="1:48">
      <c r="A31" s="2901" t="s">
        <v>2715</v>
      </c>
      <c r="B31" s="2902" t="str">
        <f>'预评函-2'!D5</f>
        <v>京国土字第111号</v>
      </c>
    </row>
    <row r="32" spans="1:48">
      <c r="A32" s="2901" t="s">
        <v>2716</v>
      </c>
      <c r="B32" s="2902">
        <f>'预评函-2'!E5</f>
        <v>0</v>
      </c>
      <c r="AV32" s="2906"/>
    </row>
    <row r="33" spans="1:2">
      <c r="A33" s="2901" t="s">
        <v>2717</v>
      </c>
      <c r="B33" s="2902">
        <f>'预评函-2'!F5</f>
        <v>258</v>
      </c>
    </row>
    <row r="34" spans="1:2">
      <c r="A34" s="2901" t="s">
        <v>2718</v>
      </c>
      <c r="B34" s="2902">
        <f>'预评函-2'!G5</f>
        <v>0</v>
      </c>
    </row>
    <row r="35" spans="1:2">
      <c r="A35" s="2901" t="s">
        <v>2719</v>
      </c>
      <c r="B35" s="2902">
        <f>'预评函-2'!H5</f>
        <v>1.5</v>
      </c>
    </row>
    <row r="36" spans="1:2">
      <c r="A36" s="2901" t="s">
        <v>2720</v>
      </c>
      <c r="B36" s="2902">
        <f>'预评函-2'!I5</f>
        <v>1.5</v>
      </c>
    </row>
    <row r="37" spans="1:2">
      <c r="A37" s="2901" t="s">
        <v>2721</v>
      </c>
      <c r="B37" s="2902">
        <f>'预评函-2'!J5</f>
        <v>1.5</v>
      </c>
    </row>
    <row r="38" spans="1:2">
      <c r="A38" s="2901" t="s">
        <v>2722</v>
      </c>
      <c r="B38" s="2902" t="str">
        <f>'预评函-2'!K5</f>
        <v>红线外七通、宗地红线内</v>
      </c>
    </row>
    <row r="39" spans="1:2">
      <c r="A39" s="2901" t="s">
        <v>2723</v>
      </c>
      <c r="B39" s="2902" t="str">
        <f>'预评函-2'!L5</f>
        <v>红线外七通、宗地红线内场地</v>
      </c>
    </row>
    <row r="40" spans="1:2">
      <c r="A40" s="2901" t="s">
        <v>2742</v>
      </c>
      <c r="B40" s="2902" t="str">
        <f>'预评函-2'!M3</f>
        <v>（剩余）土地使用年限/年</v>
      </c>
    </row>
    <row r="41" spans="1:2">
      <c r="A41" s="2901" t="s">
        <v>2724</v>
      </c>
      <c r="B41" s="2902" t="str">
        <f>'预评函-2'!M5</f>
        <v>——</v>
      </c>
    </row>
    <row r="42" spans="1:2">
      <c r="A42" s="2901" t="s">
        <v>2743</v>
      </c>
      <c r="B42" s="2902" t="str">
        <f>'预评函-2'!N3</f>
        <v>（分摊）国有建设用地使用权面积/㎡</v>
      </c>
    </row>
    <row r="43" spans="1:2">
      <c r="A43" s="2901" t="s">
        <v>2725</v>
      </c>
      <c r="B43" s="2902">
        <f>'预评函-2'!N5</f>
        <v>80775.5</v>
      </c>
    </row>
    <row r="44" spans="1:2">
      <c r="A44" s="2901" t="s">
        <v>2744</v>
      </c>
      <c r="B44" s="2902" t="str">
        <f>'预评函-2'!O3</f>
        <v>规划建筑面积/㎡</v>
      </c>
    </row>
    <row r="45" spans="1:2">
      <c r="A45" s="2901" t="s">
        <v>2726</v>
      </c>
      <c r="B45" s="2902">
        <f>'预评函-2'!O5</f>
        <v>177705.36</v>
      </c>
    </row>
    <row r="46" spans="1:2">
      <c r="A46" s="2901" t="s">
        <v>2727</v>
      </c>
      <c r="B46" s="2902">
        <f ca="1">'预评函-2'!P5</f>
        <v>10738</v>
      </c>
    </row>
    <row r="47" spans="1:2">
      <c r="A47" s="2901" t="s">
        <v>2728</v>
      </c>
      <c r="B47" s="2902">
        <f ca="1">'预评函-2'!Q5</f>
        <v>4881</v>
      </c>
    </row>
    <row r="48" spans="1:2">
      <c r="A48" s="2901" t="s">
        <v>2729</v>
      </c>
      <c r="B48" s="2902">
        <f ca="1">'预评函-2'!R5</f>
        <v>86738</v>
      </c>
    </row>
    <row r="49" spans="1:2">
      <c r="A49" s="2901" t="s">
        <v>2745</v>
      </c>
      <c r="B49" s="2902" t="str">
        <f>'预评函-2'!A6</f>
        <v>抵押价格</v>
      </c>
    </row>
    <row r="50" spans="1:2">
      <c r="A50" s="2901" t="s">
        <v>2730</v>
      </c>
      <c r="B50" s="2902" t="str">
        <f>'预评函-2'!R6</f>
        <v>——</v>
      </c>
    </row>
    <row r="51" spans="1:2">
      <c r="A51" s="2901" t="s">
        <v>2746</v>
      </c>
      <c r="B51" s="2902" t="str">
        <f>'预评函-2'!A7</f>
        <v>——</v>
      </c>
    </row>
    <row r="52" spans="1:2">
      <c r="A52" s="2901" t="s">
        <v>2731</v>
      </c>
      <c r="B52" s="2902" t="str">
        <f>'预评函-2'!R7</f>
        <v>——</v>
      </c>
    </row>
    <row r="53" spans="1:2">
      <c r="A53" s="2901" t="s">
        <v>2747</v>
      </c>
      <c r="B53" s="2902">
        <f>'预评函-2'!A8</f>
        <v>0</v>
      </c>
    </row>
    <row r="54" spans="1:2" s="2916" customFormat="1" ht="15" thickBot="1">
      <c r="A54" s="2923" t="s">
        <v>2732</v>
      </c>
      <c r="B54" s="2924" t="str">
        <f>'预评函-2'!R8</f>
        <v>——</v>
      </c>
    </row>
    <row r="55" spans="1:2" ht="15" thickTop="1">
      <c r="A55" s="2912" t="s">
        <v>2682</v>
      </c>
      <c r="B55" s="2913" t="str">
        <f>'预评函-3'!A2</f>
        <v>1.权利限制：根据估价对象《不动产权证书》原件、《国有土地使用权》复印件，截至估价期日，估价对象抵押权未见登记。未设定租赁等其他他项权利。</v>
      </c>
    </row>
    <row r="56" spans="1:2">
      <c r="A56" s="2901" t="s">
        <v>2683</v>
      </c>
      <c r="B56" s="2902" t="str">
        <f>'预评函-3'!A3</f>
        <v>2.基础设施条件：估价对象实际开发程度为红线外七通、宗地红线内；本次评估设定开发程度为红线外七通、宗地红线内场地。</v>
      </c>
    </row>
    <row r="57" spans="1:2">
      <c r="A57" s="2901" t="s">
        <v>2684</v>
      </c>
      <c r="B57" s="2902" t="str">
        <f>'预评函-3'!A4</f>
        <v>3.估价规划限制条件：详见《建设工程规划许可证》[]、《出让合同》[]。</v>
      </c>
    </row>
    <row r="58" spans="1:2" s="2916" customFormat="1" ht="15" thickBot="1">
      <c r="A58" s="2923" t="s">
        <v>2733</v>
      </c>
      <c r="B58" s="2924" t="str">
        <f>'预评函-3'!A5</f>
        <v>4.影响价格的其他限定条件：无。</v>
      </c>
    </row>
    <row r="59" spans="1:2" ht="15" thickTop="1">
      <c r="A59" s="2912" t="s">
        <v>2685</v>
      </c>
      <c r="B59" s="2913" t="str">
        <f>'预评函-3'!A8</f>
        <v>2.本次评估设定估价对象宗地权属无争议，未被查封或者以其他形式限制其房地产权利，未设定抵押权等他项权利，不涉及第三方权利义务。</v>
      </c>
    </row>
    <row r="60" spans="1:2">
      <c r="A60" s="2901" t="s">
        <v>2686</v>
      </c>
      <c r="B60" s="2902" t="str">
        <f>'预评函-3'!A9</f>
        <v>——</v>
      </c>
    </row>
    <row r="61" spans="1:2">
      <c r="A61" s="2901" t="s">
        <v>2688</v>
      </c>
      <c r="B61" s="2902" t="str">
        <f>'预评函-3'!A10</f>
        <v>——</v>
      </c>
    </row>
    <row r="62" spans="1:2">
      <c r="A62" s="2901" t="s">
        <v>2687</v>
      </c>
      <c r="B62" s="2902" t="str">
        <f>'预评函-3'!A11</f>
        <v>——</v>
      </c>
    </row>
    <row r="63" spans="1:2">
      <c r="A63" s="2901" t="s">
        <v>2689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2690</v>
      </c>
      <c r="B64" s="2907" t="str">
        <f>'预评函-3'!A13</f>
        <v>（3）。</v>
      </c>
    </row>
    <row r="65" spans="1:2">
      <c r="A65" s="2901" t="s">
        <v>2691</v>
      </c>
      <c r="B65" s="2908" t="str">
        <f>'预评函-3'!A14</f>
        <v>——</v>
      </c>
    </row>
    <row r="66" spans="1:2">
      <c r="A66" s="2901" t="s">
        <v>2692</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2693</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2696</v>
      </c>
      <c r="B68" s="2927">
        <f>'预评函-3'!D30</f>
        <v>42558</v>
      </c>
    </row>
    <row r="69" spans="1:2" ht="15" thickTop="1">
      <c r="A69" s="2912" t="s">
        <v>2694</v>
      </c>
      <c r="B69" s="2913" t="str">
        <f>'预评函-3'!A20</f>
        <v>土地估价师</v>
      </c>
    </row>
    <row r="70" spans="1:2">
      <c r="A70" s="2901" t="s">
        <v>2694</v>
      </c>
      <c r="B70" s="2908">
        <f>'预评函-3'!B20</f>
        <v>0</v>
      </c>
    </row>
    <row r="71" spans="1:2">
      <c r="A71" s="2901" t="s">
        <v>2695</v>
      </c>
      <c r="B71" s="2902" t="str">
        <f>'预评函-3'!A21</f>
        <v>土地估价师</v>
      </c>
    </row>
    <row r="72" spans="1:2" s="2916" customFormat="1" ht="15" thickBot="1">
      <c r="A72" s="2923" t="s">
        <v>2695</v>
      </c>
      <c r="B72" s="2929">
        <f>'预评函-3'!B21</f>
        <v>0</v>
      </c>
    </row>
    <row r="73" spans="1:2" ht="15" thickTop="1">
      <c r="A73" s="2912" t="s">
        <v>2754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2791</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D18" sqref="D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332" t="str">
        <f>IF(B10="北京市","北京市",C10)&amp;F10&amp;B16&amp;"国有建设用地使用权"&amp;B9&amp;"预评估"</f>
        <v>国有建设用地使用权预评估</v>
      </c>
      <c r="C1" s="3333"/>
      <c r="D1" s="3333"/>
      <c r="E1" s="3333"/>
      <c r="F1" s="3333"/>
      <c r="G1" s="3333"/>
      <c r="H1" s="3333"/>
      <c r="I1" s="3334"/>
      <c r="J1" s="1692"/>
      <c r="K1" s="2478" t="str">
        <f>IF(B10="北京市","北京市",C10)&amp;F10&amp;B16&amp;"国有建设用地使用权"&amp;B9</f>
        <v>国有建设用地使用权</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国有建设用地使用权</v>
      </c>
      <c r="L2" s="1721"/>
      <c r="M2" s="1721"/>
      <c r="N2" s="1692"/>
      <c r="O2" s="1693"/>
      <c r="P2" s="1692"/>
      <c r="Q2" s="1692"/>
      <c r="R2" s="1692"/>
      <c r="S2" s="1692"/>
      <c r="T2" s="1692"/>
      <c r="U2" s="1692"/>
    </row>
    <row r="3" spans="1:21">
      <c r="A3" s="1659" t="s">
        <v>1942</v>
      </c>
      <c r="B3" s="1660">
        <v>43209</v>
      </c>
      <c r="C3" s="1661" t="s">
        <v>1998</v>
      </c>
      <c r="D3" s="1660">
        <f>B3</f>
        <v>43209</v>
      </c>
      <c r="E3" s="1692"/>
      <c r="F3" s="1692"/>
      <c r="G3" s="1692"/>
      <c r="H3" s="1658"/>
      <c r="I3" s="1693"/>
      <c r="J3" s="1692"/>
      <c r="K3" s="1772"/>
      <c r="L3" s="1721"/>
      <c r="M3" s="1721"/>
      <c r="N3" s="1692"/>
      <c r="O3" s="1693"/>
      <c r="P3" s="1692"/>
      <c r="Q3" s="1692"/>
      <c r="R3" s="1692"/>
      <c r="S3" s="1692"/>
      <c r="T3" s="1692"/>
      <c r="U3" s="1692"/>
    </row>
    <row r="4" spans="1:21" ht="29.25" thickBot="1">
      <c r="A4" s="1662" t="s">
        <v>1943</v>
      </c>
      <c r="B4" s="1841" t="s">
        <v>2893</v>
      </c>
      <c r="C4" s="1844">
        <f>SUMIF(土地估价师,B4,估价师及机构信息!E3:E24)</f>
        <v>0</v>
      </c>
      <c r="D4" s="1841" t="s">
        <v>2893</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8"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c r="C8" s="1669"/>
      <c r="D8" s="3338"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c r="C9" s="1673"/>
      <c r="D9" s="3339"/>
      <c r="E9" s="1672"/>
      <c r="F9" s="1745"/>
      <c r="G9" s="1740"/>
      <c r="H9" s="1740"/>
      <c r="I9" s="1741"/>
      <c r="J9" s="1692"/>
      <c r="K9" s="1772"/>
      <c r="L9" s="1721"/>
      <c r="M9" s="1721"/>
      <c r="N9" s="1692"/>
      <c r="O9" s="1693"/>
      <c r="P9" s="1692"/>
      <c r="Q9" s="1692"/>
      <c r="R9" s="1692"/>
      <c r="S9" s="1692"/>
      <c r="T9" s="1692"/>
      <c r="U9" s="1692"/>
    </row>
    <row r="10" spans="1:21" ht="15" thickTop="1">
      <c r="A10" s="1742" t="s">
        <v>2002</v>
      </c>
      <c r="B10" s="1717"/>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335"/>
      <c r="C12" s="3336"/>
      <c r="D12" s="3337"/>
      <c r="E12" s="1697" t="s">
        <v>2064</v>
      </c>
      <c r="F12" s="3353" t="s">
        <v>2894</v>
      </c>
      <c r="G12" s="3354"/>
      <c r="H12" s="3354"/>
      <c r="I12" s="3355"/>
      <c r="J12" s="1692"/>
      <c r="K12" s="1772"/>
      <c r="L12" s="1721"/>
      <c r="M12" s="1721"/>
      <c r="N12" s="1692"/>
      <c r="O12" s="1693"/>
      <c r="P12" s="1692"/>
      <c r="Q12" s="1692"/>
      <c r="R12" s="1692"/>
      <c r="S12" s="1692"/>
      <c r="T12" s="1692"/>
      <c r="U12" s="1692"/>
    </row>
    <row r="13" spans="1:21">
      <c r="A13" s="1685" t="s">
        <v>2062</v>
      </c>
      <c r="B13" s="3335"/>
      <c r="C13" s="3336"/>
      <c r="D13" s="3337"/>
      <c r="E13" s="1697" t="s">
        <v>2064</v>
      </c>
      <c r="F13" s="3353" t="s">
        <v>2895</v>
      </c>
      <c r="G13" s="3354"/>
      <c r="H13" s="3354"/>
      <c r="I13" s="3355"/>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c r="C16" s="1697" t="s">
        <v>1951</v>
      </c>
      <c r="D16" s="2669" t="s">
        <v>1952</v>
      </c>
      <c r="E16" s="1720"/>
      <c r="F16" s="1720"/>
      <c r="G16" s="1720"/>
      <c r="H16" s="1720"/>
      <c r="I16" s="1684" t="s">
        <v>1957</v>
      </c>
      <c r="J16" s="1692"/>
      <c r="K16" s="2479" t="str">
        <f>IF(D17="","",D16&amp;TEXT(D17,"yyyy年m月d日;;"))</f>
        <v>住宅2088年4月18日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1958</v>
      </c>
      <c r="D17" s="1698">
        <v>68776</v>
      </c>
      <c r="E17" s="1698"/>
      <c r="F17" s="1698"/>
      <c r="G17" s="1698"/>
      <c r="H17" s="1698"/>
      <c r="I17" s="1698"/>
      <c r="J17" s="1692"/>
      <c r="K17" s="2478" t="str">
        <f>CONCATENATE(K16,L16,M16,N16,O16,P16,Q16,R16,S16,T16,,U16)</f>
        <v>住宅2088年4月18日</v>
      </c>
      <c r="L17" s="1721"/>
      <c r="M17" s="1721"/>
      <c r="N17" s="1692"/>
      <c r="O17" s="1693"/>
      <c r="P17" s="1692"/>
      <c r="Q17" s="1692"/>
      <c r="R17" s="1692"/>
      <c r="S17" s="1692"/>
      <c r="T17" s="1692"/>
      <c r="U17" s="1692"/>
    </row>
    <row r="18" spans="1:21">
      <c r="A18" s="1761"/>
      <c r="B18" s="1680"/>
      <c r="C18" s="1681" t="s">
        <v>1959</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70</v>
      </c>
      <c r="E19" s="1683">
        <f>IF(B16="出让",IF(E17="","",ROUNDDOWN(MIN((E17-$D$3)/365,E18),2)),E18)</f>
        <v>0</v>
      </c>
      <c r="F19" s="1683">
        <f>IF(B16="出让",IF(F17="","",ROUNDDOWN(MIN((F17-$D$3)/365,F18),2)),F18)</f>
        <v>0</v>
      </c>
      <c r="G19" s="1683">
        <f>IF(B16="出让",IF(G17="","",ROUNDDOWN(MIN((G17-$D$3)/365,G18),2)),G18)</f>
        <v>0</v>
      </c>
      <c r="H19" s="1683">
        <f>IF(B16="出让",IF(H17="","",ROUNDDOWN(MIN((H17-$D$3)/365,H18),2)),H18)</f>
        <v>0</v>
      </c>
      <c r="I19" s="1683">
        <f>IF(B16="出让",IF(I17="","",ROUNDDOWN(MIN((I17-$D$3)/365,I18),2)),I18)</f>
        <v>0</v>
      </c>
      <c r="J19" s="1692"/>
      <c r="K19" s="1772"/>
      <c r="L19" s="1721"/>
      <c r="M19" s="1721"/>
      <c r="N19" s="1692"/>
      <c r="O19" s="1693"/>
      <c r="P19" s="1692"/>
      <c r="Q19" s="1692"/>
      <c r="R19" s="1692"/>
      <c r="S19" s="1692"/>
      <c r="T19" s="1692"/>
      <c r="U19" s="1692"/>
    </row>
    <row r="20" spans="1:21">
      <c r="A20" s="1784"/>
      <c r="B20" s="1785"/>
      <c r="C20" s="1786" t="s">
        <v>2063</v>
      </c>
      <c r="D20" s="3350"/>
      <c r="E20" s="3351"/>
      <c r="F20" s="3351"/>
      <c r="G20" s="3351"/>
      <c r="H20" s="3351"/>
      <c r="I20" s="3352"/>
      <c r="J20" s="1692"/>
      <c r="K20" s="1772"/>
      <c r="L20" s="1721"/>
      <c r="M20" s="1721"/>
      <c r="N20" s="1692"/>
      <c r="O20" s="1693"/>
      <c r="P20" s="1692"/>
      <c r="Q20" s="1692"/>
      <c r="R20" s="1692"/>
      <c r="S20" s="1692"/>
      <c r="T20" s="1692"/>
      <c r="U20" s="1692"/>
    </row>
    <row r="21" spans="1:21">
      <c r="A21" s="1761" t="s">
        <v>1961</v>
      </c>
      <c r="B21" s="1762" t="s">
        <v>1962</v>
      </c>
      <c r="C21" s="1757">
        <f>'数据-汇总表'!E3</f>
        <v>177705.36</v>
      </c>
      <c r="D21" s="1758" t="s">
        <v>1963</v>
      </c>
      <c r="E21" s="3340" t="s">
        <v>2001</v>
      </c>
      <c r="F21" s="3341"/>
      <c r="G21" s="3341"/>
      <c r="H21" s="3341"/>
      <c r="I21" s="3342"/>
      <c r="J21" s="1692"/>
      <c r="K21" s="1772"/>
      <c r="L21" s="1721"/>
      <c r="M21" s="1721"/>
      <c r="N21" s="1692"/>
      <c r="O21" s="1693"/>
      <c r="P21" s="1692"/>
      <c r="Q21" s="1692"/>
      <c r="R21" s="1692"/>
      <c r="S21" s="1692"/>
      <c r="T21" s="1692"/>
      <c r="U21" s="1692"/>
    </row>
    <row r="22" spans="1:21">
      <c r="A22" s="3175" t="s">
        <v>952</v>
      </c>
      <c r="B22" s="1659" t="s">
        <v>1964</v>
      </c>
      <c r="C22" s="1684">
        <f>'数据-汇总表'!D3</f>
        <v>80775.5</v>
      </c>
      <c r="D22" s="1685" t="s">
        <v>1963</v>
      </c>
      <c r="E22" s="3340" t="s">
        <v>2896</v>
      </c>
      <c r="F22" s="3341"/>
      <c r="G22" s="3341"/>
      <c r="H22" s="3341"/>
      <c r="I22" s="3342"/>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43" t="s">
        <v>1969</v>
      </c>
      <c r="C24" s="3344"/>
      <c r="D24" s="3345" t="s">
        <v>1970</v>
      </c>
      <c r="E24" s="3346"/>
      <c r="F24" s="1706" t="s">
        <v>1971</v>
      </c>
      <c r="G24" s="1692"/>
      <c r="H24" s="1692"/>
      <c r="I24" s="1705"/>
      <c r="J24" s="1692"/>
      <c r="K24" s="3331"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33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33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5" thickTop="1">
      <c r="A31" s="3317" t="s">
        <v>2004</v>
      </c>
      <c r="B31" s="1762" t="s">
        <v>2005</v>
      </c>
      <c r="C31" s="3356"/>
      <c r="D31" s="3357"/>
      <c r="E31" s="1692"/>
      <c r="F31" s="1692"/>
      <c r="G31" s="1692"/>
      <c r="H31" s="1692"/>
      <c r="I31" s="1705"/>
      <c r="J31" s="1692"/>
      <c r="K31" s="2481"/>
      <c r="L31" s="1692"/>
      <c r="M31" s="1692"/>
      <c r="N31" s="1692"/>
      <c r="O31" s="1692"/>
      <c r="P31" s="1692"/>
      <c r="Q31" s="1692"/>
      <c r="R31" s="1692"/>
      <c r="S31" s="1692"/>
      <c r="T31" s="1692"/>
      <c r="U31" s="1692"/>
    </row>
    <row r="32" spans="1:21">
      <c r="A32" s="3317"/>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317"/>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318"/>
      <c r="B34" s="1659" t="s">
        <v>2008</v>
      </c>
      <c r="C34" s="3319"/>
      <c r="D34" s="3320"/>
      <c r="E34" s="1692"/>
      <c r="F34" s="1692"/>
      <c r="G34" s="1692"/>
      <c r="H34" s="1692"/>
      <c r="I34" s="1705"/>
      <c r="J34" s="1692"/>
      <c r="K34" s="2481"/>
      <c r="L34" s="1692"/>
      <c r="M34" s="1692"/>
      <c r="N34" s="1692"/>
      <c r="O34" s="1692"/>
      <c r="P34" s="1692"/>
      <c r="Q34" s="1692"/>
      <c r="R34" s="1692"/>
      <c r="S34" s="1692"/>
      <c r="T34" s="1692"/>
      <c r="U34" s="1692"/>
    </row>
    <row r="35" spans="1:21">
      <c r="A35" s="3321" t="s">
        <v>847</v>
      </c>
      <c r="B35" s="1720"/>
      <c r="C35" s="1774" t="str">
        <f>IF(B35="场地平整","——","具体情况：")</f>
        <v>具体情况：</v>
      </c>
      <c r="D35" s="3323"/>
      <c r="E35" s="3324"/>
      <c r="F35" s="3324"/>
      <c r="G35" s="3324"/>
      <c r="H35" s="3324"/>
      <c r="I35" s="3325"/>
      <c r="J35" s="1692"/>
      <c r="K35" s="1773"/>
      <c r="L35" s="1721"/>
      <c r="M35" s="1721"/>
      <c r="N35" s="1692"/>
      <c r="O35" s="1693"/>
      <c r="P35" s="1692"/>
      <c r="Q35" s="1692"/>
      <c r="R35" s="1692"/>
      <c r="S35" s="1692"/>
      <c r="T35" s="1692"/>
      <c r="U35" s="1692"/>
    </row>
    <row r="36" spans="1:21">
      <c r="A36" s="3317"/>
      <c r="B36" s="3326" t="s">
        <v>2057</v>
      </c>
      <c r="C36" s="3327"/>
      <c r="D36" s="1790"/>
      <c r="E36" s="3328"/>
      <c r="F36" s="3328"/>
      <c r="G36" s="1685" t="str">
        <f>IF(B35="场地未平整","估价结果处理","")</f>
        <v/>
      </c>
      <c r="H36" s="3329"/>
      <c r="I36" s="3329"/>
      <c r="J36" s="1692"/>
      <c r="K36" s="1773"/>
      <c r="L36" s="1721"/>
      <c r="M36" s="1721"/>
      <c r="N36" s="1692"/>
      <c r="O36" s="1693"/>
      <c r="P36" s="1692"/>
      <c r="Q36" s="1692"/>
      <c r="R36" s="1692"/>
      <c r="S36" s="1692"/>
      <c r="T36" s="1692"/>
      <c r="U36" s="1692"/>
    </row>
    <row r="37" spans="1:21" ht="28.5">
      <c r="A37" s="3317"/>
      <c r="B37" s="334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317"/>
      <c r="B38" s="3348"/>
      <c r="C38" s="1667" t="s">
        <v>850</v>
      </c>
      <c r="D38" s="1789">
        <f>ROUNDDOWN(MIN(('数据-取费表'!$B$2-D37)/365,D34),1)</f>
        <v>118.3</v>
      </c>
      <c r="E38" s="1725" t="s">
        <v>851</v>
      </c>
      <c r="F38" s="1692"/>
      <c r="G38" s="1692"/>
      <c r="H38" s="1692"/>
      <c r="I38" s="1705"/>
      <c r="J38" s="1692"/>
      <c r="K38" s="1773"/>
      <c r="L38" s="1692"/>
      <c r="M38" s="1692"/>
      <c r="N38" s="1692"/>
      <c r="O38" s="1692"/>
      <c r="P38" s="1692"/>
      <c r="Q38" s="1692"/>
      <c r="R38" s="1692"/>
      <c r="S38" s="1692"/>
      <c r="T38" s="1692"/>
      <c r="U38" s="1692"/>
    </row>
    <row r="39" spans="1:21">
      <c r="A39" s="3318"/>
      <c r="B39" s="334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c r="C40" s="1688"/>
      <c r="D40" s="1688"/>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330" t="s">
        <v>1988</v>
      </c>
      <c r="T40" s="1729" t="str">
        <f>NUMBERSTRING(7-K40,1)&amp;"通"</f>
        <v>七通</v>
      </c>
      <c r="U40" s="1692"/>
    </row>
    <row r="41" spans="1:21">
      <c r="A41" s="1661"/>
      <c r="B41" s="3322" t="s">
        <v>1722</v>
      </c>
      <c r="C41" s="3322"/>
      <c r="D41" s="3322"/>
      <c r="E41" s="3322"/>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30"/>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5" customFormat="1" ht="21" thickBot="1">
      <c r="A45" s="3096" t="s">
        <v>2897</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O21" sqref="AO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2336</v>
      </c>
      <c r="BA2" s="2360"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80775.5</v>
      </c>
      <c r="B3" s="22">
        <f>IF(C3="否",G5-AT5,G5)</f>
        <v>177705.36</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177705.36</v>
      </c>
      <c r="H5" s="27">
        <f t="shared" ref="H5:AT5" si="0">SUM(H13:H641)</f>
        <v>174234</v>
      </c>
      <c r="I5" s="27">
        <f t="shared" si="0"/>
        <v>174234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3471.36</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3471.36</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177705.36</v>
      </c>
      <c r="BA5" s="29">
        <f t="shared" si="1"/>
        <v>174234</v>
      </c>
      <c r="BB5" s="29">
        <f t="shared" si="1"/>
        <v>174234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3471.36</v>
      </c>
      <c r="BM5" s="29">
        <f t="shared" si="1"/>
        <v>0</v>
      </c>
      <c r="BN5" s="29">
        <f t="shared" si="1"/>
        <v>0</v>
      </c>
      <c r="BO5" s="29">
        <f t="shared" si="1"/>
        <v>0</v>
      </c>
      <c r="BP5" s="29">
        <f t="shared" si="1"/>
        <v>0</v>
      </c>
      <c r="BQ5" s="29">
        <f t="shared" si="1"/>
        <v>3471.36</v>
      </c>
      <c r="BR5" s="29">
        <f t="shared" si="1"/>
        <v>0</v>
      </c>
      <c r="BS5" s="29">
        <f t="shared" si="1"/>
        <v>0</v>
      </c>
      <c r="BT5" s="30">
        <f t="shared" si="1"/>
        <v>0</v>
      </c>
    </row>
    <row r="6" spans="1:72" s="37" customFormat="1" ht="12.75">
      <c r="A6" s="26" t="s">
        <v>169</v>
      </c>
      <c r="B6" s="31"/>
      <c r="C6" s="31"/>
      <c r="D6" s="32"/>
      <c r="E6" s="27">
        <f>H6+AC6+AT6</f>
        <v>80775.5</v>
      </c>
      <c r="F6" s="27" t="s">
        <v>1</v>
      </c>
      <c r="G6" s="27" t="s">
        <v>2</v>
      </c>
      <c r="H6" s="33">
        <f>SUMIF(I$12:AB$12,"总值",I6:AB6)</f>
        <v>79197.600000000006</v>
      </c>
      <c r="I6" s="27">
        <f t="shared" ref="I6:AB6" si="2">ROUND($A$3*I5/$B$3,2)</f>
        <v>79197.600000000006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1577.9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1577.9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80775.5</v>
      </c>
      <c r="AZ6" s="27" t="s">
        <v>3</v>
      </c>
      <c r="BA6" s="27">
        <f>ROUND($AY$6*BA5/$AZ$5,2)</f>
        <v>79197.600000000006</v>
      </c>
      <c r="BB6" s="27">
        <f>ROUND($AY$6*BB5/$AZ$5,2)</f>
        <v>79197.600000000006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1577.9</v>
      </c>
      <c r="BM6" s="27">
        <f t="shared" si="5"/>
        <v>0</v>
      </c>
      <c r="BN6" s="27">
        <f t="shared" si="5"/>
        <v>0</v>
      </c>
      <c r="BO6" s="27">
        <f t="shared" si="5"/>
        <v>0</v>
      </c>
      <c r="BP6" s="27">
        <f t="shared" si="5"/>
        <v>0</v>
      </c>
      <c r="BQ6" s="27">
        <f t="shared" si="5"/>
        <v>1577.9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1" t="s">
        <v>2987</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1" t="s">
        <v>923</v>
      </c>
      <c r="J10" s="51"/>
      <c r="K10" s="3043"/>
      <c r="L10" s="51"/>
      <c r="M10" s="3043"/>
      <c r="N10" s="51"/>
      <c r="O10" s="66"/>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2" t="s">
        <v>2988</v>
      </c>
      <c r="J11" s="71"/>
      <c r="K11" s="3042"/>
      <c r="L11" s="71"/>
      <c r="M11" s="70"/>
      <c r="N11" s="71"/>
      <c r="O11" s="70"/>
      <c r="P11" s="71"/>
      <c r="Q11" s="70"/>
      <c r="R11" s="71"/>
      <c r="S11" s="70"/>
      <c r="T11" s="71"/>
      <c r="U11" s="70"/>
      <c r="V11" s="71"/>
      <c r="W11" s="70"/>
      <c r="X11" s="71"/>
      <c r="Y11" s="70"/>
      <c r="Z11" s="71"/>
      <c r="AA11" s="70"/>
      <c r="AB11" s="71"/>
      <c r="AC11" s="55"/>
      <c r="AD11" s="2333" t="s">
        <v>2333</v>
      </c>
      <c r="AE11" s="1001"/>
      <c r="AF11" s="2333" t="s">
        <v>2333</v>
      </c>
      <c r="AG11" s="1001"/>
      <c r="AH11" s="2333" t="s">
        <v>2332</v>
      </c>
      <c r="AI11" s="2334"/>
      <c r="AJ11" s="2333" t="s">
        <v>2332</v>
      </c>
      <c r="AK11" s="2332"/>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6"/>
      <c r="B13" s="3036"/>
      <c r="C13" s="3036"/>
      <c r="D13" s="3037" t="s">
        <v>1679</v>
      </c>
      <c r="E13" s="27">
        <f t="shared" ref="E13:E20" si="6">IF($C$3="是",ROUND($A$3*G13/$B$3,2),ROUND($A$3*(G13-AT13)/$B$3,2))</f>
        <v>80775.5</v>
      </c>
      <c r="F13" s="81"/>
      <c r="G13" s="82">
        <f t="shared" ref="G13:G20" si="7">H13+AC13+AT13</f>
        <v>177705.36</v>
      </c>
      <c r="H13" s="33">
        <f t="shared" ref="H13:H20" si="8">SUMIF(I$12:AB$12,"总值",I13:AB13)</f>
        <v>174234</v>
      </c>
      <c r="I13" s="3040">
        <v>174234</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3471.36</v>
      </c>
      <c r="AD13" s="3044"/>
      <c r="AE13" s="3044"/>
      <c r="AF13" s="3044"/>
      <c r="AG13" s="3044"/>
      <c r="AH13" s="3044"/>
      <c r="AI13" s="3044"/>
      <c r="AJ13" s="3044"/>
      <c r="AK13" s="3044"/>
      <c r="AL13" s="3044">
        <v>3471.36</v>
      </c>
      <c r="AM13" s="3044"/>
      <c r="AN13" s="3044"/>
      <c r="AO13" s="3044"/>
      <c r="AP13" s="3044"/>
      <c r="AQ13" s="3044"/>
      <c r="AR13" s="3044"/>
      <c r="AS13" s="3044"/>
      <c r="AT13" s="3045"/>
      <c r="AU13" s="3046"/>
      <c r="AV13" s="17">
        <f t="shared" ref="AV13:AX20" si="10">A13</f>
        <v>0</v>
      </c>
      <c r="AW13" s="17">
        <f t="shared" si="10"/>
        <v>0</v>
      </c>
      <c r="AX13" s="17">
        <f t="shared" si="10"/>
        <v>0</v>
      </c>
      <c r="AY13" s="995">
        <f t="shared" ref="AY13:AY20" si="11">ROUND($AY$6*AZ13/$AZ$5,2)</f>
        <v>80775.5</v>
      </c>
      <c r="AZ13" s="27">
        <f t="shared" ref="AZ13:AZ20" si="12">BA13+BL13</f>
        <v>177705.36</v>
      </c>
      <c r="BA13" s="27">
        <f t="shared" ref="BA13:BA20" si="13">SUM(BB13:BK13)</f>
        <v>174234</v>
      </c>
      <c r="BB13" s="27">
        <f t="shared" ref="BB13:BB20" si="14">IF($D13="是",I13-J13,0)</f>
        <v>174234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3471.36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3471.36</v>
      </c>
      <c r="BR13" s="27">
        <f t="shared" ref="BR13:BR20" si="30">IF($D13="是",AN13-AO13,0)</f>
        <v>0</v>
      </c>
      <c r="BS13" s="27">
        <f t="shared" ref="BS13:BS20" si="31">IF($D13="是",AP13-AQ13,0)</f>
        <v>0</v>
      </c>
      <c r="BT13" s="36">
        <f t="shared" ref="BT13:BT20" si="32">IF($D13="是",AR13-AS13,0)</f>
        <v>0</v>
      </c>
    </row>
    <row r="14" spans="1:72" s="18" customFormat="1" ht="12.75">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8" t="s">
        <v>0</v>
      </c>
      <c r="B1" s="3358" t="s">
        <v>4</v>
      </c>
      <c r="C1" s="3358" t="s">
        <v>5</v>
      </c>
      <c r="D1" s="3359" t="s">
        <v>40</v>
      </c>
      <c r="E1" s="3359" t="s">
        <v>41</v>
      </c>
      <c r="F1" s="3359"/>
      <c r="G1" s="3359"/>
      <c r="H1" s="3359"/>
      <c r="I1" s="3359"/>
      <c r="J1" s="3359"/>
      <c r="K1" s="3359"/>
      <c r="L1" s="3359"/>
      <c r="M1" s="3359"/>
    </row>
    <row r="2" spans="1:13" ht="27" customHeight="1">
      <c r="A2" s="3358"/>
      <c r="B2" s="3358"/>
      <c r="C2" s="3358"/>
      <c r="D2" s="3359"/>
      <c r="E2" s="3359" t="s">
        <v>24</v>
      </c>
      <c r="F2" s="3359" t="s">
        <v>25</v>
      </c>
      <c r="G2" s="3359"/>
      <c r="H2" s="3359"/>
      <c r="I2" s="3359"/>
      <c r="J2" s="3359" t="s">
        <v>26</v>
      </c>
      <c r="K2" s="3359"/>
      <c r="L2" s="3359"/>
      <c r="M2" s="3359"/>
    </row>
    <row r="3" spans="1:13" ht="28.5">
      <c r="A3" s="3358"/>
      <c r="B3" s="3358"/>
      <c r="C3" s="3358"/>
      <c r="D3" s="3359"/>
      <c r="E3" s="33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9" t="s">
        <v>42</v>
      </c>
      <c r="B9" s="3359"/>
      <c r="C9" s="33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3" sqref="J3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69" t="s">
        <v>203</v>
      </c>
      <c r="B2" s="3369"/>
      <c r="C2" s="3369"/>
      <c r="D2" s="1974" t="s">
        <v>204</v>
      </c>
      <c r="E2" s="106" t="s">
        <v>205</v>
      </c>
      <c r="F2" s="1983"/>
      <c r="G2" s="1197"/>
      <c r="H2" s="1198"/>
      <c r="I2" s="1199" t="s">
        <v>857</v>
      </c>
      <c r="J2" s="1983"/>
      <c r="K2" s="1983"/>
      <c r="L2" s="1983"/>
    </row>
    <row r="3" spans="1:16" ht="15.75" thickBot="1">
      <c r="A3" s="3370" t="s">
        <v>206</v>
      </c>
      <c r="B3" s="3370"/>
      <c r="C3" s="3370"/>
      <c r="D3" s="107">
        <f>'数据-基础表'!AY6</f>
        <v>80775.5</v>
      </c>
      <c r="E3" s="107">
        <f>'数据-基础表'!AZ5</f>
        <v>177705.36</v>
      </c>
      <c r="F3" s="1983"/>
      <c r="G3" s="279" t="s">
        <v>858</v>
      </c>
      <c r="H3" s="274" t="s">
        <v>859</v>
      </c>
      <c r="I3" s="1975">
        <f>ROUND('数据-基础表'!B3/'数据-基础表'!A3,2)</f>
        <v>2.2000000000000002</v>
      </c>
      <c r="J3" s="1983"/>
      <c r="K3" s="1983"/>
      <c r="L3" s="1983"/>
    </row>
    <row r="4" spans="1:16" ht="15">
      <c r="A4" s="3371"/>
      <c r="B4" s="3372"/>
      <c r="C4" s="3373"/>
      <c r="D4" s="108" t="s">
        <v>204</v>
      </c>
      <c r="E4" s="109" t="s">
        <v>205</v>
      </c>
      <c r="F4" s="1983"/>
      <c r="G4" s="1200"/>
      <c r="H4" s="274" t="s">
        <v>860</v>
      </c>
      <c r="I4" s="1975">
        <f>ROUND(SUMIF('数据-基础表'!I9:AS9,"地上",'数据-基础表'!I5:AS5)/'数据-基础表'!A3,2)</f>
        <v>2.2000000000000002</v>
      </c>
      <c r="J4" s="1983"/>
      <c r="K4" s="1983"/>
      <c r="L4" s="1983"/>
    </row>
    <row r="5" spans="1:16">
      <c r="A5" s="110" t="s">
        <v>207</v>
      </c>
      <c r="B5" s="3374" t="s">
        <v>230</v>
      </c>
      <c r="C5" s="3374"/>
      <c r="D5" s="111">
        <f>ROUND($D$3*E5/$E$3,2)</f>
        <v>79197.600000000006</v>
      </c>
      <c r="E5" s="112">
        <f>SUMIF('数据-基础表'!$11:$11,"住宅",'数据-基础表'!$5:$5)</f>
        <v>174234</v>
      </c>
      <c r="F5" s="1983"/>
      <c r="G5" s="279" t="s">
        <v>861</v>
      </c>
      <c r="H5" s="274" t="s">
        <v>859</v>
      </c>
      <c r="I5" s="1975">
        <f>ROUND(E31/D31,2)</f>
        <v>2.2000000000000002</v>
      </c>
      <c r="J5" s="1983"/>
      <c r="K5" s="1983"/>
      <c r="L5" s="1983"/>
    </row>
    <row r="6" spans="1:16" ht="15" thickBot="1">
      <c r="A6" s="113"/>
      <c r="B6" s="3374" t="s">
        <v>208</v>
      </c>
      <c r="C6" s="3374"/>
      <c r="D6" s="111">
        <f>ROUND($D$3*E6/$E$3,2)</f>
        <v>1577.9</v>
      </c>
      <c r="E6" s="112">
        <f>E3-E5</f>
        <v>3471.359999999986</v>
      </c>
      <c r="F6" s="1983"/>
      <c r="G6" s="1200"/>
      <c r="H6" s="274" t="s">
        <v>860</v>
      </c>
      <c r="I6" s="1975">
        <f>ROUND(F31/D31,2)</f>
        <v>2.2000000000000002</v>
      </c>
      <c r="J6" s="1983"/>
      <c r="K6" s="1983"/>
      <c r="L6" s="1983"/>
    </row>
    <row r="7" spans="1:16" ht="15">
      <c r="A7" s="3366"/>
      <c r="B7" s="3367"/>
      <c r="C7" s="3368"/>
      <c r="D7" s="108" t="s">
        <v>204</v>
      </c>
      <c r="E7" s="114" t="s">
        <v>231</v>
      </c>
      <c r="F7" s="1983"/>
      <c r="G7" s="1155" t="s">
        <v>1646</v>
      </c>
      <c r="H7" s="1156"/>
      <c r="I7" s="1845">
        <v>2.2000000000000002</v>
      </c>
      <c r="J7" s="1983"/>
      <c r="K7" s="1983"/>
      <c r="L7" s="1983"/>
    </row>
    <row r="8" spans="1:16">
      <c r="A8" s="110" t="s">
        <v>209</v>
      </c>
      <c r="B8" s="115" t="s">
        <v>210</v>
      </c>
      <c r="C8" s="111" t="s">
        <v>211</v>
      </c>
      <c r="D8" s="111">
        <f t="shared" ref="D8:D15" si="0">ROUND($D$3*E8/$E$3,2)</f>
        <v>79197.600000000006</v>
      </c>
      <c r="E8" s="116">
        <f>SUMIF('数据-基础表'!BB10:BK10,"地上",'数据-基础表'!BB5:BK5)</f>
        <v>174234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2337</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79197.600000000006</v>
      </c>
      <c r="E16" s="120">
        <f>SUM(E8:E15)</f>
        <v>174234</v>
      </c>
      <c r="F16" s="1983"/>
      <c r="G16" s="1985"/>
      <c r="H16" s="967" t="s">
        <v>219</v>
      </c>
      <c r="I16" s="968"/>
      <c r="J16" s="1983"/>
      <c r="K16" s="3360" t="s">
        <v>2570</v>
      </c>
      <c r="L16" s="3361"/>
      <c r="M16" s="3361"/>
      <c r="N16" s="3361"/>
      <c r="O16" s="3361"/>
      <c r="P16" s="3362"/>
    </row>
    <row r="17" spans="1:19" ht="15">
      <c r="A17" s="121" t="s">
        <v>216</v>
      </c>
      <c r="B17" s="122" t="s">
        <v>217</v>
      </c>
      <c r="C17" s="2297" t="s">
        <v>2316</v>
      </c>
      <c r="D17" s="108" t="s">
        <v>204</v>
      </c>
      <c r="E17" s="124" t="s">
        <v>205</v>
      </c>
      <c r="F17" s="125"/>
      <c r="G17" s="1365"/>
      <c r="H17" s="969" t="s">
        <v>218</v>
      </c>
      <c r="I17" s="970" t="s">
        <v>2315</v>
      </c>
      <c r="J17" s="1983"/>
      <c r="K17" s="3363" t="s">
        <v>2571</v>
      </c>
      <c r="L17" s="3364"/>
      <c r="M17" s="3365"/>
      <c r="N17" s="3363" t="s">
        <v>2572</v>
      </c>
      <c r="O17" s="3364"/>
      <c r="P17" s="3365"/>
      <c r="R17" s="2298" t="s">
        <v>2314</v>
      </c>
      <c r="S17" s="143"/>
    </row>
    <row r="18" spans="1:19" ht="15">
      <c r="A18" s="117"/>
      <c r="B18" s="128"/>
      <c r="C18" s="129"/>
      <c r="D18" s="2665"/>
      <c r="E18" s="130" t="s">
        <v>220</v>
      </c>
      <c r="F18" s="131" t="s">
        <v>221</v>
      </c>
      <c r="G18" s="1366" t="s">
        <v>222</v>
      </c>
      <c r="H18" s="971" t="s">
        <v>223</v>
      </c>
      <c r="I18" s="972" t="s">
        <v>224</v>
      </c>
      <c r="J18" s="1983"/>
      <c r="K18" s="2628" t="s">
        <v>2573</v>
      </c>
      <c r="L18" s="2629" t="s">
        <v>2574</v>
      </c>
      <c r="M18" s="2630" t="s">
        <v>2575</v>
      </c>
      <c r="N18" s="2628" t="s">
        <v>2573</v>
      </c>
      <c r="O18" s="2629" t="s">
        <v>2574</v>
      </c>
      <c r="P18" s="2630" t="s">
        <v>2575</v>
      </c>
      <c r="R18" s="2299" t="s">
        <v>2312</v>
      </c>
      <c r="S18" s="2299" t="s">
        <v>2313</v>
      </c>
    </row>
    <row r="19" spans="1:19" ht="18.75">
      <c r="A19" s="133"/>
      <c r="B19" s="115" t="s">
        <v>225</v>
      </c>
      <c r="C19" s="3047" t="s">
        <v>2984</v>
      </c>
      <c r="D19" s="111">
        <f t="shared" ref="D19:D26" si="1">ROUND($D$3*E19/$E$3,2)</f>
        <v>25208.29</v>
      </c>
      <c r="E19" s="134">
        <f t="shared" ref="E19:E26" si="2">SUM(F19:G19)</f>
        <v>55458</v>
      </c>
      <c r="F19" s="3182">
        <v>55458</v>
      </c>
      <c r="G19" s="1367"/>
      <c r="H19" s="973">
        <f>ROUND($D$3*I19/$E$3,2)</f>
        <v>502.24</v>
      </c>
      <c r="I19" s="116">
        <f>IF($I$17="自定义",P19,M19)</f>
        <v>1104.92</v>
      </c>
      <c r="J19" s="1983"/>
      <c r="K19" s="2631">
        <f t="shared" ref="K19:K26" si="3">ROUND(E$28*E19/E$27,2)</f>
        <v>1104.92</v>
      </c>
      <c r="L19" s="274">
        <f t="shared" ref="L19:L26" si="4">ROUND(IF(COUNTIF(C19,"*住宅*")&gt;0,E$29*E19/E$32,0),2)</f>
        <v>0</v>
      </c>
      <c r="M19" s="2632">
        <f>K19+L19</f>
        <v>1104.92</v>
      </c>
      <c r="N19" s="2633"/>
      <c r="O19" s="2634"/>
      <c r="P19" s="2635">
        <f>N19+O19</f>
        <v>0</v>
      </c>
      <c r="R19" s="274">
        <f t="shared" ref="R19:S26" si="5">D19+H19</f>
        <v>25710.530000000002</v>
      </c>
      <c r="S19" s="2300">
        <f t="shared" si="5"/>
        <v>56562.92</v>
      </c>
    </row>
    <row r="20" spans="1:19" ht="18.75">
      <c r="A20" s="137"/>
      <c r="B20" s="115" t="s">
        <v>226</v>
      </c>
      <c r="C20" s="3047" t="s">
        <v>2986</v>
      </c>
      <c r="D20" s="111">
        <f t="shared" si="1"/>
        <v>29924.22</v>
      </c>
      <c r="E20" s="134">
        <f t="shared" si="2"/>
        <v>65833</v>
      </c>
      <c r="F20" s="3182">
        <v>65833</v>
      </c>
      <c r="G20" s="1367"/>
      <c r="H20" s="973">
        <f t="shared" ref="H20:H26" si="6">ROUND($D$3*I20/$E$3,2)</f>
        <v>596.20000000000005</v>
      </c>
      <c r="I20" s="116">
        <f t="shared" ref="I20:I26" si="7">IF($I$17="自定义",P20,M20)</f>
        <v>1311.63</v>
      </c>
      <c r="J20" s="1983"/>
      <c r="K20" s="2631">
        <f t="shared" si="3"/>
        <v>1311.63</v>
      </c>
      <c r="L20" s="274">
        <f t="shared" si="4"/>
        <v>0</v>
      </c>
      <c r="M20" s="2632">
        <f t="shared" ref="M20:M26" si="8">K20+L20</f>
        <v>1311.63</v>
      </c>
      <c r="N20" s="2633"/>
      <c r="O20" s="2634"/>
      <c r="P20" s="2635">
        <f t="shared" ref="P20:P26" si="9">N20+O20</f>
        <v>0</v>
      </c>
      <c r="R20" s="274">
        <f t="shared" si="5"/>
        <v>30520.420000000002</v>
      </c>
      <c r="S20" s="2300">
        <f t="shared" si="5"/>
        <v>67144.63</v>
      </c>
    </row>
    <row r="21" spans="1:19" ht="18.75">
      <c r="A21" s="137"/>
      <c r="B21" s="115" t="s">
        <v>226</v>
      </c>
      <c r="C21" s="3047" t="s">
        <v>2990</v>
      </c>
      <c r="D21" s="111">
        <f t="shared" si="1"/>
        <v>24065.1</v>
      </c>
      <c r="E21" s="134">
        <f t="shared" si="2"/>
        <v>52943</v>
      </c>
      <c r="F21" s="3182">
        <v>52943</v>
      </c>
      <c r="G21" s="1367"/>
      <c r="H21" s="973">
        <f t="shared" si="6"/>
        <v>479.46</v>
      </c>
      <c r="I21" s="116">
        <f t="shared" si="7"/>
        <v>1054.81</v>
      </c>
      <c r="J21" s="1983"/>
      <c r="K21" s="2631">
        <f t="shared" si="3"/>
        <v>1054.81</v>
      </c>
      <c r="L21" s="274">
        <f t="shared" si="4"/>
        <v>0</v>
      </c>
      <c r="M21" s="2632">
        <f t="shared" si="8"/>
        <v>1054.81</v>
      </c>
      <c r="N21" s="2633"/>
      <c r="O21" s="2634"/>
      <c r="P21" s="2635">
        <f t="shared" si="9"/>
        <v>0</v>
      </c>
      <c r="R21" s="274">
        <f t="shared" si="5"/>
        <v>24544.559999999998</v>
      </c>
      <c r="S21" s="2300">
        <f t="shared" si="5"/>
        <v>53997.81</v>
      </c>
    </row>
    <row r="22" spans="1:19">
      <c r="A22" s="137"/>
      <c r="B22" s="115" t="s">
        <v>226</v>
      </c>
      <c r="C22" s="1364"/>
      <c r="D22" s="111">
        <f t="shared" si="1"/>
        <v>0</v>
      </c>
      <c r="E22" s="134">
        <f t="shared" si="2"/>
        <v>0</v>
      </c>
      <c r="F22" s="139"/>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5" t="s">
        <v>226</v>
      </c>
      <c r="C23" s="138"/>
      <c r="D23" s="111">
        <f>ROUND($D$3*E23/$E$3,2)</f>
        <v>0</v>
      </c>
      <c r="E23" s="134">
        <f>SUM(F23:G23)</f>
        <v>0</v>
      </c>
      <c r="F23" s="139"/>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5" t="s">
        <v>226</v>
      </c>
      <c r="C24" s="138"/>
      <c r="D24" s="111">
        <f>ROUND($D$3*E24/$E$3,2)</f>
        <v>0</v>
      </c>
      <c r="E24" s="134">
        <f>SUM(F24:G24)</f>
        <v>0</v>
      </c>
      <c r="F24" s="139"/>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5" t="s">
        <v>226</v>
      </c>
      <c r="C25" s="138"/>
      <c r="D25" s="111">
        <f t="shared" si="1"/>
        <v>0</v>
      </c>
      <c r="E25" s="134">
        <f t="shared" si="2"/>
        <v>0</v>
      </c>
      <c r="F25" s="139"/>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5" t="s">
        <v>226</v>
      </c>
      <c r="C26" s="141"/>
      <c r="D26" s="111">
        <f t="shared" si="1"/>
        <v>0</v>
      </c>
      <c r="E26" s="134">
        <f t="shared" si="2"/>
        <v>0</v>
      </c>
      <c r="F26" s="139"/>
      <c r="G26" s="1368"/>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7"/>
      <c r="B27" s="111"/>
      <c r="C27" s="127" t="s">
        <v>215</v>
      </c>
      <c r="D27" s="134">
        <f>SUM(D19:D26)</f>
        <v>79197.61</v>
      </c>
      <c r="E27" s="142">
        <f>IF(SUM(E19:E26)='数据-基础表'!BA5,SUM(E19:E26),IF(F27="地上面积有误","面积有误","地下面积有误"))</f>
        <v>174234</v>
      </c>
      <c r="F27" s="134">
        <f>IF(SUM(F19:F26)=E8,SUM(F19:F26),"地上面积有误")</f>
        <v>174234</v>
      </c>
      <c r="G27" s="112">
        <f>SUM(G19:G26)</f>
        <v>0</v>
      </c>
      <c r="H27" s="974">
        <f>SUM(H19:H26)</f>
        <v>1577.9</v>
      </c>
      <c r="I27" s="975">
        <f>SUM(I19:I26)</f>
        <v>3471.36</v>
      </c>
      <c r="J27" s="1983"/>
      <c r="K27" s="2640">
        <f>SUM(K19:K26)</f>
        <v>3471.36</v>
      </c>
      <c r="L27" s="2641">
        <f>SUM(L19:L26)</f>
        <v>0</v>
      </c>
      <c r="M27" s="2642">
        <f>SUM(M19:M26)</f>
        <v>3471.36</v>
      </c>
      <c r="N27" s="2640">
        <f t="shared" ref="N27:O27" si="10">SUM(N19:N26)</f>
        <v>0</v>
      </c>
      <c r="O27" s="2641">
        <f t="shared" si="10"/>
        <v>0</v>
      </c>
      <c r="P27" s="2643">
        <f>SUM(P19:P26)</f>
        <v>0</v>
      </c>
      <c r="R27" s="2304" t="str">
        <f>IF(SUM(R19:R26)=$D$3,SUM(R19:R26),SUM(R19:R26)&amp;"误差"&amp;ROUND(SUM(R19:R26)-$D$3,2))</f>
        <v>80775.51误差0.01</v>
      </c>
      <c r="S27" s="274">
        <f>IF(SUM(S19:S26)=$E$3,SUM(S19:S26),SUM(S19:S26)&amp;"误差"&amp;ROUND(SUM(S19:S26)-E3,2))</f>
        <v>177705.36</v>
      </c>
    </row>
    <row r="28" spans="1:19">
      <c r="A28" s="137"/>
      <c r="B28" s="115" t="s">
        <v>227</v>
      </c>
      <c r="C28" s="135" t="s">
        <v>228</v>
      </c>
      <c r="D28" s="111">
        <f>ROUND($D$3*E28/$E$3,2)</f>
        <v>1577.9</v>
      </c>
      <c r="E28" s="134">
        <f>SUM(F28:G28)</f>
        <v>3471.36</v>
      </c>
      <c r="F28" s="143">
        <f>'数据-基础表'!BQ5+'数据-基础表'!BS5</f>
        <v>3471.36</v>
      </c>
      <c r="G28" s="144">
        <f>'数据-基础表'!BR5+'数据-基础表'!BT5</f>
        <v>0</v>
      </c>
      <c r="H28" s="1983"/>
      <c r="I28" s="1983"/>
      <c r="J28" s="1983"/>
      <c r="K28" s="1983"/>
      <c r="L28" s="1983"/>
    </row>
    <row r="29" spans="1:19">
      <c r="A29" s="137"/>
      <c r="B29" s="115" t="s">
        <v>227</v>
      </c>
      <c r="C29" s="2312" t="s">
        <v>2323</v>
      </c>
      <c r="D29" s="111">
        <f>ROUND($D$3*E29/$E$3,2)</f>
        <v>0</v>
      </c>
      <c r="E29" s="134">
        <f>SUM(F29:G29)</f>
        <v>0</v>
      </c>
      <c r="F29" s="143">
        <f>'数据-基础表'!BM5+'数据-基础表'!BO5</f>
        <v>0</v>
      </c>
      <c r="G29" s="145">
        <f>'数据-基础表'!BN5+'数据-基础表'!BP5</f>
        <v>0</v>
      </c>
      <c r="H29" s="1983"/>
      <c r="I29" s="1983"/>
      <c r="J29" s="1983"/>
      <c r="K29" s="1983"/>
      <c r="L29" s="1983"/>
    </row>
    <row r="30" spans="1:19">
      <c r="A30" s="137"/>
      <c r="B30" s="111"/>
      <c r="C30" s="146" t="s">
        <v>215</v>
      </c>
      <c r="D30" s="134">
        <f>SUM(D28:D29)</f>
        <v>1577.9</v>
      </c>
      <c r="E30" s="134">
        <f>SUM(E28:E29)</f>
        <v>3471.36</v>
      </c>
      <c r="F30" s="134">
        <f>SUM(F28:F29)</f>
        <v>3471.36</v>
      </c>
      <c r="G30" s="112">
        <f>SUM(G28:G29)</f>
        <v>0</v>
      </c>
      <c r="H30" s="1983"/>
      <c r="I30" s="1983"/>
      <c r="J30" s="1983"/>
      <c r="K30" s="1983"/>
      <c r="L30" s="1983"/>
    </row>
    <row r="31" spans="1:19" ht="32.25" customHeight="1" thickBot="1">
      <c r="A31" s="1369"/>
      <c r="B31" s="1370" t="s">
        <v>229</v>
      </c>
      <c r="C31" s="2329" t="s">
        <v>2325</v>
      </c>
      <c r="D31" s="1371">
        <f>D27+D30</f>
        <v>80775.509999999995</v>
      </c>
      <c r="E31" s="1371">
        <f>E27+E30</f>
        <v>177705.36</v>
      </c>
      <c r="F31" s="1372">
        <f>F27+F30</f>
        <v>177705.36</v>
      </c>
      <c r="G31" s="1373">
        <f>G27+G30</f>
        <v>0</v>
      </c>
      <c r="H31" s="1983"/>
      <c r="I31" s="1983"/>
      <c r="J31" s="1983"/>
      <c r="K31" s="1983"/>
      <c r="L31" s="1983"/>
    </row>
    <row r="32" spans="1:19">
      <c r="A32" s="1983"/>
      <c r="B32" s="2362" t="s">
        <v>2324</v>
      </c>
      <c r="C32" s="2670"/>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B55" sqref="B5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43209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2327</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2832</v>
      </c>
      <c r="O5" s="162" t="s">
        <v>246</v>
      </c>
      <c r="P5" s="164" t="s">
        <v>247</v>
      </c>
      <c r="Q5" s="165" t="s">
        <v>248</v>
      </c>
      <c r="R5" s="166" t="s">
        <v>249</v>
      </c>
      <c r="S5" s="2644" t="s">
        <v>2576</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2326</v>
      </c>
      <c r="AI5" s="170" t="s">
        <v>2295</v>
      </c>
      <c r="AJ5" s="170" t="s">
        <v>258</v>
      </c>
      <c r="AK5" s="158" t="s">
        <v>259</v>
      </c>
      <c r="AL5" s="158" t="s">
        <v>260</v>
      </c>
      <c r="AM5" s="171"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高层</v>
      </c>
      <c r="B6" s="2336" t="str">
        <f>IF(A6=0,"","经营性")</f>
        <v>经营性</v>
      </c>
      <c r="C6" s="172" t="s">
        <v>923</v>
      </c>
      <c r="D6" s="2307">
        <f>SUMIF(项目基本情况!D$15:I$15,C6,项目基本情况!D$18:I$18)</f>
        <v>70</v>
      </c>
      <c r="E6" s="2308">
        <f>IF(B6="","",SUMIF(项目基本情况!D$15:I$15,C6,项目基本情况!D$17:I$17))</f>
        <v>68776</v>
      </c>
      <c r="F6" s="173">
        <f>SUMIF(项目基本情况!D$15:I$15,C6,项目基本情况!D$19:I$19)</f>
        <v>70</v>
      </c>
      <c r="G6" s="174">
        <f>IF(ISERROR(ROUND(POWER(1+H6,D6-F6)*(POWER(1+H6,F6)-1)/(POWER(1+H6,D6)-1),3)),0,ROUND(POWER(1+H6,D6-F6)*(POWER(1+H6,F6)-1)/(POWER(1+H6,D6)-1),3))</f>
        <v>1</v>
      </c>
      <c r="H6" s="3048">
        <v>0.04</v>
      </c>
      <c r="I6" s="3048">
        <v>4.4999999999999998E-2</v>
      </c>
      <c r="J6" s="175"/>
      <c r="K6" s="178">
        <f>SUMIF('数据-汇总表'!C$19:C$33,'数据-取费表'!A6,'数据-汇总表'!E$19:E$33)</f>
        <v>55458</v>
      </c>
      <c r="L6" s="3049">
        <v>2200</v>
      </c>
      <c r="M6" s="176">
        <f t="shared" ref="M6:M14" si="0">ROUND(K6*L6/10000,0)</f>
        <v>12201</v>
      </c>
      <c r="N6" s="3050">
        <v>0</v>
      </c>
      <c r="O6" s="176">
        <f>IF($N$5="成新度","——",ROUND(M6*N6,0))</f>
        <v>0</v>
      </c>
      <c r="P6" s="177">
        <f>IF($N$5="成新度","——",M6-O6)</f>
        <v>12201</v>
      </c>
      <c r="Q6" s="3051">
        <v>0.1</v>
      </c>
      <c r="R6" s="178">
        <f>SUMIF('数据-汇总表'!C$19:C$33,A6,'数据-汇总表'!R$19:R$33)</f>
        <v>25710.530000000002</v>
      </c>
      <c r="S6" s="132">
        <f>IF('数据-汇总表'!$I$17="按面积比例",SUMIF('数据-汇总表'!C$19:C$33,A6,'数据-汇总表'!K$19:K$33),SUMIF('数据-汇总表'!C$19:C$33,A6,'数据-汇总表'!N$19:N$33))</f>
        <v>1104.92</v>
      </c>
      <c r="T6" s="2233">
        <f>IF($T$4="按面积比例",IF(ISERROR(ROUND($M$14*S6/S$16,0)),"0",ROUND($M$14*S6/S$16,0)),"需自行计算录入")</f>
        <v>0</v>
      </c>
      <c r="U6" s="179"/>
      <c r="V6" s="180"/>
      <c r="W6" s="180"/>
      <c r="X6" s="2320"/>
      <c r="Y6" s="181"/>
      <c r="Z6" s="182"/>
      <c r="AA6" s="175"/>
      <c r="AB6" s="175"/>
      <c r="AC6" s="2323"/>
      <c r="AD6" s="183"/>
      <c r="AE6" s="971">
        <f ca="1">IF(AN6="",0,SUMIF(INDIRECT("'"&amp;AN6&amp;"'"&amp;"!E:E"),$AE$5,INDIRECT("'"&amp;AN6&amp;"'"&amp;"!F:F")))</f>
        <v>0</v>
      </c>
      <c r="AF6" s="140"/>
      <c r="AG6" s="1212">
        <f>IF(AF6="",0,AE6-AF6)</f>
        <v>0</v>
      </c>
      <c r="AH6" s="140"/>
      <c r="AI6" s="186"/>
      <c r="AJ6" s="187"/>
      <c r="AK6" s="188"/>
      <c r="AL6" s="189"/>
      <c r="AM6" s="3062"/>
      <c r="AN6" s="2415"/>
      <c r="AO6" s="1999"/>
      <c r="AP6" s="1203">
        <f>ROUND(1-1/(1+H6)^F6,3)</f>
        <v>0.93600000000000005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洋房</v>
      </c>
      <c r="B7" s="2336" t="str">
        <f t="shared" ref="B7:B13" si="1">IF(A7=0,"","经营性")</f>
        <v>经营性</v>
      </c>
      <c r="C7" s="172" t="s">
        <v>923</v>
      </c>
      <c r="D7" s="2307">
        <f>SUMIF(项目基本情况!D$15:I$15,C7,项目基本情况!D$18:I$18)</f>
        <v>70</v>
      </c>
      <c r="E7" s="2308">
        <f>IF(B7="","",SUMIF(项目基本情况!D$15:I$15,C7,项目基本情况!D$17:I$17))</f>
        <v>68776</v>
      </c>
      <c r="F7" s="173">
        <f>SUMIF(项目基本情况!D$15:I$15,C7,项目基本情况!D$19:I$19)</f>
        <v>70</v>
      </c>
      <c r="G7" s="174">
        <f t="shared" ref="G7:G11" si="2">IF(ISERROR(ROUND(POWER(1+H7,D7-F7)*(POWER(1+H7,F7)-1)/(POWER(1+H7,D7)-1),3)),0,ROUND(POWER(1+H7,D7-F7)*(POWER(1+H7,F7)-1)/(POWER(1+H7,D7)-1),3))</f>
        <v>1</v>
      </c>
      <c r="H7" s="3048">
        <v>0.04</v>
      </c>
      <c r="I7" s="3048">
        <f>I6</f>
        <v>4.4999999999999998E-2</v>
      </c>
      <c r="J7" s="175"/>
      <c r="K7" s="178">
        <f>SUMIF('数据-汇总表'!C$19:C$33,'数据-取费表'!A7,'数据-汇总表'!E$19:E$33)</f>
        <v>65833</v>
      </c>
      <c r="L7" s="3049">
        <v>3000</v>
      </c>
      <c r="M7" s="176">
        <f t="shared" si="0"/>
        <v>19750</v>
      </c>
      <c r="N7" s="3050">
        <v>0</v>
      </c>
      <c r="O7" s="176">
        <f t="shared" ref="O7:O14" si="3">IF($N$5="成新度","——",ROUND(M7*N7,0))</f>
        <v>0</v>
      </c>
      <c r="P7" s="177">
        <f t="shared" ref="P7:P14" si="4">IF($N$5="成新度","——",M7-O7)</f>
        <v>19750</v>
      </c>
      <c r="Q7" s="3051">
        <v>0.15</v>
      </c>
      <c r="R7" s="178">
        <f>SUMIF('数据-汇总表'!C$19:C$33,A7,'数据-汇总表'!R$19:R$33)</f>
        <v>30520.420000000002</v>
      </c>
      <c r="S7" s="132">
        <f>IF('数据-汇总表'!$I$17="按面积比例",SUMIF('数据-汇总表'!C$19:C$33,A7,'数据-汇总表'!K$19:K$33),SUMIF('数据-汇总表'!C$19:C$33,A7,'数据-汇总表'!N$19:N$33))</f>
        <v>1311.63</v>
      </c>
      <c r="T7" s="2233">
        <f t="shared" ref="T7:T13" si="5">IF($T$4="按面积比例",IF(ISERROR(ROUND($M$14*S7/S$16,0)),"0",ROUND($M$14*S7/S$16,0)),"需自行计算录入")</f>
        <v>0</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c r="AJ7" s="187"/>
      <c r="AK7" s="188"/>
      <c r="AL7" s="189"/>
      <c r="AM7" s="2413"/>
      <c r="AN7" s="2415"/>
      <c r="AO7" s="1999"/>
      <c r="AP7" s="1203">
        <f t="shared" ref="AP7:AP13" si="8">ROUND(1-1/(1+H7)^F7,3)</f>
        <v>0.93600000000000005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小高层</v>
      </c>
      <c r="B8" s="2336" t="str">
        <f t="shared" si="1"/>
        <v>经营性</v>
      </c>
      <c r="C8" s="172" t="s">
        <v>923</v>
      </c>
      <c r="D8" s="2307">
        <f>SUMIF(项目基本情况!D$15:I$15,C8,项目基本情况!D$18:I$18)</f>
        <v>70</v>
      </c>
      <c r="E8" s="2308">
        <f>IF(B8="","",SUMIF(项目基本情况!D$15:I$15,C8,项目基本情况!D$17:I$17))</f>
        <v>68776</v>
      </c>
      <c r="F8" s="173">
        <f>SUMIF(项目基本情况!D$15:I$15,C8,项目基本情况!D$19:I$19)</f>
        <v>70</v>
      </c>
      <c r="G8" s="174">
        <f t="shared" si="2"/>
        <v>1</v>
      </c>
      <c r="H8" s="3048">
        <v>0.04</v>
      </c>
      <c r="I8" s="3048">
        <f>I6</f>
        <v>4.4999999999999998E-2</v>
      </c>
      <c r="J8" s="175"/>
      <c r="K8" s="178">
        <f>SUMIF('数据-汇总表'!C$19:C$33,'数据-取费表'!A8,'数据-汇总表'!E$19:E$33)</f>
        <v>52943</v>
      </c>
      <c r="L8" s="3049">
        <v>2500</v>
      </c>
      <c r="M8" s="176">
        <f>ROUND(K8*L8/10000,0)</f>
        <v>13236</v>
      </c>
      <c r="N8" s="3050">
        <v>0</v>
      </c>
      <c r="O8" s="176">
        <f t="shared" si="3"/>
        <v>0</v>
      </c>
      <c r="P8" s="177">
        <f t="shared" si="4"/>
        <v>13236</v>
      </c>
      <c r="Q8" s="3051">
        <v>0.12</v>
      </c>
      <c r="R8" s="178">
        <f>SUMIF('数据-汇总表'!C$19:C$33,A8,'数据-汇总表'!R$19:R$33)</f>
        <v>24544.559999999998</v>
      </c>
      <c r="S8" s="132">
        <f>IF('数据-汇总表'!$I$17="按面积比例",SUMIF('数据-汇总表'!C$19:C$33,A8,'数据-汇总表'!K$19:K$33),SUMIF('数据-汇总表'!C$19:C$33,A8,'数据-汇总表'!N$19:N$33))</f>
        <v>1054.81</v>
      </c>
      <c r="T8" s="2233">
        <f t="shared" si="5"/>
        <v>0</v>
      </c>
      <c r="U8" s="179"/>
      <c r="V8" s="180"/>
      <c r="W8" s="180"/>
      <c r="X8" s="2320"/>
      <c r="Y8" s="181"/>
      <c r="Z8" s="182"/>
      <c r="AA8" s="175"/>
      <c r="AB8" s="175"/>
      <c r="AC8" s="2323"/>
      <c r="AD8" s="183"/>
      <c r="AE8" s="971">
        <f t="shared" ca="1" si="6"/>
        <v>0</v>
      </c>
      <c r="AF8" s="140"/>
      <c r="AG8" s="1212">
        <f t="shared" si="7"/>
        <v>0</v>
      </c>
      <c r="AH8" s="140"/>
      <c r="AI8" s="186"/>
      <c r="AJ8" s="187"/>
      <c r="AK8" s="188"/>
      <c r="AL8" s="189"/>
      <c r="AM8" s="2413"/>
      <c r="AN8" s="2415"/>
      <c r="AO8" s="1999"/>
      <c r="AP8" s="1203">
        <f t="shared" si="8"/>
        <v>0.93600000000000005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2317</v>
      </c>
      <c r="B14" s="2305" t="s">
        <v>1680</v>
      </c>
      <c r="C14" s="2306" t="s">
        <v>2317</v>
      </c>
      <c r="D14" s="2307"/>
      <c r="E14" s="2308"/>
      <c r="F14" s="173"/>
      <c r="G14" s="174"/>
      <c r="H14" s="2309"/>
      <c r="I14" s="2309"/>
      <c r="J14" s="2309"/>
      <c r="K14" s="178">
        <f>SUMIF('数据-汇总表'!C$19:C$33,'数据-取费表'!A14,'数据-汇总表'!E$19:E$33)</f>
        <v>3471.36</v>
      </c>
      <c r="L14" s="192"/>
      <c r="M14" s="176">
        <f t="shared" si="0"/>
        <v>0</v>
      </c>
      <c r="N14" s="193"/>
      <c r="O14" s="176">
        <f t="shared" si="3"/>
        <v>0</v>
      </c>
      <c r="P14" s="177">
        <f t="shared" si="4"/>
        <v>0</v>
      </c>
      <c r="Q14" s="2317"/>
      <c r="R14" s="178"/>
      <c r="S14" s="132"/>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2319</v>
      </c>
      <c r="B15" s="2305" t="s">
        <v>1680</v>
      </c>
      <c r="C15" s="2306" t="s">
        <v>2318</v>
      </c>
      <c r="D15" s="2307"/>
      <c r="E15" s="2308"/>
      <c r="F15" s="173"/>
      <c r="G15" s="174"/>
      <c r="H15" s="2309"/>
      <c r="I15" s="2309"/>
      <c r="J15" s="2309"/>
      <c r="K15" s="178">
        <f>SUMIF('数据-汇总表'!C$19:C$33,'数据-取费表'!A15,'数据-汇总表'!E$19:E$33)</f>
        <v>0</v>
      </c>
      <c r="L15" s="2315"/>
      <c r="M15" s="176"/>
      <c r="N15" s="2318"/>
      <c r="O15" s="176"/>
      <c r="P15" s="177"/>
      <c r="Q15" s="2317"/>
      <c r="R15" s="178"/>
      <c r="S15" s="132"/>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177705.36</v>
      </c>
      <c r="L16" s="205">
        <f>ROUND(M16*10000/SUM(K6:K14),0)</f>
        <v>2543</v>
      </c>
      <c r="M16" s="205">
        <f>SUM(M6:M14)</f>
        <v>45187</v>
      </c>
      <c r="N16" s="206">
        <f>ROUND(SUMPRODUCT(M6:M14,N6:N14)/M16,3)</f>
        <v>0</v>
      </c>
      <c r="O16" s="205">
        <f>SUM(O6:O14)</f>
        <v>0</v>
      </c>
      <c r="P16" s="205">
        <f>SUM(P6:P14)</f>
        <v>45187</v>
      </c>
      <c r="Q16" s="207">
        <f>ROUND(SUMPRODUCT(Q6:Q13,K6:K13)/SUMPRODUCT((Q6:Q13&gt;0)*(K6:K13)),2)</f>
        <v>0.12</v>
      </c>
      <c r="R16" s="2310">
        <f>SUM(R6:R13)</f>
        <v>80775.510000000009</v>
      </c>
      <c r="S16" s="208">
        <f>SUM(S6:S13)</f>
        <v>3471.36</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0.93600000000000005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2341</v>
      </c>
      <c r="B27" s="226">
        <v>200</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2342</v>
      </c>
      <c r="B28" s="228"/>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2340</v>
      </c>
      <c r="B29" s="231">
        <f>ROUND(B27*K16/10000,0)</f>
        <v>3554</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200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7">
        <v>0.05</v>
      </c>
      <c r="C33" s="2364" t="s">
        <v>2898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2899</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97" t="s">
        <v>2906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2907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2908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30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99" t="s">
        <v>2909</v>
      </c>
      <c r="D53" s="3100" t="s">
        <v>2910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2911</v>
      </c>
      <c r="B54" s="185">
        <v>30</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2912</v>
      </c>
      <c r="B55" s="185"/>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2913</v>
      </c>
      <c r="B56" s="185"/>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2914</v>
      </c>
      <c r="B57" s="185"/>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2915</v>
      </c>
      <c r="B58" s="185"/>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2916</v>
      </c>
      <c r="B59" s="185"/>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2917</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2918</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2919</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2920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75" t="s">
        <v>1664</v>
      </c>
      <c r="B1" s="3376"/>
      <c r="C1" s="3376"/>
      <c r="D1" s="3376"/>
      <c r="E1" s="3376"/>
      <c r="F1" s="3376"/>
      <c r="G1" s="3376"/>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42.75">
      <c r="A3" s="1226" t="s">
        <v>1667</v>
      </c>
      <c r="B3" s="1227" t="s">
        <v>1654</v>
      </c>
      <c r="C3" s="3183" t="s">
        <v>2992</v>
      </c>
      <c r="D3" s="2008"/>
      <c r="E3" s="1228" t="s">
        <v>1667</v>
      </c>
      <c r="F3" s="1229" t="s">
        <v>1655</v>
      </c>
      <c r="G3" s="3106" t="s">
        <v>2925</v>
      </c>
      <c r="H3" s="2007"/>
      <c r="I3" s="2007"/>
      <c r="J3" s="2007"/>
      <c r="K3" s="2007"/>
      <c r="L3" s="2007"/>
      <c r="M3" s="2007"/>
      <c r="N3" s="2007"/>
      <c r="O3" s="2007"/>
      <c r="P3" s="2007"/>
      <c r="Q3" s="2007"/>
      <c r="R3" s="2007"/>
    </row>
    <row r="4" spans="1:18" ht="40.5">
      <c r="A4" s="1228"/>
      <c r="B4" s="1230" t="s">
        <v>1668</v>
      </c>
      <c r="C4" s="3184" t="s">
        <v>2995</v>
      </c>
      <c r="D4" s="2008"/>
      <c r="E4" s="1231"/>
      <c r="F4" s="1232" t="s">
        <v>1669</v>
      </c>
      <c r="G4" s="3104" t="s">
        <v>2922</v>
      </c>
      <c r="H4" s="2007"/>
      <c r="I4" s="2007"/>
      <c r="J4" s="2007"/>
      <c r="K4" s="2007"/>
      <c r="L4" s="2007"/>
      <c r="M4" s="2007"/>
      <c r="N4" s="2007"/>
      <c r="O4" s="2007"/>
      <c r="P4" s="2007"/>
      <c r="Q4" s="2007"/>
      <c r="R4" s="2007"/>
    </row>
    <row r="5" spans="1:18" ht="27">
      <c r="A5" s="1228"/>
      <c r="B5" s="1230" t="s">
        <v>1670</v>
      </c>
      <c r="C5" s="3184" t="s">
        <v>2995</v>
      </c>
      <c r="D5" s="2008"/>
      <c r="E5" s="1231"/>
      <c r="F5" s="1230" t="s">
        <v>2550</v>
      </c>
      <c r="G5" s="3104" t="s">
        <v>2923</v>
      </c>
      <c r="H5" s="2007"/>
      <c r="I5" s="2007"/>
      <c r="J5" s="2007"/>
      <c r="K5" s="2007"/>
      <c r="L5" s="2007"/>
      <c r="M5" s="2007"/>
      <c r="N5" s="2007"/>
      <c r="O5" s="2007"/>
      <c r="P5" s="2007"/>
      <c r="Q5" s="2007"/>
      <c r="R5" s="2007"/>
    </row>
    <row r="6" spans="1:18" ht="27">
      <c r="A6" s="1228"/>
      <c r="B6" s="1230" t="s">
        <v>1656</v>
      </c>
      <c r="C6" s="3185" t="s">
        <v>2993</v>
      </c>
      <c r="D6" s="2008"/>
      <c r="E6" s="1231"/>
      <c r="F6" s="1230" t="s">
        <v>2551</v>
      </c>
      <c r="G6" s="3104" t="s">
        <v>2921</v>
      </c>
      <c r="H6" s="2007"/>
      <c r="I6" s="2007"/>
      <c r="J6" s="2007"/>
      <c r="K6" s="2007"/>
      <c r="L6" s="2007"/>
      <c r="M6" s="2007"/>
      <c r="N6" s="2007"/>
      <c r="O6" s="2007"/>
      <c r="P6" s="2007"/>
      <c r="Q6" s="2007"/>
      <c r="R6" s="2007"/>
    </row>
    <row r="7" spans="1:18" ht="41.25" thickBot="1">
      <c r="A7" s="1228"/>
      <c r="B7" s="1230" t="s">
        <v>2550</v>
      </c>
      <c r="C7" s="3185" t="s">
        <v>2993</v>
      </c>
      <c r="D7" s="2009"/>
      <c r="E7" s="1233"/>
      <c r="F7" s="1234" t="s">
        <v>1671</v>
      </c>
      <c r="G7" s="3107" t="s">
        <v>2924</v>
      </c>
      <c r="H7" s="2007"/>
      <c r="I7" s="2007"/>
      <c r="J7" s="2007"/>
      <c r="K7" s="2007"/>
      <c r="L7" s="2007"/>
      <c r="M7" s="2007"/>
      <c r="N7" s="2007"/>
      <c r="O7" s="2007"/>
      <c r="P7" s="2007"/>
      <c r="Q7" s="2007"/>
      <c r="R7" s="2007"/>
    </row>
    <row r="8" spans="1:18">
      <c r="A8" s="1228"/>
      <c r="B8" s="1230" t="s">
        <v>2551</v>
      </c>
      <c r="C8" s="3185" t="s">
        <v>2993</v>
      </c>
      <c r="D8" s="2009"/>
      <c r="E8" s="2009"/>
      <c r="F8" s="1552"/>
      <c r="G8" s="1552"/>
      <c r="H8" s="2007"/>
      <c r="I8" s="2007"/>
      <c r="J8" s="2007"/>
      <c r="K8" s="2007"/>
      <c r="L8" s="2007"/>
      <c r="M8" s="2007"/>
      <c r="N8" s="2007"/>
      <c r="O8" s="2007"/>
      <c r="P8" s="2007"/>
      <c r="Q8" s="2007"/>
      <c r="R8" s="2007"/>
    </row>
    <row r="9" spans="1:18">
      <c r="A9" s="1228"/>
      <c r="B9" s="1230" t="s">
        <v>1657</v>
      </c>
      <c r="C9" s="3184" t="s">
        <v>2993</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05"/>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40.5">
      <c r="A15" s="2611" t="s">
        <v>1658</v>
      </c>
      <c r="B15" s="1241" t="s">
        <v>1654</v>
      </c>
      <c r="C15" s="1242" t="str">
        <f>C3</f>
        <v>较好</v>
      </c>
      <c r="D15" s="2008"/>
      <c r="E15" s="2608" t="s">
        <v>1659</v>
      </c>
      <c r="F15" s="1241" t="s">
        <v>1674</v>
      </c>
      <c r="G15" s="1243" t="str">
        <f>G3</f>
        <v>估价对象位于XX开发区，园区建设成熟度XX，产业集聚程度XX</v>
      </c>
    </row>
    <row r="16" spans="1:18" ht="40.5">
      <c r="A16" s="2612"/>
      <c r="B16" s="1244" t="s">
        <v>1668</v>
      </c>
      <c r="C16" s="1245" t="str">
        <f>C4</f>
        <v xml:space="preserve"> </v>
      </c>
      <c r="D16" s="2008"/>
      <c r="E16" s="2609"/>
      <c r="F16" s="1246" t="s">
        <v>1669</v>
      </c>
      <c r="G16" s="1004" t="str">
        <f>G4</f>
        <v>估价对象周边道路状况、公共交通通达情况、停车便捷程度，综合评价交通便捷度较好</v>
      </c>
    </row>
    <row r="17" spans="1:7" ht="14.25">
      <c r="A17" s="2612"/>
      <c r="B17" s="1244" t="s">
        <v>1670</v>
      </c>
      <c r="C17" s="1245" t="str">
        <f>C5</f>
        <v xml:space="preserve"> </v>
      </c>
      <c r="D17" s="2009"/>
      <c r="E17" s="2609"/>
      <c r="F17" s="1246" t="s">
        <v>1675</v>
      </c>
      <c r="G17" s="2817"/>
    </row>
    <row r="18" spans="1:7" ht="40.5">
      <c r="A18" s="2612"/>
      <c r="B18" s="1246" t="s">
        <v>1656</v>
      </c>
      <c r="C18" s="1004" t="str">
        <f>C6</f>
        <v>较好</v>
      </c>
      <c r="D18" s="2009"/>
      <c r="E18" s="2609"/>
      <c r="F18" s="1246" t="s">
        <v>1671</v>
      </c>
      <c r="G18" s="1004" t="str">
        <f>G7</f>
        <v>该园区内是否有污染型企业，绿化情况，卫生条件，整体环境状况判断</v>
      </c>
    </row>
    <row r="19" spans="1:7" ht="27">
      <c r="A19" s="2612"/>
      <c r="B19" s="1246" t="s">
        <v>1660</v>
      </c>
      <c r="C19" s="2817"/>
      <c r="D19" s="2008"/>
      <c r="E19" s="2609"/>
      <c r="F19" s="1230" t="s">
        <v>2550</v>
      </c>
      <c r="G19" s="1004" t="str">
        <f>G5</f>
        <v>估价对象所在区域公共配套设施齐备情况</v>
      </c>
    </row>
    <row r="20" spans="1:7" ht="27">
      <c r="A20" s="2612"/>
      <c r="B20" s="1246" t="s">
        <v>1661</v>
      </c>
      <c r="C20" s="1245" t="str">
        <f>C9</f>
        <v>较好</v>
      </c>
      <c r="D20" s="2009"/>
      <c r="E20" s="2609"/>
      <c r="F20" s="1230" t="s">
        <v>2551</v>
      </c>
      <c r="G20" s="1004" t="str">
        <f>G6</f>
        <v>估价对象所在区域基础设施水平</v>
      </c>
    </row>
    <row r="21" spans="1:7" ht="14.25">
      <c r="A21" s="2612"/>
      <c r="B21" s="1230" t="s">
        <v>2550</v>
      </c>
      <c r="C21" s="1004" t="str">
        <f>C7</f>
        <v>较好</v>
      </c>
      <c r="D21" s="2008"/>
      <c r="E21" s="2609"/>
      <c r="F21" s="1246" t="s">
        <v>1662</v>
      </c>
      <c r="G21" s="3108"/>
    </row>
    <row r="22" spans="1:7" ht="14.25">
      <c r="A22" s="2612"/>
      <c r="B22" s="1230" t="s">
        <v>2551</v>
      </c>
      <c r="C22" s="1004" t="str">
        <f>C8</f>
        <v>较好</v>
      </c>
      <c r="D22" s="2008"/>
      <c r="E22" s="2609"/>
      <c r="F22" s="1246" t="s">
        <v>1672</v>
      </c>
      <c r="G22" s="2817"/>
    </row>
    <row r="23" spans="1:7" ht="15" thickBot="1">
      <c r="A23" s="2612"/>
      <c r="B23" s="1246" t="s">
        <v>1662</v>
      </c>
      <c r="C23" s="3108"/>
      <c r="E23" s="2610"/>
      <c r="F23" s="1247" t="s">
        <v>1676</v>
      </c>
      <c r="G23" s="3109"/>
    </row>
    <row r="24" spans="1:7" ht="14.25" thickBot="1">
      <c r="A24" s="2613"/>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2848</v>
      </c>
      <c r="B1" s="3068">
        <f>SUM(B14:B23)</f>
        <v>177705.36</v>
      </c>
      <c r="C1" s="3069"/>
      <c r="D1" s="3069"/>
      <c r="E1" s="3069"/>
      <c r="F1" s="3069"/>
    </row>
    <row r="2" spans="1:9" ht="16.5">
      <c r="A2" s="3068" t="s">
        <v>2849</v>
      </c>
      <c r="B2" s="3068">
        <f>SUM(C14:C23)</f>
        <v>80775.5</v>
      </c>
      <c r="C2" s="3069"/>
      <c r="D2" s="3069"/>
      <c r="E2" s="3069"/>
      <c r="F2" s="3069"/>
    </row>
    <row r="3" spans="1:9" ht="16.5">
      <c r="A3" s="3068" t="s">
        <v>2850</v>
      </c>
      <c r="B3" s="3070">
        <f>项目基本情况!D3</f>
        <v>43209</v>
      </c>
      <c r="C3" s="3069"/>
      <c r="D3" s="3069"/>
      <c r="E3" s="3069"/>
      <c r="F3" s="3069"/>
    </row>
    <row r="4" spans="1:9" ht="33">
      <c r="A4" s="3068" t="s">
        <v>2851</v>
      </c>
      <c r="B4" s="3068" t="s">
        <v>2852</v>
      </c>
      <c r="C4" s="3068" t="s">
        <v>2853</v>
      </c>
      <c r="D4" s="3068" t="s">
        <v>2854</v>
      </c>
      <c r="E4" s="3069"/>
      <c r="F4" s="3069"/>
    </row>
    <row r="5" spans="1:9" ht="16.5">
      <c r="A5" s="3068" t="s">
        <v>2855</v>
      </c>
      <c r="B5" s="3068">
        <f ca="1">SUM(D14:D23)</f>
        <v>86738</v>
      </c>
      <c r="C5" s="3068">
        <f ca="1">ROUND(B5*10000/$B$1,0)</f>
        <v>4881</v>
      </c>
      <c r="D5" s="3068">
        <f ca="1">ROUND(B5*10000/$B$2,0)</f>
        <v>10738</v>
      </c>
      <c r="E5" s="3069"/>
      <c r="F5" s="3069"/>
    </row>
    <row r="6" spans="1:9" ht="16.5">
      <c r="A6" s="3068" t="s">
        <v>2856</v>
      </c>
      <c r="B6" s="3068">
        <f>SUM(G14:G23)</f>
        <v>0</v>
      </c>
      <c r="C6" s="3068">
        <f t="shared" ref="C6:C8" si="0">ROUND(B6*10000/$B$1,0)</f>
        <v>0</v>
      </c>
      <c r="D6" s="3068">
        <f t="shared" ref="D6:D8" si="1">ROUND(B6*10000/$B$2,0)</f>
        <v>0</v>
      </c>
      <c r="E6" s="3069"/>
      <c r="F6" s="3069"/>
    </row>
    <row r="7" spans="1:9" ht="16.5">
      <c r="A7" s="3068" t="s">
        <v>2857</v>
      </c>
      <c r="B7" s="3068">
        <f>SUM(H14:H23)</f>
        <v>0</v>
      </c>
      <c r="C7" s="3068">
        <f t="shared" si="0"/>
        <v>0</v>
      </c>
      <c r="D7" s="3068">
        <f t="shared" si="1"/>
        <v>0</v>
      </c>
      <c r="E7" s="3069"/>
      <c r="F7" s="3069"/>
    </row>
    <row r="8" spans="1:9" ht="16.5">
      <c r="A8" s="3068" t="s">
        <v>2858</v>
      </c>
      <c r="B8" s="3068">
        <f>SUM(I14:I23)</f>
        <v>0</v>
      </c>
      <c r="C8" s="3068">
        <f t="shared" si="0"/>
        <v>0</v>
      </c>
      <c r="D8" s="3068">
        <f t="shared" si="1"/>
        <v>0</v>
      </c>
      <c r="E8" s="3069"/>
      <c r="F8" s="3069"/>
    </row>
    <row r="9" spans="1:9" ht="16.5">
      <c r="A9" s="3068" t="s">
        <v>2859</v>
      </c>
      <c r="B9" s="3071"/>
      <c r="C9" s="3069"/>
      <c r="D9" s="3069"/>
      <c r="E9" s="3069"/>
      <c r="F9" s="3069"/>
    </row>
    <row r="10" spans="1:9" ht="16.5">
      <c r="A10" s="3068" t="s">
        <v>2860</v>
      </c>
      <c r="B10" s="3071"/>
      <c r="C10" s="3069"/>
      <c r="D10" s="3069"/>
      <c r="E10" s="3069"/>
      <c r="F10" s="3069"/>
    </row>
    <row r="11" spans="1:9" ht="16.5">
      <c r="A11" s="3068" t="s">
        <v>2877</v>
      </c>
      <c r="B11" s="3071"/>
      <c r="C11" s="3069"/>
      <c r="D11" s="3069"/>
      <c r="E11" s="3069"/>
      <c r="F11" s="3069"/>
    </row>
    <row r="12" spans="1:9" ht="16.5">
      <c r="A12" s="3069"/>
      <c r="B12" s="3069"/>
      <c r="C12" s="3069"/>
      <c r="D12" s="3069"/>
      <c r="E12" s="3069"/>
      <c r="F12" s="3069"/>
    </row>
    <row r="13" spans="1:9" ht="33">
      <c r="A13" s="3074" t="s">
        <v>2876</v>
      </c>
      <c r="B13" s="3072" t="s">
        <v>2848</v>
      </c>
      <c r="C13" s="3072" t="s">
        <v>2849</v>
      </c>
      <c r="D13" s="3072" t="s">
        <v>2861</v>
      </c>
      <c r="E13" s="3068" t="s">
        <v>2875</v>
      </c>
      <c r="F13" s="3068" t="s">
        <v>2854</v>
      </c>
      <c r="G13" s="3072" t="s">
        <v>2862</v>
      </c>
      <c r="H13" s="3072" t="s">
        <v>2863</v>
      </c>
      <c r="I13" s="3072" t="s">
        <v>2864</v>
      </c>
    </row>
    <row r="14" spans="1:9" ht="16.5">
      <c r="A14" s="3075" t="s">
        <v>2874</v>
      </c>
      <c r="B14" s="3072">
        <f>结果表!L38</f>
        <v>177705.36</v>
      </c>
      <c r="C14" s="3072">
        <f>结果表!K38</f>
        <v>80775.5</v>
      </c>
      <c r="D14" s="3072">
        <f ca="1">结果表!C42</f>
        <v>86738</v>
      </c>
      <c r="E14" s="3072">
        <f ca="1">ROUND(D14*10000/B14,0)</f>
        <v>4881</v>
      </c>
      <c r="F14" s="3072">
        <f ca="1">ROUND(D14*10000/C14,0)</f>
        <v>10738</v>
      </c>
      <c r="G14" s="3072" t="str">
        <f>结果表!C44</f>
        <v>——</v>
      </c>
      <c r="H14" s="3072" t="str">
        <f>结果表!C45</f>
        <v>——</v>
      </c>
      <c r="I14" s="3072" t="str">
        <f>结果表!C46</f>
        <v>——</v>
      </c>
    </row>
    <row r="15" spans="1:9" ht="16.5">
      <c r="A15" s="3075" t="s">
        <v>2865</v>
      </c>
      <c r="B15" s="3076"/>
      <c r="C15" s="3076"/>
      <c r="D15" s="3076"/>
      <c r="E15" s="3072" t="e">
        <f t="shared" ref="E15:E23" si="2">ROUND(D15*10000/B15,0)</f>
        <v>#DIV/0!</v>
      </c>
      <c r="F15" s="3072" t="e">
        <f t="shared" ref="F15:F23" si="3">ROUND(D15*10000/C15,0)</f>
        <v>#DIV/0!</v>
      </c>
      <c r="G15" s="3073"/>
      <c r="H15" s="3073"/>
      <c r="I15" s="3076"/>
    </row>
    <row r="16" spans="1:9" ht="16.5">
      <c r="A16" s="3075" t="s">
        <v>2866</v>
      </c>
      <c r="B16" s="3076"/>
      <c r="C16" s="3076"/>
      <c r="D16" s="3076"/>
      <c r="E16" s="3072" t="e">
        <f t="shared" si="2"/>
        <v>#DIV/0!</v>
      </c>
      <c r="F16" s="3072" t="e">
        <f t="shared" si="3"/>
        <v>#DIV/0!</v>
      </c>
      <c r="G16" s="3073"/>
      <c r="H16" s="3073"/>
      <c r="I16" s="3076"/>
    </row>
    <row r="17" spans="1:9" ht="16.5">
      <c r="A17" s="3075" t="s">
        <v>2867</v>
      </c>
      <c r="B17" s="3076"/>
      <c r="C17" s="3076"/>
      <c r="D17" s="3076"/>
      <c r="E17" s="3072" t="e">
        <f t="shared" si="2"/>
        <v>#DIV/0!</v>
      </c>
      <c r="F17" s="3072" t="e">
        <f t="shared" si="3"/>
        <v>#DIV/0!</v>
      </c>
      <c r="G17" s="3073"/>
      <c r="H17" s="3073"/>
      <c r="I17" s="3076"/>
    </row>
    <row r="18" spans="1:9" ht="16.5">
      <c r="A18" s="3075" t="s">
        <v>2868</v>
      </c>
      <c r="B18" s="3076"/>
      <c r="C18" s="3076"/>
      <c r="D18" s="3076"/>
      <c r="E18" s="3072" t="e">
        <f t="shared" si="2"/>
        <v>#DIV/0!</v>
      </c>
      <c r="F18" s="3072" t="e">
        <f t="shared" si="3"/>
        <v>#DIV/0!</v>
      </c>
      <c r="G18" s="3076"/>
      <c r="H18" s="3076"/>
      <c r="I18" s="3076"/>
    </row>
    <row r="19" spans="1:9" ht="16.5">
      <c r="A19" s="3075" t="s">
        <v>2869</v>
      </c>
      <c r="B19" s="3076"/>
      <c r="C19" s="3076"/>
      <c r="D19" s="3076"/>
      <c r="E19" s="3072" t="e">
        <f t="shared" si="2"/>
        <v>#DIV/0!</v>
      </c>
      <c r="F19" s="3072" t="e">
        <f t="shared" si="3"/>
        <v>#DIV/0!</v>
      </c>
      <c r="G19" s="3076"/>
      <c r="H19" s="3076"/>
      <c r="I19" s="3076"/>
    </row>
    <row r="20" spans="1:9" ht="16.5">
      <c r="A20" s="3075" t="s">
        <v>2870</v>
      </c>
      <c r="B20" s="3076"/>
      <c r="C20" s="3076"/>
      <c r="D20" s="3076"/>
      <c r="E20" s="3072" t="e">
        <f t="shared" si="2"/>
        <v>#DIV/0!</v>
      </c>
      <c r="F20" s="3072" t="e">
        <f t="shared" si="3"/>
        <v>#DIV/0!</v>
      </c>
      <c r="G20" s="3076"/>
      <c r="H20" s="3076"/>
      <c r="I20" s="3076"/>
    </row>
    <row r="21" spans="1:9" ht="16.5">
      <c r="A21" s="3075" t="s">
        <v>2871</v>
      </c>
      <c r="B21" s="3076"/>
      <c r="C21" s="3076"/>
      <c r="D21" s="3076"/>
      <c r="E21" s="3072" t="e">
        <f t="shared" si="2"/>
        <v>#DIV/0!</v>
      </c>
      <c r="F21" s="3072" t="e">
        <f t="shared" si="3"/>
        <v>#DIV/0!</v>
      </c>
      <c r="G21" s="3076"/>
      <c r="H21" s="3076"/>
      <c r="I21" s="3076"/>
    </row>
    <row r="22" spans="1:9" ht="16.5">
      <c r="A22" s="3075" t="s">
        <v>2872</v>
      </c>
      <c r="B22" s="3076"/>
      <c r="C22" s="3076"/>
      <c r="D22" s="3076"/>
      <c r="E22" s="3072" t="e">
        <f t="shared" si="2"/>
        <v>#DIV/0!</v>
      </c>
      <c r="F22" s="3072" t="e">
        <f t="shared" si="3"/>
        <v>#DIV/0!</v>
      </c>
      <c r="G22" s="3076"/>
      <c r="H22" s="3076"/>
      <c r="I22" s="3076"/>
    </row>
    <row r="23" spans="1:9" ht="16.5">
      <c r="A23" s="3075" t="s">
        <v>2873</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9" zoomScaleNormal="100" zoomScaleSheetLayoutView="100" zoomScalePageLayoutView="80" workbookViewId="0">
      <selection activeCell="C17" sqref="C1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2058</v>
      </c>
      <c r="B1" s="1776"/>
      <c r="C1" s="1804" t="s">
        <v>2059</v>
      </c>
      <c r="D1" s="1805" t="s">
        <v>3173</v>
      </c>
      <c r="E1" s="1804" t="s">
        <v>2060</v>
      </c>
      <c r="F1" s="1806" t="s">
        <v>3174</v>
      </c>
      <c r="G1" s="310"/>
      <c r="H1" s="310"/>
      <c r="I1" s="310"/>
      <c r="J1" s="2028"/>
      <c r="K1" s="2028"/>
      <c r="L1" s="2028"/>
      <c r="M1" s="2028"/>
      <c r="N1" s="2028"/>
      <c r="O1" s="2028"/>
      <c r="P1" s="2028"/>
      <c r="Q1" s="2028"/>
      <c r="R1" s="2028"/>
      <c r="S1" s="2028"/>
      <c r="T1" s="2028"/>
      <c r="U1" s="2028"/>
      <c r="V1" s="2028"/>
    </row>
    <row r="2" spans="1:22" ht="21.75" customHeight="1" thickBot="1">
      <c r="A2" s="3413" t="str">
        <f>项目基本情况!K2</f>
        <v>国有建设用地使用权</v>
      </c>
      <c r="B2" s="3414"/>
      <c r="C2" s="3415"/>
      <c r="D2" s="3415"/>
      <c r="E2" s="3415"/>
      <c r="F2" s="3415"/>
      <c r="G2" s="3414"/>
      <c r="H2" s="3414"/>
      <c r="I2" s="3416"/>
      <c r="J2" s="2029"/>
      <c r="K2" s="2028"/>
      <c r="L2" s="2028"/>
      <c r="M2" s="2028"/>
      <c r="N2" s="2028"/>
      <c r="O2" s="2028"/>
      <c r="P2" s="2028"/>
      <c r="Q2" s="2028"/>
      <c r="R2" s="2028"/>
      <c r="S2" s="2028"/>
      <c r="T2" s="2028"/>
      <c r="U2" s="2028"/>
      <c r="V2" s="2028"/>
    </row>
    <row r="3" spans="1:22" ht="14.25">
      <c r="A3" s="3406" t="s">
        <v>298</v>
      </c>
      <c r="B3" s="3407"/>
      <c r="C3" s="3407"/>
      <c r="D3" s="3407"/>
      <c r="E3" s="3407"/>
      <c r="F3" s="3407"/>
      <c r="G3" s="3407"/>
      <c r="H3" s="3407"/>
      <c r="I3" s="3407"/>
      <c r="J3" s="2029"/>
      <c r="K3" s="2028"/>
      <c r="L3" s="2028"/>
      <c r="M3" s="2028"/>
      <c r="N3" s="2028"/>
      <c r="O3" s="2028"/>
      <c r="P3" s="2028"/>
      <c r="Q3" s="2028"/>
      <c r="R3" s="2028"/>
      <c r="S3" s="2028"/>
      <c r="T3" s="2028"/>
      <c r="U3" s="2028"/>
      <c r="V3" s="2028"/>
    </row>
    <row r="4" spans="1:22" ht="14.25">
      <c r="A4" s="257" t="s">
        <v>299</v>
      </c>
      <c r="B4" s="258" t="s">
        <v>300</v>
      </c>
      <c r="C4" s="259" t="s">
        <v>3172</v>
      </c>
      <c r="D4" s="259" t="s">
        <v>3274</v>
      </c>
      <c r="E4" s="3378" t="s">
        <v>301</v>
      </c>
      <c r="F4" s="3379"/>
      <c r="G4" s="3379"/>
      <c r="H4" s="3379"/>
      <c r="I4" s="3408"/>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7" t="s">
        <v>302</v>
      </c>
      <c r="B5" s="3403">
        <v>25</v>
      </c>
      <c r="C5" s="3401"/>
      <c r="D5" s="3405"/>
      <c r="E5" s="260" t="s">
        <v>303</v>
      </c>
      <c r="F5" s="261"/>
      <c r="G5" s="261"/>
      <c r="H5" s="261"/>
      <c r="I5" s="262"/>
      <c r="J5" s="2029"/>
      <c r="K5" s="2028"/>
      <c r="L5" s="2028"/>
      <c r="M5" s="2028"/>
      <c r="N5" s="2028"/>
      <c r="O5" s="2028"/>
      <c r="P5" s="2028"/>
      <c r="Q5" s="2028"/>
      <c r="R5" s="2028"/>
      <c r="S5" s="2028"/>
      <c r="T5" s="2028"/>
      <c r="U5" s="2028"/>
      <c r="V5" s="2028"/>
    </row>
    <row r="6" spans="1:22" ht="14.25">
      <c r="A6" s="3377"/>
      <c r="B6" s="3403"/>
      <c r="C6" s="3404"/>
      <c r="D6" s="3405"/>
      <c r="E6" s="260" t="s">
        <v>304</v>
      </c>
      <c r="F6" s="261"/>
      <c r="G6" s="261"/>
      <c r="H6" s="261"/>
      <c r="I6" s="262"/>
      <c r="J6" s="2029"/>
      <c r="K6" s="2028"/>
      <c r="L6" s="2028"/>
      <c r="M6" s="2028"/>
      <c r="N6" s="2028"/>
      <c r="O6" s="2028"/>
      <c r="P6" s="2028"/>
      <c r="Q6" s="2028"/>
      <c r="R6" s="2028"/>
      <c r="S6" s="2028"/>
      <c r="T6" s="2028"/>
      <c r="U6" s="2028"/>
      <c r="V6" s="2028"/>
    </row>
    <row r="7" spans="1:22" ht="14.25">
      <c r="A7" s="3377"/>
      <c r="B7" s="3403"/>
      <c r="C7" s="3402"/>
      <c r="D7" s="3405"/>
      <c r="E7" s="260" t="s">
        <v>305</v>
      </c>
      <c r="F7" s="261"/>
      <c r="G7" s="261"/>
      <c r="H7" s="261"/>
      <c r="I7" s="262"/>
      <c r="J7" s="2029"/>
      <c r="K7" s="2028"/>
      <c r="L7" s="2028"/>
      <c r="M7" s="2028"/>
      <c r="N7" s="2028"/>
      <c r="O7" s="2028"/>
      <c r="P7" s="2028"/>
      <c r="Q7" s="2028"/>
      <c r="R7" s="2028"/>
      <c r="S7" s="2028"/>
      <c r="T7" s="2028"/>
      <c r="U7" s="2028"/>
      <c r="V7" s="2028"/>
    </row>
    <row r="8" spans="1:22" ht="14.25">
      <c r="A8" s="3377" t="s">
        <v>306</v>
      </c>
      <c r="B8" s="3403">
        <v>15</v>
      </c>
      <c r="C8" s="3401"/>
      <c r="D8" s="3405"/>
      <c r="E8" s="260" t="s">
        <v>307</v>
      </c>
      <c r="F8" s="261"/>
      <c r="G8" s="261"/>
      <c r="H8" s="261"/>
      <c r="I8" s="262"/>
      <c r="J8" s="2029"/>
      <c r="K8" s="2028"/>
      <c r="L8" s="2028"/>
      <c r="M8" s="2028"/>
      <c r="N8" s="2028"/>
      <c r="O8" s="2028"/>
      <c r="P8" s="2028"/>
      <c r="Q8" s="2028"/>
      <c r="R8" s="2028"/>
      <c r="S8" s="2028"/>
      <c r="T8" s="2028"/>
      <c r="U8" s="2028"/>
      <c r="V8" s="2028"/>
    </row>
    <row r="9" spans="1:22" ht="14.25">
      <c r="A9" s="3377"/>
      <c r="B9" s="3403"/>
      <c r="C9" s="3402"/>
      <c r="D9" s="3405"/>
      <c r="E9" s="260" t="s">
        <v>308</v>
      </c>
      <c r="F9" s="261"/>
      <c r="G9" s="261"/>
      <c r="H9" s="261"/>
      <c r="I9" s="262"/>
      <c r="J9" s="2029"/>
      <c r="K9" s="2028"/>
      <c r="L9" s="2028"/>
      <c r="M9" s="2028"/>
      <c r="N9" s="2028"/>
      <c r="O9" s="2028"/>
      <c r="P9" s="2028"/>
      <c r="Q9" s="2028"/>
      <c r="R9" s="2028"/>
      <c r="S9" s="2028"/>
      <c r="T9" s="2028"/>
      <c r="U9" s="2028"/>
      <c r="V9" s="2028"/>
    </row>
    <row r="10" spans="1:22" ht="14.25">
      <c r="A10" s="3377" t="s">
        <v>309</v>
      </c>
      <c r="B10" s="3403">
        <v>15</v>
      </c>
      <c r="C10" s="3401"/>
      <c r="D10" s="3405"/>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7"/>
      <c r="B11" s="3403"/>
      <c r="C11" s="3402"/>
      <c r="D11" s="3405"/>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7" t="s">
        <v>312</v>
      </c>
      <c r="B12" s="3403">
        <v>15</v>
      </c>
      <c r="C12" s="3401"/>
      <c r="D12" s="3405"/>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7"/>
      <c r="B13" s="3403"/>
      <c r="C13" s="3402"/>
      <c r="D13" s="3405"/>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7" t="s">
        <v>315</v>
      </c>
      <c r="B14" s="3403">
        <v>30</v>
      </c>
      <c r="C14" s="3401">
        <v>3</v>
      </c>
      <c r="D14" s="3405">
        <v>7</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7"/>
      <c r="B15" s="3403"/>
      <c r="C15" s="3404"/>
      <c r="D15" s="3405"/>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7"/>
      <c r="B16" s="3403"/>
      <c r="C16" s="3402"/>
      <c r="D16" s="3405"/>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3</v>
      </c>
      <c r="D17" s="264">
        <f>SUM(D5:D16)</f>
        <v>7</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0.3</v>
      </c>
      <c r="D18" s="266">
        <f>1-C18</f>
        <v>0.7</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55113</v>
      </c>
      <c r="D19" s="270">
        <f ca="1">SUMIF(INDIRECT("'"&amp;D4&amp;"'"&amp;"!A:A"),结果表!B19,INDIRECT("'"&amp;D4&amp;"'"&amp;"!B:B"))</f>
        <v>100292</v>
      </c>
      <c r="E19" s="267" t="s">
        <v>323</v>
      </c>
      <c r="F19" s="268" t="s">
        <v>322</v>
      </c>
      <c r="G19" s="271">
        <f ca="1">ROUND(C19*$C$18+D19*$D$18,0)</f>
        <v>86738</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3101</v>
      </c>
      <c r="D20" s="276">
        <f ca="1">SUMIF(INDIRECT("'"&amp;D4&amp;"'"&amp;"!A:A"),结果表!B20,INDIRECT("'"&amp;D4&amp;"'"&amp;"!B:B"))</f>
        <v>5644</v>
      </c>
      <c r="E20" s="273"/>
      <c r="F20" s="274" t="s">
        <v>325</v>
      </c>
      <c r="G20" s="277">
        <f ca="1">ROUND(C20*$C$18+D20*$D$18,0)</f>
        <v>4881</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6823</v>
      </c>
      <c r="D21" s="150">
        <f ca="1">SUMIF(INDIRECT("'"&amp;D4&amp;"'"&amp;"!A:A"),结果表!B21,INDIRECT("'"&amp;D4&amp;"'"&amp;"!B:B"))</f>
        <v>12416</v>
      </c>
      <c r="E21" s="273"/>
      <c r="F21" s="279" t="s">
        <v>327</v>
      </c>
      <c r="G21" s="281">
        <f ca="1">ROUND(C21*$C$18+D21*$D$18,0)</f>
        <v>10738</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0.81975214559178422</v>
      </c>
      <c r="E22" s="283"/>
      <c r="F22" s="284"/>
      <c r="G22" s="285">
        <f ca="1">ROUND(G19/('数据-汇总表'!D3/666.67),0)</f>
        <v>716</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83"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84"/>
      <c r="B25" s="1320" t="s">
        <v>331</v>
      </c>
      <c r="C25" s="289">
        <f>IF(B30=0,0,C30)</f>
        <v>0</v>
      </c>
      <c r="D25" s="290"/>
      <c r="E25" s="310"/>
      <c r="F25" s="310"/>
      <c r="G25" s="310"/>
      <c r="H25" s="310"/>
      <c r="I25" s="310"/>
      <c r="J25" s="2028"/>
      <c r="K25" s="1254" t="str">
        <f ca="1">项目基本情况!B16&amp;"国有建设用地使用权价格："&amp;O38&amp;"万元"</f>
        <v>国有建设用地使用权价格：86738万元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大写金额：人民币捌亿陆仟柒佰叁拾捌万元整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单位面积地价：10738元/平方米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楼面地价：4881元/平方米</v>
      </c>
      <c r="L28" s="1251"/>
      <c r="M28" s="1251"/>
      <c r="N28" s="1251"/>
      <c r="O28" s="1250"/>
      <c r="P28" s="2028"/>
      <c r="V28" s="2028"/>
    </row>
    <row r="29" spans="1:26" ht="18">
      <c r="A29" s="292"/>
      <c r="B29" s="293"/>
      <c r="C29" s="293"/>
      <c r="D29" s="294"/>
      <c r="E29" s="310"/>
      <c r="F29" s="310"/>
      <c r="G29" s="310"/>
      <c r="H29" s="310"/>
      <c r="I29" s="310"/>
      <c r="J29" s="2028"/>
      <c r="K29" s="1257" t="str">
        <f>IF(OR(项目基本情况!E8="抵押价格",项目基本情况!E8="已注销及未注销"),"抵押价格："&amp;O39&amp;"万元","——")</f>
        <v>——</v>
      </c>
      <c r="L29" s="1251"/>
      <c r="M29" s="1251"/>
      <c r="N29" s="1251"/>
      <c r="O29" s="1250"/>
      <c r="P29" s="2028"/>
      <c r="V29" s="2028"/>
    </row>
    <row r="30" spans="1:26" ht="18.75" thickBot="1">
      <c r="A30" s="3157" t="s">
        <v>336</v>
      </c>
      <c r="B30" s="308"/>
      <c r="C30" s="308"/>
      <c r="D30" s="309"/>
      <c r="E30" s="3158" t="s">
        <v>2973</v>
      </c>
      <c r="F30" s="310"/>
      <c r="G30" s="310"/>
      <c r="H30" s="310"/>
      <c r="I30" s="310"/>
      <c r="J30" s="2028"/>
      <c r="K30" s="1257" t="str">
        <f>IF(K29="——","——","大写金额：人民币"&amp;NUMBERSTRING(INT(O39*10000),2)&amp;"元整")</f>
        <v>——</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7" t="s">
        <v>337</v>
      </c>
      <c r="B32" s="1380" t="s">
        <v>1689</v>
      </c>
      <c r="C32" s="1381">
        <f ca="1">G19-C24</f>
        <v>86738</v>
      </c>
      <c r="D32" s="1382" t="s">
        <v>1690</v>
      </c>
      <c r="E32" s="310"/>
      <c r="F32" s="310"/>
      <c r="G32" s="310"/>
      <c r="H32" s="310"/>
      <c r="I32" s="310"/>
      <c r="J32" s="2028"/>
      <c r="K32" s="2487" t="e">
        <f>IF(K31="——","——","大写金额：人民币"&amp;NUMBERSTRING(INT(O40*10000),2)&amp;"元整")</f>
        <v>#VALUE!</v>
      </c>
      <c r="L32" s="2490"/>
      <c r="M32" s="2490"/>
      <c r="N32" s="2490"/>
      <c r="O32" s="2491"/>
      <c r="P32" s="2028"/>
      <c r="V32" s="2028"/>
    </row>
    <row r="33" spans="1:26" ht="18.75" thickBot="1">
      <c r="A33" s="297" t="s">
        <v>340</v>
      </c>
      <c r="B33" s="1383" t="s">
        <v>1691</v>
      </c>
      <c r="C33" s="263">
        <f ca="1">ROUND(C32*10000/'数据-汇总表'!E3,0)</f>
        <v>4881</v>
      </c>
      <c r="D33" s="1384" t="s">
        <v>1692</v>
      </c>
      <c r="E33" s="3383"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1693</v>
      </c>
      <c r="C34" s="263">
        <f ca="1">ROUND(C32*10000/'数据-汇总表'!D3,0)</f>
        <v>10738</v>
      </c>
      <c r="D34" s="1386" t="s">
        <v>1692</v>
      </c>
      <c r="E34" s="3424"/>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716</v>
      </c>
      <c r="D35" s="1389" t="s">
        <v>1694</v>
      </c>
      <c r="E35" s="3425"/>
      <c r="F35" s="300" t="s">
        <v>342</v>
      </c>
      <c r="G35" s="981"/>
      <c r="H35" s="980" t="s">
        <v>343</v>
      </c>
      <c r="I35" s="310"/>
      <c r="J35" s="2028"/>
      <c r="K35" s="3398" t="s">
        <v>350</v>
      </c>
      <c r="L35" s="3398" t="s">
        <v>351</v>
      </c>
      <c r="M35" s="1263" t="s">
        <v>352</v>
      </c>
      <c r="N35" s="3398" t="s">
        <v>353</v>
      </c>
      <c r="O35" s="3398" t="s">
        <v>354</v>
      </c>
      <c r="P35" s="2028"/>
      <c r="V35" s="2028"/>
    </row>
    <row r="36" spans="1:26" ht="16.5" customHeight="1">
      <c r="A36" s="302" t="s">
        <v>344</v>
      </c>
      <c r="B36" s="303" t="s">
        <v>333</v>
      </c>
      <c r="C36" s="304" t="s">
        <v>345</v>
      </c>
      <c r="D36" s="304" t="s">
        <v>346</v>
      </c>
      <c r="E36" s="305" t="s">
        <v>347</v>
      </c>
      <c r="F36" s="310"/>
      <c r="G36" s="310"/>
      <c r="H36" s="310"/>
      <c r="I36" s="310"/>
      <c r="J36" s="2030"/>
      <c r="K36" s="3399"/>
      <c r="L36" s="3399"/>
      <c r="M36" s="1265" t="s">
        <v>355</v>
      </c>
      <c r="N36" s="3399"/>
      <c r="O36" s="3399"/>
      <c r="P36" s="2028"/>
      <c r="V36" s="2028"/>
    </row>
    <row r="37" spans="1:26" ht="16.5" customHeight="1" thickBot="1">
      <c r="A37" s="1259" t="s">
        <v>348</v>
      </c>
      <c r="B37" s="306"/>
      <c r="C37" s="293"/>
      <c r="D37" s="293"/>
      <c r="E37" s="294"/>
      <c r="F37" s="310"/>
      <c r="G37" s="310"/>
      <c r="H37" s="310"/>
      <c r="I37" s="310"/>
      <c r="J37" s="2030"/>
      <c r="K37" s="3400"/>
      <c r="L37" s="3400"/>
      <c r="M37" s="1266"/>
      <c r="N37" s="3400"/>
      <c r="O37" s="3400"/>
      <c r="P37" s="2028"/>
      <c r="V37" s="2028"/>
    </row>
    <row r="38" spans="1:26" ht="16.5" customHeight="1" thickBot="1">
      <c r="A38" s="1259" t="s">
        <v>349</v>
      </c>
      <c r="B38" s="306"/>
      <c r="C38" s="293"/>
      <c r="D38" s="293"/>
      <c r="E38" s="294"/>
      <c r="F38" s="310"/>
      <c r="G38" s="310"/>
      <c r="H38" s="310"/>
      <c r="I38" s="310"/>
      <c r="J38" s="2030"/>
      <c r="K38" s="1267">
        <f>'数据-汇总表'!D3</f>
        <v>80775.5</v>
      </c>
      <c r="L38" s="1268">
        <f>'数据-汇总表'!E3</f>
        <v>177705.36</v>
      </c>
      <c r="M38" s="1268">
        <f ca="1">C34</f>
        <v>10738</v>
      </c>
      <c r="N38" s="1268">
        <f ca="1">C33</f>
        <v>4881</v>
      </c>
      <c r="O38" s="1269">
        <f ca="1">C32</f>
        <v>86738</v>
      </c>
      <c r="P38" s="2028"/>
      <c r="V38" s="2028"/>
    </row>
    <row r="39" spans="1:26" ht="16.5" customHeight="1" thickBot="1">
      <c r="A39" s="1264"/>
      <c r="B39" s="307"/>
      <c r="C39" s="308"/>
      <c r="D39" s="308"/>
      <c r="E39" s="309"/>
      <c r="F39" s="310"/>
      <c r="G39" s="310"/>
      <c r="H39" s="310"/>
      <c r="I39" s="310"/>
      <c r="J39" s="2030"/>
      <c r="K39" s="3443" t="str">
        <f>MID(A44,3,LEN(A44)-2)</f>
        <v/>
      </c>
      <c r="L39" s="3444"/>
      <c r="M39" s="3444"/>
      <c r="N39" s="3445"/>
      <c r="O39" s="1391" t="str">
        <f>C44</f>
        <v>——</v>
      </c>
      <c r="P39" s="2028"/>
      <c r="V39" s="2028"/>
    </row>
    <row r="40" spans="1:26" ht="19.5" thickBot="1">
      <c r="A40" s="104" t="s">
        <v>873</v>
      </c>
      <c r="B40" s="310"/>
      <c r="C40" s="310"/>
      <c r="D40" s="310"/>
      <c r="E40" s="310"/>
      <c r="F40" s="310"/>
      <c r="G40" s="310"/>
      <c r="H40" s="310"/>
      <c r="I40" s="310"/>
      <c r="J40" s="2030"/>
      <c r="K40" s="3443" t="str">
        <f t="shared" ref="K40:K41" si="0">MID(A45,3,LEN(A45)-2)</f>
        <v/>
      </c>
      <c r="L40" s="3444"/>
      <c r="M40" s="3444"/>
      <c r="N40" s="3445"/>
      <c r="O40" s="1391" t="str">
        <f>C45</f>
        <v>——</v>
      </c>
      <c r="P40" s="2028"/>
      <c r="V40" s="2028"/>
    </row>
    <row r="41" spans="1:26" ht="16.5" thickBot="1">
      <c r="A41" s="311" t="s">
        <v>356</v>
      </c>
      <c r="B41" s="312"/>
      <c r="C41" s="313" t="s">
        <v>357</v>
      </c>
      <c r="D41" s="314" t="s">
        <v>358</v>
      </c>
      <c r="E41" s="314" t="s">
        <v>359</v>
      </c>
      <c r="F41" s="315" t="s">
        <v>360</v>
      </c>
      <c r="G41" s="310"/>
      <c r="H41" s="310"/>
      <c r="I41" s="310"/>
      <c r="J41" s="2030"/>
      <c r="K41" s="3443" t="str">
        <f t="shared" si="0"/>
        <v/>
      </c>
      <c r="L41" s="3444"/>
      <c r="M41" s="3444"/>
      <c r="N41" s="3445"/>
      <c r="O41" s="1391" t="str">
        <f>C46</f>
        <v>——</v>
      </c>
      <c r="P41" s="2028"/>
      <c r="V41" s="2028"/>
    </row>
    <row r="42" spans="1:26" ht="29.25">
      <c r="A42" s="3385" t="s">
        <v>2070</v>
      </c>
      <c r="B42" s="3386"/>
      <c r="C42" s="263">
        <f ca="1">C32</f>
        <v>86738</v>
      </c>
      <c r="D42" s="316">
        <f ca="1">C33</f>
        <v>4881</v>
      </c>
      <c r="E42" s="316">
        <f ca="1">C34</f>
        <v>10738</v>
      </c>
      <c r="F42" s="317">
        <f ca="1">C35</f>
        <v>716</v>
      </c>
      <c r="G42" s="310"/>
      <c r="H42" s="310"/>
      <c r="I42" s="318"/>
      <c r="J42" s="2030"/>
      <c r="K42" s="1270" t="s">
        <v>361</v>
      </c>
      <c r="L42" s="2047" t="s">
        <v>362</v>
      </c>
      <c r="M42" s="1271" t="s">
        <v>363</v>
      </c>
      <c r="N42" s="2048" t="s">
        <v>364</v>
      </c>
      <c r="O42" s="2049" t="s">
        <v>365</v>
      </c>
      <c r="P42" s="2028"/>
      <c r="V42" s="2028"/>
    </row>
    <row r="43" spans="1:26" ht="30">
      <c r="A43" s="3396" t="s">
        <v>2734</v>
      </c>
      <c r="B43" s="3397"/>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55113</v>
      </c>
      <c r="M43" s="1274">
        <f>C18</f>
        <v>0.3</v>
      </c>
      <c r="N43" s="1275">
        <f ca="1">IF(N42="测算结果/万元",G19,G20)</f>
        <v>86738</v>
      </c>
      <c r="O43" s="1276">
        <f ca="1">IF(O42="最终结果/万元",C32,C33)</f>
        <v>86738</v>
      </c>
      <c r="P43" s="2028"/>
      <c r="V43" s="2028"/>
    </row>
    <row r="44" spans="1:26" ht="30.75" thickBot="1">
      <c r="A44" s="3385" t="str">
        <f>IF(OR(项目基本情况!E8="抵押价格",项目基本情况!E8="已注销及未注销"),"3.抵押价格","——")</f>
        <v>——</v>
      </c>
      <c r="B44" s="3386"/>
      <c r="C44" s="263" t="str">
        <f>IF(A44="——","——",C42-C43)</f>
        <v>——</v>
      </c>
      <c r="D44" s="316" t="e">
        <f>ROUND(C44*10000/'数据-汇总表'!E3,0)</f>
        <v>#VALUE!</v>
      </c>
      <c r="E44" s="316" t="e">
        <f>ROUND(C44*10000/'数据-汇总表'!D3,0)</f>
        <v>#VALUE!</v>
      </c>
      <c r="F44" s="317" t="e">
        <f>ROUND(C44/('数据-汇总表'!D3/666.67),0)</f>
        <v>#VALUE!</v>
      </c>
      <c r="G44" s="310"/>
      <c r="H44" s="310"/>
      <c r="I44" s="318"/>
      <c r="J44" s="2030"/>
      <c r="K44" s="1277" t="str">
        <f>D4</f>
        <v>剩余法-待开发</v>
      </c>
      <c r="L44" s="1278">
        <f ca="1">IF(L42="估价结果/万元",D19,D20)</f>
        <v>100292</v>
      </c>
      <c r="M44" s="1279">
        <f>D18</f>
        <v>0.7</v>
      </c>
      <c r="N44" s="1280"/>
      <c r="O44" s="1281"/>
      <c r="P44" s="2028"/>
      <c r="V44" s="2028"/>
    </row>
    <row r="45" spans="1:26" ht="15">
      <c r="A45" s="3391" t="str">
        <f>IF(项目基本情况!E8="已注销及未注销","4.抵押担保权已注销时的抵押价格",IF(项目基本情况!E8="已注销","3.抵押担保权已注销时的抵押价格","——"))</f>
        <v>——</v>
      </c>
      <c r="B45" s="339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87" t="str">
        <f>IF(项目基本情况!E9="抵押净值",IF(A45="——","4.抵押净值","5.抵押净值"),"——")</f>
        <v>——</v>
      </c>
      <c r="B46" s="3388"/>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32" t="s">
        <v>374</v>
      </c>
      <c r="B63" s="3433"/>
      <c r="C63" s="3434"/>
      <c r="D63" s="340">
        <f ca="1">ROUND(C42*F63,0)</f>
        <v>86738</v>
      </c>
      <c r="E63" s="301" t="s">
        <v>375</v>
      </c>
      <c r="F63" s="341">
        <v>1</v>
      </c>
      <c r="G63" s="342" t="s">
        <v>376</v>
      </c>
      <c r="H63" s="310"/>
      <c r="I63" s="310"/>
      <c r="J63" s="2028"/>
      <c r="K63" s="2028"/>
      <c r="L63" s="2028"/>
      <c r="M63" s="2028"/>
      <c r="N63" s="2028"/>
      <c r="O63" s="2028"/>
      <c r="P63" s="310"/>
      <c r="Q63" s="2028"/>
      <c r="R63" s="2028"/>
      <c r="S63" s="2028"/>
      <c r="T63" s="2028"/>
      <c r="U63" s="2028"/>
      <c r="V63" s="2028"/>
    </row>
    <row r="64" spans="1:22" ht="14.25" customHeight="1">
      <c r="A64" s="3393" t="s">
        <v>378</v>
      </c>
      <c r="B64" s="3394"/>
      <c r="C64" s="3394"/>
      <c r="D64" s="3394"/>
      <c r="E64" s="3394"/>
      <c r="F64" s="3394"/>
      <c r="G64" s="3395"/>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89" t="s">
        <v>386</v>
      </c>
      <c r="B66" s="3390"/>
      <c r="C66" s="3390"/>
      <c r="D66" s="260">
        <f ca="1">IF(H66="情况1",0,IF(H66="情况2",D70,IF(H66="情况3",D71,IF(H66="情况4",D72))))</f>
        <v>4626</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447" t="s">
        <v>385</v>
      </c>
      <c r="M66" s="3448"/>
      <c r="N66" s="2482"/>
      <c r="O66" s="2483"/>
      <c r="P66" s="2484"/>
      <c r="Q66" s="2028"/>
      <c r="R66" s="2028"/>
      <c r="S66" s="2028"/>
      <c r="T66" s="2028"/>
      <c r="U66" s="2028"/>
      <c r="V66" s="2028"/>
    </row>
    <row r="67" spans="1:22" ht="25.5" customHeight="1">
      <c r="A67" s="351" t="s">
        <v>390</v>
      </c>
      <c r="B67" s="3380" t="s">
        <v>391</v>
      </c>
      <c r="C67" s="3380"/>
      <c r="D67" s="352">
        <v>0</v>
      </c>
      <c r="E67" s="41" t="s">
        <v>392</v>
      </c>
      <c r="F67" s="62" t="s">
        <v>21</v>
      </c>
      <c r="G67" s="3435"/>
      <c r="H67" s="310"/>
      <c r="I67" s="1291"/>
      <c r="J67" s="2035"/>
      <c r="K67" s="1976">
        <v>2</v>
      </c>
      <c r="L67" s="3446" t="s">
        <v>389</v>
      </c>
      <c r="M67" s="3446"/>
      <c r="N67" s="1324">
        <f>'数据-取费表'!B2</f>
        <v>43209</v>
      </c>
      <c r="O67" s="1324"/>
      <c r="P67" s="1324"/>
      <c r="Q67" s="2028"/>
      <c r="R67" s="2028"/>
      <c r="S67" s="2028"/>
      <c r="T67" s="2028"/>
      <c r="U67" s="2028"/>
      <c r="V67" s="2028"/>
    </row>
    <row r="68" spans="1:22" ht="25.5" customHeight="1">
      <c r="A68" s="353"/>
      <c r="B68" s="3380" t="s">
        <v>394</v>
      </c>
      <c r="C68" s="3380"/>
      <c r="D68" s="354"/>
      <c r="E68" s="77"/>
      <c r="F68" s="355"/>
      <c r="G68" s="3436"/>
      <c r="H68" s="310"/>
      <c r="I68" s="1291"/>
      <c r="J68" s="2035"/>
      <c r="K68" s="1976">
        <v>3</v>
      </c>
      <c r="L68" s="3446" t="s">
        <v>393</v>
      </c>
      <c r="M68" s="3446"/>
      <c r="N68" s="1292">
        <f ca="1">C42</f>
        <v>86738</v>
      </c>
      <c r="O68" s="1292"/>
      <c r="P68" s="1292"/>
      <c r="Q68" s="2028"/>
      <c r="R68" s="2028"/>
      <c r="S68" s="2028"/>
      <c r="T68" s="2028"/>
      <c r="U68" s="2028"/>
      <c r="V68" s="2028"/>
    </row>
    <row r="69" spans="1:22" ht="12" customHeight="1">
      <c r="A69" s="356"/>
      <c r="B69" s="3380" t="s">
        <v>395</v>
      </c>
      <c r="C69" s="3380"/>
      <c r="D69" s="357"/>
      <c r="E69" s="73"/>
      <c r="F69" s="355"/>
      <c r="G69" s="3437"/>
      <c r="H69" s="310"/>
      <c r="I69" s="1291"/>
      <c r="J69" s="2035"/>
      <c r="K69" s="1293">
        <v>4</v>
      </c>
      <c r="L69" s="3451" t="s">
        <v>2887</v>
      </c>
      <c r="M69" s="3452"/>
      <c r="N69" s="1294" t="str">
        <f>C44</f>
        <v>——</v>
      </c>
      <c r="O69" s="1294"/>
      <c r="P69" s="1294"/>
      <c r="Q69" s="2028"/>
      <c r="R69" s="2028"/>
      <c r="S69" s="2028"/>
      <c r="T69" s="2028"/>
      <c r="U69" s="2028"/>
      <c r="V69" s="2028"/>
    </row>
    <row r="70" spans="1:22" ht="24" customHeight="1">
      <c r="A70" s="358" t="s">
        <v>396</v>
      </c>
      <c r="B70" s="3380" t="s">
        <v>397</v>
      </c>
      <c r="C70" s="3380"/>
      <c r="D70" s="357">
        <f ca="1">ROUND(D63*'数据-取费表'!B41/(1+'数据-取费表'!C42),0)</f>
        <v>4626</v>
      </c>
      <c r="E70" s="17" t="s">
        <v>398</v>
      </c>
      <c r="F70" s="359">
        <f>'数据-取费表'!B41</f>
        <v>5.6000000000000001E-2</v>
      </c>
      <c r="G70" s="360"/>
      <c r="H70" s="310"/>
      <c r="I70" s="1291"/>
      <c r="J70" s="2035"/>
      <c r="K70" s="3085"/>
      <c r="L70" s="3086"/>
      <c r="M70" s="3086"/>
      <c r="N70" s="3087" t="s">
        <v>2892</v>
      </c>
      <c r="O70" s="3086"/>
      <c r="P70" s="3088"/>
      <c r="Q70" s="2028"/>
      <c r="R70" s="2028"/>
      <c r="S70" s="2028"/>
      <c r="T70" s="2028"/>
      <c r="U70" s="2028"/>
      <c r="V70" s="2028"/>
    </row>
    <row r="71" spans="1:22" ht="12" customHeight="1">
      <c r="A71" s="358" t="s">
        <v>404</v>
      </c>
      <c r="B71" s="3381" t="s">
        <v>405</v>
      </c>
      <c r="C71" s="3382"/>
      <c r="D71" s="357">
        <f ca="1">ROUND(D63*'数据-取费表'!B41/(1+'数据-取费表'!C42),0)</f>
        <v>4626</v>
      </c>
      <c r="E71" s="17" t="s">
        <v>398</v>
      </c>
      <c r="F71" s="359">
        <f>'数据-取费表'!B41</f>
        <v>5.6000000000000001E-2</v>
      </c>
      <c r="G71" s="360"/>
      <c r="H71" s="310"/>
      <c r="I71" s="1291"/>
      <c r="J71" s="2035"/>
      <c r="K71" s="3084" t="s">
        <v>399</v>
      </c>
      <c r="L71" s="3453" t="s">
        <v>400</v>
      </c>
      <c r="M71" s="3453"/>
      <c r="N71" s="3084" t="s">
        <v>401</v>
      </c>
      <c r="O71" s="3084" t="s">
        <v>402</v>
      </c>
      <c r="P71" s="3084" t="s">
        <v>403</v>
      </c>
      <c r="Q71" s="2028"/>
      <c r="R71" s="2028"/>
      <c r="S71" s="2028"/>
      <c r="T71" s="2028"/>
      <c r="U71" s="2028"/>
      <c r="V71" s="2028"/>
    </row>
    <row r="72" spans="1:22" ht="12" customHeight="1">
      <c r="A72" s="358" t="s">
        <v>407</v>
      </c>
      <c r="B72" s="3381" t="s">
        <v>408</v>
      </c>
      <c r="C72" s="3382"/>
      <c r="D72" s="357">
        <f ca="1">C86</f>
        <v>4514</v>
      </c>
      <c r="E72" s="73" t="s">
        <v>409</v>
      </c>
      <c r="F72" s="359">
        <f>'数据-取费表'!B41</f>
        <v>5.6000000000000001E-2</v>
      </c>
      <c r="G72" s="360"/>
      <c r="H72" s="1297"/>
      <c r="I72" s="1291"/>
      <c r="J72" s="2035"/>
      <c r="K72" s="1976">
        <v>1</v>
      </c>
      <c r="L72" s="3428" t="s">
        <v>406</v>
      </c>
      <c r="M72" s="3428"/>
      <c r="N72" s="1295">
        <f ca="1">D66</f>
        <v>4626</v>
      </c>
      <c r="O72" s="1859" t="str">
        <f>E66</f>
        <v>销售额×税（费）率</v>
      </c>
      <c r="P72" s="1296">
        <f>F66</f>
        <v>5.6000000000000001E-2</v>
      </c>
      <c r="Q72" s="2028"/>
      <c r="R72" s="2028"/>
      <c r="S72" s="2028"/>
      <c r="T72" s="2028"/>
      <c r="U72" s="2028"/>
      <c r="V72" s="2028"/>
    </row>
    <row r="73" spans="1:22" ht="24" customHeight="1">
      <c r="A73" s="3422" t="s">
        <v>411</v>
      </c>
      <c r="B73" s="3390"/>
      <c r="C73" s="3390"/>
      <c r="D73" s="361">
        <f>IF(H73="个人住宅",0,ROUND(D63*I73,0))</f>
        <v>0</v>
      </c>
      <c r="E73" s="17" t="s">
        <v>412</v>
      </c>
      <c r="F73" s="359" t="str">
        <f>IF(H73="正常",I73,"免征")</f>
        <v>免征</v>
      </c>
      <c r="G73" s="360"/>
      <c r="H73" s="190" t="s">
        <v>2459</v>
      </c>
      <c r="I73" s="359">
        <f>'数据-取费表'!B49</f>
        <v>5.0000000000000001E-4</v>
      </c>
      <c r="J73" s="2035"/>
      <c r="K73" s="1976">
        <v>2</v>
      </c>
      <c r="L73" s="3428" t="s">
        <v>410</v>
      </c>
      <c r="M73" s="3428"/>
      <c r="N73" s="1295">
        <f t="shared" ref="N73:P74" si="1">D73</f>
        <v>0</v>
      </c>
      <c r="O73" s="1859" t="str">
        <f t="shared" si="1"/>
        <v>销售额×税（费）率</v>
      </c>
      <c r="P73" s="1296" t="str">
        <f t="shared" si="1"/>
        <v>免征</v>
      </c>
      <c r="Q73" s="2028"/>
      <c r="R73" s="2028"/>
      <c r="S73" s="2028"/>
      <c r="T73" s="2028"/>
      <c r="U73" s="2028"/>
      <c r="V73" s="2028"/>
    </row>
    <row r="74" spans="1:22" ht="24.75">
      <c r="A74" s="3422" t="s">
        <v>415</v>
      </c>
      <c r="B74" s="3390"/>
      <c r="C74" s="3390"/>
      <c r="D74" s="361">
        <f ca="1">IF(H74="个人住宅",D75,D76)</f>
        <v>48016</v>
      </c>
      <c r="E74" s="17" t="s">
        <v>416</v>
      </c>
      <c r="F74" s="359" t="str">
        <f>IF(H74="正常",F76,"免征")</f>
        <v>——</v>
      </c>
      <c r="G74" s="982" t="s">
        <v>417</v>
      </c>
      <c r="H74" s="362" t="s">
        <v>413</v>
      </c>
      <c r="I74" s="42"/>
      <c r="J74" s="2035"/>
      <c r="K74" s="1976">
        <v>3</v>
      </c>
      <c r="L74" s="3428" t="s">
        <v>414</v>
      </c>
      <c r="M74" s="3428"/>
      <c r="N74" s="1295">
        <f t="shared" ca="1" si="1"/>
        <v>48016</v>
      </c>
      <c r="O74" s="1859" t="str">
        <f t="shared" si="1"/>
        <v>增值额×税（费）率</v>
      </c>
      <c r="P74" s="1298" t="str">
        <f t="shared" si="1"/>
        <v>——</v>
      </c>
      <c r="Q74" s="2028"/>
      <c r="R74" s="2028"/>
      <c r="S74" s="2028"/>
      <c r="T74" s="2028"/>
      <c r="U74" s="2028"/>
      <c r="V74" s="2028"/>
    </row>
    <row r="75" spans="1:22" ht="24">
      <c r="A75" s="358" t="s">
        <v>418</v>
      </c>
      <c r="B75" s="3378" t="s">
        <v>419</v>
      </c>
      <c r="C75" s="3408"/>
      <c r="D75" s="363">
        <v>0</v>
      </c>
      <c r="E75" s="41" t="s">
        <v>420</v>
      </c>
      <c r="F75" s="364"/>
      <c r="G75" s="360"/>
      <c r="H75" s="42"/>
      <c r="I75" s="42"/>
      <c r="J75" s="2035"/>
      <c r="K75" s="3077">
        <f>IF(H77="非个人房产","",4)</f>
        <v>4</v>
      </c>
      <c r="L75" s="3428" t="str">
        <f>IF(H77="非个人房产","——","个人所得税")</f>
        <v>个人所得税</v>
      </c>
      <c r="M75" s="3428"/>
      <c r="N75" s="1299">
        <f ca="1">D77</f>
        <v>867</v>
      </c>
      <c r="O75" s="1872" t="str">
        <f>E77</f>
        <v>销售额×税（费）率</v>
      </c>
      <c r="P75" s="1300">
        <f>F77</f>
        <v>0.01</v>
      </c>
      <c r="Q75" s="2028"/>
      <c r="R75" s="2028"/>
      <c r="S75" s="2028"/>
      <c r="T75" s="2028"/>
      <c r="U75" s="2028"/>
      <c r="V75" s="2028"/>
    </row>
    <row r="76" spans="1:22" ht="24.75">
      <c r="A76" s="358" t="s">
        <v>396</v>
      </c>
      <c r="B76" s="3378" t="s">
        <v>422</v>
      </c>
      <c r="C76" s="3379"/>
      <c r="D76" s="361">
        <f ca="1">IF(H76="转让取得",C99,C115)</f>
        <v>48016</v>
      </c>
      <c r="E76" s="17" t="s">
        <v>423</v>
      </c>
      <c r="F76" s="53" t="s">
        <v>21</v>
      </c>
      <c r="G76" s="360"/>
      <c r="H76" s="362" t="s">
        <v>424</v>
      </c>
      <c r="I76" s="42"/>
      <c r="J76" s="2035"/>
      <c r="K76" s="3077" t="str">
        <f>IF(项目基本情况!K6="上海银行",IF(K75="",4,K75+1),"")</f>
        <v/>
      </c>
      <c r="L76" s="3439" t="str">
        <f>IF(项目基本情况!K6="上海银行","其他处置费用","")</f>
        <v/>
      </c>
      <c r="M76" s="3440"/>
      <c r="N76" s="1295" t="str">
        <f>IF(项目基本情况!K6="上海银行",N89,"")</f>
        <v/>
      </c>
      <c r="O76" s="3441" t="str">
        <f>IF(项目基本情况!K6="上海银行","包含处置中涉及的律师、诉讼、拍卖、评估等费用","")</f>
        <v/>
      </c>
      <c r="P76" s="3442"/>
      <c r="Q76" s="2028"/>
      <c r="R76" s="2028"/>
      <c r="S76" s="2028"/>
      <c r="T76" s="2028"/>
      <c r="U76" s="2028"/>
      <c r="V76" s="2028"/>
    </row>
    <row r="77" spans="1:22" ht="26.25" thickBot="1">
      <c r="A77" s="3430" t="s">
        <v>426</v>
      </c>
      <c r="B77" s="3431"/>
      <c r="C77" s="3431"/>
      <c r="D77" s="365">
        <f ca="1">IF(H77="非个人房产","——",IF(H77="个人住宅",0,ROUND(D63*I77,0)))</f>
        <v>867</v>
      </c>
      <c r="E77" s="366" t="str">
        <f>IF(H77="非个人房产","——","销售额×税（费）率")</f>
        <v>销售额×税（费）率</v>
      </c>
      <c r="F77" s="367">
        <f>IF(H77="非个人房产","——",IF(H77="个人住宅","免征",I77))</f>
        <v>0.01</v>
      </c>
      <c r="G77" s="983" t="s">
        <v>417</v>
      </c>
      <c r="H77" s="362" t="s">
        <v>2888</v>
      </c>
      <c r="I77" s="368">
        <v>0.01</v>
      </c>
      <c r="J77" s="2035"/>
      <c r="K77" s="3429">
        <f>IF(AND(K75="",K76=""),4,IF(项目基本情况!K6="上海银行",K76+1,K75+1))</f>
        <v>5</v>
      </c>
      <c r="L77" s="3428" t="s">
        <v>2889</v>
      </c>
      <c r="M77" s="3083" t="s">
        <v>421</v>
      </c>
      <c r="N77" s="1301"/>
      <c r="O77" s="1302">
        <f ca="1">SUMIF(N72:N76,"&lt;9e307")</f>
        <v>53509</v>
      </c>
      <c r="P77" s="1303"/>
      <c r="Q77" s="3081" t="e">
        <f ca="1">O77/N69</f>
        <v>#VALUE!</v>
      </c>
      <c r="R77" s="2028"/>
      <c r="S77" s="2028"/>
      <c r="T77" s="2028"/>
      <c r="U77" s="2028"/>
      <c r="V77" s="2028"/>
    </row>
    <row r="78" spans="1:22" ht="12" customHeight="1">
      <c r="A78" s="1304"/>
      <c r="B78" s="310"/>
      <c r="C78" s="310"/>
      <c r="D78" s="310"/>
      <c r="E78" s="42"/>
      <c r="F78" s="42"/>
      <c r="G78" s="42"/>
      <c r="H78" s="1002"/>
      <c r="I78" s="310"/>
      <c r="J78" s="2035"/>
      <c r="K78" s="3429"/>
      <c r="L78" s="3428"/>
      <c r="M78" s="3083" t="s">
        <v>425</v>
      </c>
      <c r="N78" s="1301"/>
      <c r="O78" s="1302" t="str">
        <f ca="1">NUMBERSTRING(INT(O77*10000),2)&amp;"元整"</f>
        <v>伍亿叁仟伍佰零玖万元整</v>
      </c>
      <c r="P78" s="1303"/>
      <c r="Q78" s="2028"/>
      <c r="R78" s="2028"/>
      <c r="S78" s="2028"/>
      <c r="T78" s="2028"/>
      <c r="U78" s="2028"/>
      <c r="V78" s="2028"/>
    </row>
    <row r="79" spans="1:22" ht="13.5" thickBot="1">
      <c r="A79" s="3423" t="s">
        <v>427</v>
      </c>
      <c r="B79" s="3423"/>
      <c r="C79" s="3423"/>
      <c r="D79" s="3423"/>
      <c r="E79" s="3423"/>
      <c r="F79" s="42"/>
      <c r="G79" s="42"/>
      <c r="H79" s="1002"/>
      <c r="I79" s="310"/>
      <c r="J79" s="2035"/>
      <c r="K79" s="3449">
        <f>K77+1</f>
        <v>6</v>
      </c>
      <c r="L79" s="3428" t="s">
        <v>2890</v>
      </c>
      <c r="M79" s="3083" t="s">
        <v>421</v>
      </c>
      <c r="N79" s="1301"/>
      <c r="O79" s="1302" t="e">
        <f ca="1">N69-O77</f>
        <v>#VALUE!</v>
      </c>
      <c r="P79" s="1303"/>
      <c r="Q79" s="2028"/>
      <c r="R79" s="2028"/>
      <c r="S79" s="2028"/>
      <c r="T79" s="2028"/>
      <c r="U79" s="2028"/>
      <c r="V79" s="2028"/>
    </row>
    <row r="80" spans="1:22" ht="12.75">
      <c r="A80" s="3418" t="s">
        <v>428</v>
      </c>
      <c r="B80" s="3419"/>
      <c r="C80" s="993"/>
      <c r="D80" s="993" t="s">
        <v>429</v>
      </c>
      <c r="E80" s="369" t="s">
        <v>430</v>
      </c>
      <c r="F80" s="42"/>
      <c r="G80" s="42"/>
      <c r="H80" s="1002"/>
      <c r="I80" s="310"/>
      <c r="J80" s="2028"/>
      <c r="K80" s="3450"/>
      <c r="L80" s="3428"/>
      <c r="M80" s="3083" t="s">
        <v>425</v>
      </c>
      <c r="N80" s="1301"/>
      <c r="O80" s="1302" t="e">
        <f ca="1">NUMBERSTRING(INT(O79*10000),2)&amp;"元整"</f>
        <v>#VALUE!</v>
      </c>
      <c r="P80" s="1303"/>
      <c r="Q80" s="2028"/>
      <c r="R80" s="2028"/>
      <c r="S80" s="2028"/>
      <c r="T80" s="2028"/>
      <c r="U80" s="2028"/>
      <c r="V80" s="2028"/>
    </row>
    <row r="81" spans="1:26" ht="13.5" thickBot="1">
      <c r="A81" s="380" t="s">
        <v>1824</v>
      </c>
      <c r="B81" s="370" t="s">
        <v>431</v>
      </c>
      <c r="C81" s="371">
        <f ca="1">ROUND((C82+C83)/(1+'数据-取费表'!C42),0)</f>
        <v>82608</v>
      </c>
      <c r="D81" s="372"/>
      <c r="E81" s="373"/>
      <c r="F81" s="42"/>
      <c r="G81" s="42"/>
      <c r="H81" s="1002"/>
      <c r="I81" s="310"/>
      <c r="J81" s="2028"/>
      <c r="K81" s="3077">
        <f>K79+1</f>
        <v>7</v>
      </c>
      <c r="L81" s="3426" t="s">
        <v>2891</v>
      </c>
      <c r="M81" s="3427"/>
      <c r="N81" s="1305"/>
      <c r="O81" s="1306" t="e">
        <f ca="1">ROUND(O79*10000/'数据-汇总表'!E3,0)</f>
        <v>#VALUE!</v>
      </c>
      <c r="P81" s="1307"/>
      <c r="Q81" s="2028"/>
      <c r="R81" s="2028"/>
      <c r="S81" s="2028"/>
      <c r="T81" s="2028"/>
      <c r="U81" s="2028"/>
      <c r="V81" s="2028"/>
    </row>
    <row r="82" spans="1:26" ht="13.5" thickTop="1">
      <c r="A82" s="374" t="s">
        <v>1825</v>
      </c>
      <c r="B82" s="375" t="s">
        <v>432</v>
      </c>
      <c r="C82" s="376">
        <f ca="1">D63</f>
        <v>86738</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438" t="s">
        <v>2878</v>
      </c>
      <c r="L83" s="3089" t="s">
        <v>2879</v>
      </c>
      <c r="M83" s="3079" t="e">
        <f>IF(N69&gt;10000,N69*0.5%,IF(AND(N69&gt;1000,N69&lt;=10000),N69*1%,IF(AND(N69&gt;100,N69&lt;=1000),N69*3%,IF(AND(N69&gt;10,N69&lt;=100),N69*5%,N69*8%))))</f>
        <v>#VALUE!</v>
      </c>
      <c r="N83" s="53" t="e">
        <f>ROUND(M83,1)</f>
        <v>#VALUE!</v>
      </c>
      <c r="O83" s="3082"/>
      <c r="P83" s="2028"/>
      <c r="Q83" s="2028"/>
      <c r="R83" s="2028"/>
      <c r="S83" s="2028"/>
      <c r="T83" s="2028"/>
      <c r="U83" s="2028"/>
      <c r="V83" s="2028"/>
    </row>
    <row r="84" spans="1:26" ht="12.75">
      <c r="A84" s="380" t="s">
        <v>1827</v>
      </c>
      <c r="B84" s="381" t="s">
        <v>434</v>
      </c>
      <c r="C84" s="382">
        <v>2000</v>
      </c>
      <c r="D84" s="383" t="s">
        <v>19</v>
      </c>
      <c r="E84" s="3122" t="s">
        <v>2944</v>
      </c>
      <c r="F84" s="42"/>
      <c r="G84" s="42"/>
      <c r="H84" s="1002"/>
      <c r="I84" s="310"/>
      <c r="J84" s="2028"/>
      <c r="K84" s="3438"/>
      <c r="L84" s="3089" t="s">
        <v>2880</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2881</v>
      </c>
      <c r="P84" s="2028"/>
      <c r="Q84" s="2028"/>
      <c r="R84" s="2028"/>
      <c r="S84" s="2028"/>
      <c r="T84" s="2028"/>
      <c r="U84" s="2028"/>
      <c r="V84" s="2028"/>
    </row>
    <row r="85" spans="1:26" ht="12.75">
      <c r="A85" s="380" t="s">
        <v>1828</v>
      </c>
      <c r="B85" s="381" t="s">
        <v>435</v>
      </c>
      <c r="C85" s="384">
        <f ca="1">C81-C84</f>
        <v>80608</v>
      </c>
      <c r="D85" s="377" t="s">
        <v>19</v>
      </c>
      <c r="E85" s="378"/>
      <c r="F85" s="42"/>
      <c r="G85" s="42"/>
      <c r="H85" s="1002"/>
      <c r="I85" s="310"/>
      <c r="J85" s="2028"/>
      <c r="K85" s="3438"/>
      <c r="L85" s="3089" t="s">
        <v>2882</v>
      </c>
      <c r="M85" s="3079" t="e">
        <f>IF(N69&gt;1000,N69*0.1%,IF(AND(N69&gt;500,N69&lt;=1000),N69*0.5%,IF(AND(N69&gt;50,N69&lt;=500),N69*1%,IF(AND(N69&gt;1,N69&lt;=50),N69*1.5%))))</f>
        <v>#VALUE!</v>
      </c>
      <c r="N85" s="53" t="e">
        <f t="shared" si="2"/>
        <v>#VALUE!</v>
      </c>
      <c r="O85" s="2028" t="s">
        <v>2881</v>
      </c>
      <c r="P85" s="2028"/>
      <c r="Q85" s="2028"/>
      <c r="R85" s="2028"/>
      <c r="S85" s="2028"/>
      <c r="T85" s="2028"/>
      <c r="U85" s="2028"/>
      <c r="V85" s="2028"/>
    </row>
    <row r="86" spans="1:26" ht="13.5" thickBot="1">
      <c r="A86" s="385" t="s">
        <v>1829</v>
      </c>
      <c r="B86" s="386" t="s">
        <v>436</v>
      </c>
      <c r="C86" s="387">
        <f ca="1">IF(C85&lt;=0,0,ROUND(C85*D86,0))</f>
        <v>4514</v>
      </c>
      <c r="D86" s="388">
        <f>'数据-取费表'!B41</f>
        <v>5.6000000000000001E-2</v>
      </c>
      <c r="E86" s="389"/>
      <c r="F86" s="42"/>
      <c r="G86" s="42"/>
      <c r="H86" s="1002"/>
      <c r="I86" s="310"/>
      <c r="J86" s="2028"/>
      <c r="K86" s="3438"/>
      <c r="L86" s="3089" t="s">
        <v>2883</v>
      </c>
      <c r="M86" s="3079" t="e">
        <f>N69*0.5%</f>
        <v>#VALUE!</v>
      </c>
      <c r="N86" s="53" t="e">
        <f>IF(M86&gt;0.5,0.5,ROUND(M86,0))</f>
        <v>#VALUE!</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438"/>
      <c r="L87" s="3089" t="s">
        <v>2885</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8"/>
      <c r="R87" s="2028"/>
      <c r="S87" s="2028"/>
      <c r="T87" s="2028"/>
      <c r="U87" s="2028"/>
      <c r="V87" s="2028"/>
      <c r="W87" s="291"/>
      <c r="X87" s="291"/>
      <c r="Y87" s="291"/>
      <c r="Z87" s="291"/>
    </row>
    <row r="88" spans="1:26" s="1313" customFormat="1" ht="15" thickBot="1">
      <c r="A88" s="3420" t="s">
        <v>437</v>
      </c>
      <c r="B88" s="3421"/>
      <c r="C88" s="3421"/>
      <c r="D88" s="3421"/>
      <c r="E88" s="3421"/>
      <c r="F88" s="3421"/>
      <c r="G88" s="3421"/>
      <c r="H88" s="3421"/>
      <c r="I88" s="1314"/>
      <c r="J88" s="2036"/>
      <c r="K88" s="3438"/>
      <c r="L88" s="3089" t="s">
        <v>2886</v>
      </c>
      <c r="M88" s="3079" t="e">
        <f>IF(N69&gt;10000,N69*0.5%,IF(AND(N69&gt;5000,N69&lt;=10000),N69*1%,IF(AND(N69&gt;1000,N69&lt;=5000),N69*2%,IF(AND(N69&gt;200,N69&lt;=1000),N69*3%,N69*5%))))</f>
        <v>#VALUE!</v>
      </c>
      <c r="N88" s="53" t="e">
        <f>ROUND(M88,1)</f>
        <v>#VALUE!</v>
      </c>
      <c r="O88" s="3082"/>
      <c r="P88" s="11"/>
      <c r="Q88" s="2033"/>
      <c r="R88" s="2033"/>
      <c r="S88" s="2033"/>
      <c r="T88" s="2033"/>
      <c r="U88" s="2033"/>
      <c r="V88" s="2033"/>
      <c r="W88" s="2037"/>
      <c r="X88" s="2037"/>
      <c r="Y88" s="2037"/>
      <c r="Z88" s="2037"/>
    </row>
    <row r="89" spans="1:26" s="1313" customFormat="1" ht="14.25">
      <c r="A89" s="3418" t="s">
        <v>428</v>
      </c>
      <c r="B89" s="3419"/>
      <c r="C89" s="993"/>
      <c r="D89" s="993" t="s">
        <v>429</v>
      </c>
      <c r="E89" s="390" t="s">
        <v>438</v>
      </c>
      <c r="F89" s="391"/>
      <c r="G89" s="391"/>
      <c r="H89" s="392"/>
      <c r="I89" s="1315"/>
      <c r="J89" s="2038"/>
      <c r="K89" s="3438"/>
      <c r="L89" s="3089" t="s">
        <v>27</v>
      </c>
      <c r="M89" s="3080"/>
      <c r="N89" s="53" t="e">
        <f>ROUND(SUM(N83:N88),0)</f>
        <v>#VALUE!</v>
      </c>
      <c r="O89" s="3090" t="e">
        <f>N89/N69</f>
        <v>#VALUE!</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82608</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3057</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381" t="s">
        <v>447</v>
      </c>
      <c r="F94" s="3380"/>
      <c r="G94" s="3380"/>
      <c r="H94" s="341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2433</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496</v>
      </c>
      <c r="D96" s="405">
        <f>'数据-取费表'!B43</f>
        <v>6.000000000000001E-3</v>
      </c>
      <c r="E96" s="3409" t="s">
        <v>2432</v>
      </c>
      <c r="F96" s="3410"/>
      <c r="G96" s="3410"/>
      <c r="H96" s="341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1" t="s">
        <v>451</v>
      </c>
      <c r="C97" s="384">
        <f ca="1">C90-C91</f>
        <v>79551</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26.022571148184493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6" t="s">
        <v>453</v>
      </c>
      <c r="C99" s="407">
        <f ca="1">ROUND(IF(C97&lt;=0,0,IF(C98&gt;=200%,C97*60%-C91*35%,IF(C98&gt;=100%,C97*50%-C91*15%,IF(C98&gt;=50%,C97*40%-C91*5%,IF(C98&lt;50%,C97*30%,0))))),0)</f>
        <v>46661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420" t="s">
        <v>454</v>
      </c>
      <c r="B101" s="3421"/>
      <c r="C101" s="3421"/>
      <c r="D101" s="3421"/>
      <c r="E101" s="3421"/>
      <c r="F101" s="3421"/>
      <c r="G101" s="3421"/>
      <c r="H101" s="342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418" t="s">
        <v>428</v>
      </c>
      <c r="B102" s="3419"/>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82608</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1630</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1031</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1000</v>
      </c>
      <c r="D106" s="405"/>
      <c r="E106" s="416" t="s">
        <v>457</v>
      </c>
      <c r="F106" s="985"/>
      <c r="G106" s="417" t="s">
        <v>458</v>
      </c>
      <c r="H106" s="418"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31</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0</v>
      </c>
      <c r="D109" s="405"/>
      <c r="E109" s="3412" t="s">
        <v>462</v>
      </c>
      <c r="F109" s="3410"/>
      <c r="G109" s="3410"/>
      <c r="H109" s="1941" t="s">
        <v>2282</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103</v>
      </c>
      <c r="D110" s="405">
        <v>0.1</v>
      </c>
      <c r="E110" s="3412" t="s">
        <v>464</v>
      </c>
      <c r="F110" s="3410"/>
      <c r="G110" s="3410"/>
      <c r="H110" s="341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496</v>
      </c>
      <c r="D111" s="405">
        <f>'数据-取费表'!B43</f>
        <v>6.000000000000001E-3</v>
      </c>
      <c r="E111" s="3409" t="s">
        <v>2432</v>
      </c>
      <c r="F111" s="3410"/>
      <c r="G111" s="3410"/>
      <c r="H111" s="341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412" t="s">
        <v>2457</v>
      </c>
      <c r="F112" s="3410"/>
      <c r="G112" s="3410"/>
      <c r="H112" s="341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1" t="s">
        <v>451</v>
      </c>
      <c r="C113" s="384">
        <f ca="1">ROUND(C103-C104,0)</f>
        <v>80978</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49.679754601226996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6" t="s">
        <v>453</v>
      </c>
      <c r="C115" s="407">
        <f ca="1">ROUND(IF(C113&lt;=0,0,IF(C114&gt;=200%,C113*60%-C104*35%,IF(C114&gt;=100%,C113*50%-C104*15%,IF(C114&gt;=50%,C113*40%-C104*5%,IF(C114&lt;50%,C113*30%,0))))),0)</f>
        <v>48016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E7" sqref="E7:F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55113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3101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6823</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455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63" t="s">
        <v>522</v>
      </c>
      <c r="D6" s="3464"/>
      <c r="E6" s="3463" t="s">
        <v>523</v>
      </c>
      <c r="F6" s="3464"/>
      <c r="G6" s="3463" t="s">
        <v>524</v>
      </c>
      <c r="H6" s="3464"/>
      <c r="I6" s="3463" t="s">
        <v>525</v>
      </c>
      <c r="J6" s="3464"/>
      <c r="K6" s="513" t="s">
        <v>526</v>
      </c>
      <c r="L6" s="2133"/>
      <c r="M6" s="2132"/>
      <c r="N6" s="2132"/>
      <c r="O6" s="2134"/>
      <c r="P6" s="3465" t="s">
        <v>527</v>
      </c>
      <c r="Q6" s="3466"/>
      <c r="R6" s="3471" t="s">
        <v>523</v>
      </c>
      <c r="S6" s="3472"/>
      <c r="T6" s="3471" t="s">
        <v>524</v>
      </c>
      <c r="U6" s="3472"/>
      <c r="V6" s="3458" t="s">
        <v>525</v>
      </c>
      <c r="W6" s="3458"/>
      <c r="X6" s="1566"/>
      <c r="Y6" s="3471" t="s">
        <v>527</v>
      </c>
      <c r="Z6" s="3472"/>
      <c r="AA6" s="3460" t="s">
        <v>523</v>
      </c>
      <c r="AB6" s="3461" t="s">
        <v>524</v>
      </c>
      <c r="AC6" s="3460" t="s">
        <v>525</v>
      </c>
    </row>
    <row r="7" spans="1:30" ht="20.25">
      <c r="A7" s="514"/>
      <c r="B7" s="515"/>
      <c r="C7" s="3481" t="s">
        <v>3160</v>
      </c>
      <c r="D7" s="3480"/>
      <c r="E7" s="3479" t="str">
        <f>土地案例!A1</f>
        <v>宁波电商园区核心区前洋E镇南侧</v>
      </c>
      <c r="F7" s="3480"/>
      <c r="G7" s="3479" t="str">
        <f>土地案例!A2</f>
        <v>梅山保税港区41#地块</v>
      </c>
      <c r="H7" s="3480"/>
      <c r="I7" s="3479" t="str">
        <f>土地案例!A3</f>
        <v>大碶宝山路南、规划二路西地块</v>
      </c>
      <c r="J7" s="3480"/>
      <c r="K7" s="513"/>
      <c r="L7" s="2133"/>
      <c r="M7" s="2132"/>
      <c r="N7" s="2132"/>
      <c r="O7" s="2134"/>
      <c r="P7" s="3467"/>
      <c r="Q7" s="3468"/>
      <c r="R7" s="3473"/>
      <c r="S7" s="3474"/>
      <c r="T7" s="3473"/>
      <c r="U7" s="3474"/>
      <c r="V7" s="3458"/>
      <c r="W7" s="3458"/>
      <c r="X7" s="1566"/>
      <c r="Y7" s="3473"/>
      <c r="Z7" s="3474"/>
      <c r="AA7" s="3461"/>
      <c r="AB7" s="3461"/>
      <c r="AC7" s="3461"/>
    </row>
    <row r="8" spans="1:30" ht="21" thickBot="1">
      <c r="A8" s="514"/>
      <c r="B8" s="515"/>
      <c r="C8" s="3482" t="s">
        <v>2935</v>
      </c>
      <c r="D8" s="3478"/>
      <c r="E8" s="3477" t="s">
        <v>3161</v>
      </c>
      <c r="F8" s="3478"/>
      <c r="G8" s="3477" t="s">
        <v>3161</v>
      </c>
      <c r="H8" s="3478"/>
      <c r="I8" s="3477" t="s">
        <v>3161</v>
      </c>
      <c r="J8" s="3478"/>
      <c r="K8" s="513" t="s">
        <v>528</v>
      </c>
      <c r="L8" s="2133"/>
      <c r="M8" s="2132"/>
      <c r="N8" s="2132"/>
      <c r="O8" s="2134"/>
      <c r="P8" s="3469"/>
      <c r="Q8" s="3470"/>
      <c r="R8" s="3473"/>
      <c r="S8" s="3474"/>
      <c r="T8" s="3475"/>
      <c r="U8" s="3476"/>
      <c r="V8" s="3458"/>
      <c r="W8" s="3458"/>
      <c r="X8" s="1566"/>
      <c r="Y8" s="3475"/>
      <c r="Z8" s="3476"/>
      <c r="AA8" s="3462"/>
      <c r="AB8" s="3462"/>
      <c r="AC8" s="3462"/>
    </row>
    <row r="9" spans="1:30" s="1219" customFormat="1" ht="21" thickBot="1">
      <c r="A9" s="2935"/>
      <c r="B9" s="2942" t="s">
        <v>529</v>
      </c>
      <c r="C9" s="2934">
        <f>'数据-取费表'!B2</f>
        <v>43209</v>
      </c>
      <c r="D9" s="519">
        <v>100</v>
      </c>
      <c r="E9" s="520" t="str">
        <f>土地案例!AA1</f>
        <v>2018-01-29</v>
      </c>
      <c r="F9" s="521">
        <f>SUMIF(72:72,YEAR(E9)&amp;"-"&amp;INT((MONTH(E9)+2)/3),73:73)</f>
        <v>99.5</v>
      </c>
      <c r="G9" s="522" t="str">
        <f>土地案例!AA2</f>
        <v>2017-06-07</v>
      </c>
      <c r="H9" s="519">
        <f>SUMIF(72:72,YEAR(G9)&amp;"-"&amp;INT((MONTH(G9)+2)/3),73:73)</f>
        <v>98</v>
      </c>
      <c r="I9" s="522" t="str">
        <f>土地案例!AA3</f>
        <v>2017-06-07</v>
      </c>
      <c r="J9" s="519">
        <f>SUMIF(72:72,YEAR(I9)&amp;"-"&amp;INT((MONTH(I9)+2)/3),73:73)</f>
        <v>98</v>
      </c>
      <c r="K9" s="523"/>
      <c r="L9" s="2135"/>
      <c r="M9" s="2132"/>
      <c r="N9" s="2132"/>
      <c r="O9" s="2136"/>
      <c r="P9" s="3488" t="s">
        <v>530</v>
      </c>
      <c r="Q9" s="3490"/>
      <c r="R9" s="1567" t="s">
        <v>8</v>
      </c>
      <c r="S9" s="1568">
        <f t="shared" ref="S9:S17" si="0">F9</f>
        <v>99.5</v>
      </c>
      <c r="T9" s="1567" t="s">
        <v>8</v>
      </c>
      <c r="U9" s="1568">
        <f t="shared" ref="U9:U17" si="1">H9</f>
        <v>98</v>
      </c>
      <c r="V9" s="1567" t="s">
        <v>8</v>
      </c>
      <c r="W9" s="1568">
        <f t="shared" ref="W9:W17" si="2">J9</f>
        <v>98</v>
      </c>
      <c r="X9" s="1569"/>
      <c r="Y9" s="3488" t="s">
        <v>530</v>
      </c>
      <c r="Z9" s="3489"/>
      <c r="AA9" s="1570">
        <f>D9/F9</f>
        <v>1.0050251256281406</v>
      </c>
      <c r="AB9" s="1570">
        <f>D9/H9</f>
        <v>1.0204081632653061</v>
      </c>
      <c r="AC9" s="1570">
        <f>D9/J9</f>
        <v>1.0204081632653061</v>
      </c>
    </row>
    <row r="10" spans="1:30" s="1219" customFormat="1" ht="21" thickBot="1">
      <c r="A10" s="2936"/>
      <c r="B10" s="2943"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488" t="s">
        <v>533</v>
      </c>
      <c r="Q10" s="3489"/>
      <c r="R10" s="1567" t="s">
        <v>8</v>
      </c>
      <c r="S10" s="1568">
        <f t="shared" si="0"/>
        <v>100</v>
      </c>
      <c r="T10" s="1567" t="s">
        <v>8</v>
      </c>
      <c r="U10" s="1568">
        <f t="shared" si="1"/>
        <v>100</v>
      </c>
      <c r="V10" s="1567" t="s">
        <v>8</v>
      </c>
      <c r="W10" s="1568">
        <f t="shared" si="2"/>
        <v>100</v>
      </c>
      <c r="X10" s="1569"/>
      <c r="Y10" s="3488" t="s">
        <v>533</v>
      </c>
      <c r="Z10" s="3489"/>
      <c r="AA10" s="1570">
        <f t="shared" ref="AA10:AA47" si="3">D10/F10</f>
        <v>1</v>
      </c>
      <c r="AB10" s="1570">
        <f t="shared" ref="AB10:AB47" si="4">D10/H10</f>
        <v>1</v>
      </c>
      <c r="AC10" s="1570">
        <f t="shared" ref="AC10:AC47" si="5">D10/J10</f>
        <v>1</v>
      </c>
    </row>
    <row r="11" spans="1:30" s="1219" customFormat="1" ht="20.25">
      <c r="A11" s="2937"/>
      <c r="B11" s="2944" t="s">
        <v>2760</v>
      </c>
      <c r="C11" s="3190" t="s">
        <v>3162</v>
      </c>
      <c r="D11" s="253">
        <v>100</v>
      </c>
      <c r="E11" s="3190" t="s">
        <v>3162</v>
      </c>
      <c r="F11" s="253">
        <f>SUMIF(77:77,E11,78:78)-SUMIF(77:77,C11,78:78)+100</f>
        <v>100</v>
      </c>
      <c r="G11" s="3190" t="s">
        <v>3162</v>
      </c>
      <c r="H11" s="253">
        <f>SUMIF(77:77,G11,78:78)-SUMIF(77:77,C11,78:78)+100</f>
        <v>100</v>
      </c>
      <c r="I11" s="3190" t="s">
        <v>3162</v>
      </c>
      <c r="J11" s="253">
        <f>SUMIF(77:77,I11,78:78)-SUMIF(77:77,C11,78:78)+100</f>
        <v>100</v>
      </c>
      <c r="K11" s="523"/>
      <c r="L11" s="2135"/>
      <c r="M11" s="2132"/>
      <c r="N11" s="2132"/>
      <c r="O11" s="2137"/>
      <c r="P11" s="3457" t="s">
        <v>535</v>
      </c>
      <c r="Q11" s="1150" t="str">
        <f t="shared" ref="Q11:Q17" si="6">B11</f>
        <v>用途</v>
      </c>
      <c r="R11" s="1567" t="s">
        <v>8</v>
      </c>
      <c r="S11" s="1568">
        <f t="shared" si="0"/>
        <v>100</v>
      </c>
      <c r="T11" s="1567" t="s">
        <v>8</v>
      </c>
      <c r="U11" s="1568">
        <f t="shared" si="1"/>
        <v>100</v>
      </c>
      <c r="V11" s="1567" t="s">
        <v>8</v>
      </c>
      <c r="W11" s="1568">
        <f t="shared" si="2"/>
        <v>100</v>
      </c>
      <c r="X11" s="1569"/>
      <c r="Y11" s="3403" t="s">
        <v>536</v>
      </c>
      <c r="Z11" s="1149" t="str">
        <f t="shared" ref="Z11:Z17" si="7">Q11</f>
        <v>用途</v>
      </c>
      <c r="AA11" s="1570">
        <f t="shared" si="3"/>
        <v>1</v>
      </c>
      <c r="AB11" s="1570">
        <f t="shared" si="4"/>
        <v>1</v>
      </c>
      <c r="AC11" s="1570">
        <f t="shared" si="5"/>
        <v>1</v>
      </c>
    </row>
    <row r="12" spans="1:30" s="1337" customFormat="1" ht="27">
      <c r="A12" s="2938"/>
      <c r="B12" s="2943" t="s">
        <v>2761</v>
      </c>
      <c r="C12" s="909">
        <v>70</v>
      </c>
      <c r="D12" s="254">
        <v>100</v>
      </c>
      <c r="E12" s="528" t="s">
        <v>3163</v>
      </c>
      <c r="F12" s="254">
        <f>ROUND(100/'数据-取费表'!G16,0)</f>
        <v>100</v>
      </c>
      <c r="G12" s="529" t="s">
        <v>3163</v>
      </c>
      <c r="H12" s="254">
        <f>ROUND(100/'数据-取费表'!G16,0)</f>
        <v>100</v>
      </c>
      <c r="I12" s="529" t="s">
        <v>3163</v>
      </c>
      <c r="J12" s="254">
        <f>ROUND(100/'数据-取费表'!G16,0)</f>
        <v>100</v>
      </c>
      <c r="K12" s="530"/>
      <c r="L12" s="2138"/>
      <c r="M12" s="2132"/>
      <c r="N12" s="2132"/>
      <c r="O12" s="2139"/>
      <c r="P12" s="3457"/>
      <c r="Q12" s="1150" t="str">
        <f t="shared" si="6"/>
        <v>土地使用年限（年）</v>
      </c>
      <c r="R12" s="1567" t="s">
        <v>8</v>
      </c>
      <c r="S12" s="1568">
        <f t="shared" si="0"/>
        <v>100</v>
      </c>
      <c r="T12" s="1567" t="s">
        <v>8</v>
      </c>
      <c r="U12" s="1568">
        <f t="shared" si="1"/>
        <v>100</v>
      </c>
      <c r="V12" s="1567" t="s">
        <v>8</v>
      </c>
      <c r="W12" s="1568">
        <f t="shared" si="2"/>
        <v>100</v>
      </c>
      <c r="X12" s="1569"/>
      <c r="Y12" s="3403"/>
      <c r="Z12" s="1149" t="str">
        <f t="shared" si="7"/>
        <v>土地使用年限（年）</v>
      </c>
      <c r="AA12" s="1570">
        <f t="shared" si="3"/>
        <v>1</v>
      </c>
      <c r="AB12" s="1570">
        <f t="shared" si="4"/>
        <v>1</v>
      </c>
      <c r="AC12" s="1570">
        <f t="shared" si="5"/>
        <v>1</v>
      </c>
    </row>
    <row r="13" spans="1:30" ht="20.25">
      <c r="A13" s="2939"/>
      <c r="B13" s="2943" t="s">
        <v>2762</v>
      </c>
      <c r="C13" s="533">
        <f>'数据-汇总表'!I7</f>
        <v>2.2000000000000002</v>
      </c>
      <c r="D13" s="254">
        <v>100</v>
      </c>
      <c r="E13" s="532">
        <f>土地案例!L1</f>
        <v>1.5</v>
      </c>
      <c r="F13" s="254">
        <f>LOOKUP(E13,82:82,83:83)-LOOKUP(C13,82:82,83:83)+100</f>
        <v>100</v>
      </c>
      <c r="G13" s="533">
        <f>土地案例!L2</f>
        <v>2.1</v>
      </c>
      <c r="H13" s="254">
        <f>LOOKUP(G13,82:82,83:83)-LOOKUP(C13,82:82,83:83)+100</f>
        <v>100</v>
      </c>
      <c r="I13" s="532">
        <f>土地案例!L3</f>
        <v>2.21</v>
      </c>
      <c r="J13" s="254">
        <f>LOOKUP(I13,82:82,83:83)-LOOKUP(C13,82:82,83:83)+100</f>
        <v>100</v>
      </c>
      <c r="K13" s="534"/>
      <c r="L13" s="2140"/>
      <c r="M13" s="2132"/>
      <c r="N13" s="2132"/>
      <c r="O13" s="2141"/>
      <c r="P13" s="3457"/>
      <c r="Q13" s="1150" t="str">
        <f t="shared" si="6"/>
        <v>容积率</v>
      </c>
      <c r="R13" s="1567" t="s">
        <v>8</v>
      </c>
      <c r="S13" s="1568">
        <f t="shared" si="0"/>
        <v>100</v>
      </c>
      <c r="T13" s="1567" t="s">
        <v>8</v>
      </c>
      <c r="U13" s="1568">
        <f t="shared" si="1"/>
        <v>100</v>
      </c>
      <c r="V13" s="1567" t="s">
        <v>8</v>
      </c>
      <c r="W13" s="1568">
        <f t="shared" si="2"/>
        <v>100</v>
      </c>
      <c r="X13" s="1569"/>
      <c r="Y13" s="3403"/>
      <c r="Z13" s="1149" t="str">
        <f t="shared" si="7"/>
        <v>容积率</v>
      </c>
      <c r="AA13" s="1570">
        <f t="shared" si="3"/>
        <v>1</v>
      </c>
      <c r="AB13" s="1570">
        <f t="shared" si="4"/>
        <v>1</v>
      </c>
      <c r="AC13" s="1570">
        <f t="shared" si="5"/>
        <v>1</v>
      </c>
    </row>
    <row r="14" spans="1:30" s="1219" customFormat="1" ht="21" thickBot="1">
      <c r="A14" s="2936"/>
      <c r="B14" s="2945" t="s">
        <v>2763</v>
      </c>
      <c r="C14" s="2932" t="s">
        <v>3164</v>
      </c>
      <c r="D14" s="537">
        <v>100</v>
      </c>
      <c r="E14" s="2932" t="s">
        <v>3164</v>
      </c>
      <c r="F14" s="254">
        <f>SUMIF(84:84,E14,85:85)-SUMIF(84:84,C14,85:85)+100</f>
        <v>100</v>
      </c>
      <c r="G14" s="2932" t="s">
        <v>3164</v>
      </c>
      <c r="H14" s="254">
        <f>SUMIF(84:84,G14,85:85)-SUMIF(84:84,C14,85:85)+100</f>
        <v>100</v>
      </c>
      <c r="I14" s="2932" t="s">
        <v>3164</v>
      </c>
      <c r="J14" s="254">
        <f>SUMIF(84:84,I14,85:85)-SUMIF(84:84,C14,85:85)+100</f>
        <v>100</v>
      </c>
      <c r="K14" s="530"/>
      <c r="L14" s="2135"/>
      <c r="M14" s="2132"/>
      <c r="N14" s="2132"/>
      <c r="O14" s="2137"/>
      <c r="P14" s="3457"/>
      <c r="Q14" s="1150" t="str">
        <f t="shared" si="6"/>
        <v>配建</v>
      </c>
      <c r="R14" s="1567" t="s">
        <v>8</v>
      </c>
      <c r="S14" s="1568">
        <f t="shared" si="0"/>
        <v>100</v>
      </c>
      <c r="T14" s="1567" t="s">
        <v>8</v>
      </c>
      <c r="U14" s="1568">
        <f t="shared" si="1"/>
        <v>100</v>
      </c>
      <c r="V14" s="1567" t="s">
        <v>8</v>
      </c>
      <c r="W14" s="1568">
        <f t="shared" si="2"/>
        <v>100</v>
      </c>
      <c r="X14" s="1569"/>
      <c r="Y14" s="3403"/>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57"/>
      <c r="Q15" s="1150">
        <f t="shared" si="6"/>
        <v>111</v>
      </c>
      <c r="R15" s="1567" t="s">
        <v>8</v>
      </c>
      <c r="S15" s="1568">
        <f t="shared" si="0"/>
        <v>100</v>
      </c>
      <c r="T15" s="1567" t="s">
        <v>8</v>
      </c>
      <c r="U15" s="1568">
        <f t="shared" si="1"/>
        <v>100</v>
      </c>
      <c r="V15" s="1567" t="s">
        <v>8</v>
      </c>
      <c r="W15" s="1568">
        <f t="shared" si="2"/>
        <v>100</v>
      </c>
      <c r="X15" s="1569"/>
      <c r="Y15" s="3403"/>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57"/>
      <c r="Q16" s="1150">
        <f t="shared" si="6"/>
        <v>111</v>
      </c>
      <c r="R16" s="1567" t="s">
        <v>8</v>
      </c>
      <c r="S16" s="1568">
        <f t="shared" si="0"/>
        <v>100</v>
      </c>
      <c r="T16" s="1567" t="s">
        <v>8</v>
      </c>
      <c r="U16" s="1568">
        <f t="shared" si="1"/>
        <v>100</v>
      </c>
      <c r="V16" s="1567" t="s">
        <v>8</v>
      </c>
      <c r="W16" s="1568">
        <f t="shared" si="2"/>
        <v>100</v>
      </c>
      <c r="X16" s="1569"/>
      <c r="Y16" s="3403"/>
      <c r="Z16" s="1149">
        <f t="shared" si="7"/>
        <v>111</v>
      </c>
      <c r="AA16" s="1570">
        <f>D16/F16</f>
        <v>1</v>
      </c>
      <c r="AB16" s="1570">
        <f>D16/H16</f>
        <v>1</v>
      </c>
      <c r="AC16" s="1570">
        <f>D16/J16</f>
        <v>1</v>
      </c>
    </row>
    <row r="17" spans="1:29" ht="20.25">
      <c r="A17" s="2933" t="s">
        <v>2758</v>
      </c>
      <c r="B17" s="577" t="s">
        <v>295</v>
      </c>
      <c r="C17" s="547" t="str">
        <f>估价对象房地状况!C15</f>
        <v>较好</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91" t="s">
        <v>540</v>
      </c>
      <c r="Q17" s="1571" t="str">
        <f t="shared" si="6"/>
        <v>居住社区成熟度</v>
      </c>
      <c r="R17" s="1572" t="s">
        <v>8</v>
      </c>
      <c r="S17" s="1573">
        <f t="shared" si="0"/>
        <v>100</v>
      </c>
      <c r="T17" s="1572" t="s">
        <v>8</v>
      </c>
      <c r="U17" s="1573">
        <f t="shared" si="1"/>
        <v>100</v>
      </c>
      <c r="V17" s="1572" t="s">
        <v>8</v>
      </c>
      <c r="W17" s="1573">
        <f t="shared" si="2"/>
        <v>100</v>
      </c>
      <c r="X17" s="1566"/>
      <c r="Y17" s="3491" t="s">
        <v>540</v>
      </c>
      <c r="Z17" s="1574" t="str">
        <f t="shared" si="7"/>
        <v>居住社区成熟度</v>
      </c>
      <c r="AA17" s="1575">
        <f t="shared" si="3"/>
        <v>1</v>
      </c>
      <c r="AB17" s="1575">
        <f t="shared" si="4"/>
        <v>1</v>
      </c>
      <c r="AC17" s="1575">
        <f t="shared" si="5"/>
        <v>1</v>
      </c>
    </row>
    <row r="18" spans="1:29" ht="20.25">
      <c r="A18" s="531"/>
      <c r="B18" s="552"/>
      <c r="C18" s="553" t="s">
        <v>2991</v>
      </c>
      <c r="D18" s="556"/>
      <c r="E18" s="553" t="s">
        <v>2991</v>
      </c>
      <c r="F18" s="554"/>
      <c r="G18" s="553" t="s">
        <v>2991</v>
      </c>
      <c r="H18" s="558"/>
      <c r="I18" s="553" t="s">
        <v>2991</v>
      </c>
      <c r="J18" s="554"/>
      <c r="K18" s="530"/>
      <c r="L18" s="2142"/>
      <c r="M18" s="2132"/>
      <c r="N18" s="2132"/>
      <c r="O18" s="2141"/>
      <c r="P18" s="3492"/>
      <c r="Q18" s="1571"/>
      <c r="R18" s="1572"/>
      <c r="S18" s="1573"/>
      <c r="T18" s="1572"/>
      <c r="U18" s="1573"/>
      <c r="V18" s="1572"/>
      <c r="W18" s="1573"/>
      <c r="X18" s="1566"/>
      <c r="Y18" s="3492"/>
      <c r="Z18" s="1574"/>
      <c r="AA18" s="1575">
        <v>1</v>
      </c>
      <c r="AB18" s="1575">
        <v>1</v>
      </c>
      <c r="AC18" s="1575">
        <v>1</v>
      </c>
    </row>
    <row r="19" spans="1:29" ht="20.25" hidden="1">
      <c r="A19" s="531"/>
      <c r="B19" s="559" t="s">
        <v>541</v>
      </c>
      <c r="C19" s="560" t="str">
        <f>估价对象房地状况!C16</f>
        <v xml:space="preserve"> </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492"/>
      <c r="Q19" s="1571" t="str">
        <f>B19</f>
        <v>商业繁华度</v>
      </c>
      <c r="R19" s="1572" t="s">
        <v>8</v>
      </c>
      <c r="S19" s="1573">
        <f>F19</f>
        <v>100</v>
      </c>
      <c r="T19" s="1572" t="s">
        <v>8</v>
      </c>
      <c r="U19" s="1573">
        <f>H19</f>
        <v>100</v>
      </c>
      <c r="V19" s="1572" t="s">
        <v>8</v>
      </c>
      <c r="W19" s="1573">
        <f>J19</f>
        <v>100</v>
      </c>
      <c r="X19" s="1566"/>
      <c r="Y19" s="3492"/>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2"/>
      <c r="M20" s="2132"/>
      <c r="N20" s="2132"/>
      <c r="O20" s="2141"/>
      <c r="P20" s="3492"/>
      <c r="Q20" s="1571"/>
      <c r="R20" s="1572"/>
      <c r="S20" s="1573"/>
      <c r="T20" s="1572"/>
      <c r="U20" s="1573"/>
      <c r="V20" s="1572"/>
      <c r="W20" s="1573"/>
      <c r="X20" s="1566"/>
      <c r="Y20" s="3492"/>
      <c r="Z20" s="1574"/>
      <c r="AA20" s="1575">
        <v>1</v>
      </c>
      <c r="AB20" s="1575">
        <v>1</v>
      </c>
      <c r="AC20" s="1575">
        <v>1</v>
      </c>
    </row>
    <row r="21" spans="1:29" ht="20.25" hidden="1">
      <c r="A21" s="531"/>
      <c r="B21" s="559" t="s">
        <v>542</v>
      </c>
      <c r="C21" s="560" t="str">
        <f>估价对象房地状况!C17</f>
        <v xml:space="preserve"> </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92"/>
      <c r="Q21" s="1571" t="str">
        <f>B21</f>
        <v>办公集聚程度</v>
      </c>
      <c r="R21" s="1572" t="s">
        <v>8</v>
      </c>
      <c r="S21" s="1573">
        <f>F21</f>
        <v>100</v>
      </c>
      <c r="T21" s="1572" t="s">
        <v>8</v>
      </c>
      <c r="U21" s="1573">
        <f>H21</f>
        <v>100</v>
      </c>
      <c r="V21" s="1572" t="s">
        <v>8</v>
      </c>
      <c r="W21" s="1573">
        <f>J21</f>
        <v>100</v>
      </c>
      <c r="X21" s="1566"/>
      <c r="Y21" s="3492"/>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92"/>
      <c r="Q22" s="1571"/>
      <c r="R22" s="1572"/>
      <c r="S22" s="1573"/>
      <c r="T22" s="1572"/>
      <c r="U22" s="1573"/>
      <c r="V22" s="1572"/>
      <c r="W22" s="1573"/>
      <c r="X22" s="1566"/>
      <c r="Y22" s="3492"/>
      <c r="Z22" s="1574"/>
      <c r="AA22" s="1575">
        <v>1</v>
      </c>
      <c r="AB22" s="1575">
        <v>1</v>
      </c>
      <c r="AC22" s="1575">
        <v>1</v>
      </c>
    </row>
    <row r="23" spans="1:29" ht="20.25">
      <c r="A23" s="531"/>
      <c r="B23" s="559" t="s">
        <v>543</v>
      </c>
      <c r="C23" s="572" t="str">
        <f>估价对象房地状况!C18</f>
        <v>较好</v>
      </c>
      <c r="D23" s="562">
        <v>100</v>
      </c>
      <c r="E23" s="563"/>
      <c r="F23" s="564">
        <f>SUMIF(96:96,E24,97:97)-SUMIF(96:96,C24,97:97)+100</f>
        <v>100</v>
      </c>
      <c r="G23" s="561"/>
      <c r="H23" s="558">
        <f>SUMIF(96:96,G24,97:97)-SUMIF(96:96,C24,97:97)+100</f>
        <v>100</v>
      </c>
      <c r="I23" s="563"/>
      <c r="J23" s="558">
        <f>SUMIF(96:96,I24,97:97)-SUMIF(96:96,C24,97:97)+100</f>
        <v>100</v>
      </c>
      <c r="K23" s="534"/>
      <c r="L23" s="2142"/>
      <c r="M23" s="2132"/>
      <c r="N23" s="2132"/>
      <c r="O23" s="2141"/>
      <c r="P23" s="3492"/>
      <c r="Q23" s="1571" t="str">
        <f>B23</f>
        <v>交通便捷度</v>
      </c>
      <c r="R23" s="1572" t="s">
        <v>8</v>
      </c>
      <c r="S23" s="1573">
        <f>F23</f>
        <v>100</v>
      </c>
      <c r="T23" s="1572" t="s">
        <v>8</v>
      </c>
      <c r="U23" s="1573">
        <f>H23</f>
        <v>100</v>
      </c>
      <c r="V23" s="1572" t="s">
        <v>8</v>
      </c>
      <c r="W23" s="1573">
        <f>J23</f>
        <v>100</v>
      </c>
      <c r="X23" s="1566"/>
      <c r="Y23" s="3492"/>
      <c r="Z23" s="1574" t="str">
        <f>Q23</f>
        <v>交通便捷度</v>
      </c>
      <c r="AA23" s="1575">
        <f t="shared" si="3"/>
        <v>1</v>
      </c>
      <c r="AB23" s="1575">
        <f t="shared" si="4"/>
        <v>1</v>
      </c>
      <c r="AC23" s="1575">
        <f t="shared" si="5"/>
        <v>1</v>
      </c>
    </row>
    <row r="24" spans="1:29" ht="20.25">
      <c r="A24" s="531"/>
      <c r="B24" s="577"/>
      <c r="C24" s="553" t="s">
        <v>2991</v>
      </c>
      <c r="D24" s="556"/>
      <c r="E24" s="553" t="s">
        <v>2991</v>
      </c>
      <c r="F24" s="554"/>
      <c r="G24" s="553" t="s">
        <v>2991</v>
      </c>
      <c r="H24" s="554"/>
      <c r="I24" s="553" t="s">
        <v>2991</v>
      </c>
      <c r="J24" s="554"/>
      <c r="K24" s="530"/>
      <c r="L24" s="2142"/>
      <c r="M24" s="2132"/>
      <c r="N24" s="2132"/>
      <c r="O24" s="2141"/>
      <c r="P24" s="3492"/>
      <c r="Q24" s="1571"/>
      <c r="R24" s="1572"/>
      <c r="S24" s="1573"/>
      <c r="T24" s="1572"/>
      <c r="U24" s="1573"/>
      <c r="V24" s="1572"/>
      <c r="W24" s="1573"/>
      <c r="X24" s="1566"/>
      <c r="Y24" s="3492"/>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2"/>
      <c r="M25" s="2132"/>
      <c r="N25" s="2132"/>
      <c r="O25" s="2141"/>
      <c r="P25" s="3492"/>
      <c r="Q25" s="1571" t="str">
        <f t="shared" ref="Q25:Q39" si="8">B25</f>
        <v>区域土地利用方向</v>
      </c>
      <c r="R25" s="1572" t="s">
        <v>8</v>
      </c>
      <c r="S25" s="1573">
        <f>F25</f>
        <v>100</v>
      </c>
      <c r="T25" s="1572" t="s">
        <v>8</v>
      </c>
      <c r="U25" s="1573">
        <f>H25</f>
        <v>100</v>
      </c>
      <c r="V25" s="1572" t="s">
        <v>8</v>
      </c>
      <c r="W25" s="1573">
        <f>J25</f>
        <v>100</v>
      </c>
      <c r="X25" s="1566"/>
      <c r="Y25" s="3492"/>
      <c r="Z25" s="1574" t="str">
        <f>Q25</f>
        <v>区域土地利用方向</v>
      </c>
      <c r="AA25" s="1575">
        <f t="shared" si="3"/>
        <v>1</v>
      </c>
      <c r="AB25" s="1575">
        <f t="shared" si="4"/>
        <v>1</v>
      </c>
      <c r="AC25" s="1575">
        <f t="shared" si="5"/>
        <v>1</v>
      </c>
    </row>
    <row r="26" spans="1:29" ht="20.25">
      <c r="A26" s="514"/>
      <c r="B26" s="1006"/>
      <c r="C26" s="553" t="s">
        <v>2991</v>
      </c>
      <c r="D26" s="556"/>
      <c r="E26" s="553" t="s">
        <v>2991</v>
      </c>
      <c r="F26" s="554"/>
      <c r="G26" s="553" t="s">
        <v>2991</v>
      </c>
      <c r="H26" s="554"/>
      <c r="I26" s="553" t="s">
        <v>2991</v>
      </c>
      <c r="J26" s="554"/>
      <c r="K26" s="530"/>
      <c r="L26" s="2142"/>
      <c r="M26" s="2132"/>
      <c r="N26" s="2132"/>
      <c r="O26" s="2141"/>
      <c r="P26" s="3492"/>
      <c r="Q26" s="1571"/>
      <c r="R26" s="1572"/>
      <c r="S26" s="1573"/>
      <c r="T26" s="1572"/>
      <c r="U26" s="1573"/>
      <c r="V26" s="1572"/>
      <c r="W26" s="1573"/>
      <c r="X26" s="1566"/>
      <c r="Y26" s="3492"/>
      <c r="Z26" s="1574"/>
      <c r="AA26" s="1575"/>
      <c r="AB26" s="1575"/>
      <c r="AC26" s="1575"/>
    </row>
    <row r="27" spans="1:29" ht="27">
      <c r="A27" s="514"/>
      <c r="B27" s="577" t="s">
        <v>545</v>
      </c>
      <c r="C27" s="560" t="str">
        <f>估价对象房地状况!C20</f>
        <v>较好</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2"/>
      <c r="M27" s="2132"/>
      <c r="N27" s="2132"/>
      <c r="O27" s="2141"/>
      <c r="P27" s="3492"/>
      <c r="Q27" s="1571" t="str">
        <f t="shared" si="8"/>
        <v>自然及人文环境状况</v>
      </c>
      <c r="R27" s="1572" t="s">
        <v>8</v>
      </c>
      <c r="S27" s="1573">
        <f>F27</f>
        <v>100</v>
      </c>
      <c r="T27" s="1572" t="s">
        <v>8</v>
      </c>
      <c r="U27" s="1573">
        <f>H27</f>
        <v>100</v>
      </c>
      <c r="V27" s="1572" t="s">
        <v>8</v>
      </c>
      <c r="W27" s="1573">
        <f>J27</f>
        <v>100</v>
      </c>
      <c r="X27" s="1566"/>
      <c r="Y27" s="3492"/>
      <c r="Z27" s="1574" t="str">
        <f>Q27</f>
        <v>自然及人文环境状况</v>
      </c>
      <c r="AA27" s="1575">
        <f t="shared" si="3"/>
        <v>1</v>
      </c>
      <c r="AB27" s="1575">
        <f t="shared" si="4"/>
        <v>1</v>
      </c>
      <c r="AC27" s="1575">
        <f t="shared" si="5"/>
        <v>1</v>
      </c>
    </row>
    <row r="28" spans="1:29" ht="20.25">
      <c r="A28" s="514"/>
      <c r="B28" s="565"/>
      <c r="C28" s="553" t="s">
        <v>2991</v>
      </c>
      <c r="D28" s="556"/>
      <c r="E28" s="553" t="s">
        <v>2991</v>
      </c>
      <c r="F28" s="554"/>
      <c r="G28" s="553" t="s">
        <v>2991</v>
      </c>
      <c r="H28" s="554"/>
      <c r="I28" s="553" t="s">
        <v>2991</v>
      </c>
      <c r="J28" s="554"/>
      <c r="K28" s="530"/>
      <c r="L28" s="2142"/>
      <c r="M28" s="2132"/>
      <c r="N28" s="2132"/>
      <c r="O28" s="2141"/>
      <c r="P28" s="3492"/>
      <c r="Q28" s="1571"/>
      <c r="R28" s="1572"/>
      <c r="S28" s="1573"/>
      <c r="T28" s="1572"/>
      <c r="U28" s="1573"/>
      <c r="V28" s="1572"/>
      <c r="W28" s="1573"/>
      <c r="X28" s="1566"/>
      <c r="Y28" s="3492"/>
      <c r="Z28" s="1574"/>
      <c r="AA28" s="1575">
        <v>1</v>
      </c>
      <c r="AB28" s="1575">
        <v>1</v>
      </c>
      <c r="AC28" s="1575">
        <v>1</v>
      </c>
    </row>
    <row r="29" spans="1:29" s="1219" customFormat="1" ht="20.25">
      <c r="A29" s="576"/>
      <c r="B29" s="2615" t="s">
        <v>2552</v>
      </c>
      <c r="C29" s="572" t="str">
        <f>估价对象房地状况!C21</f>
        <v>较好</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5"/>
      <c r="M29" s="2132"/>
      <c r="N29" s="2132"/>
      <c r="O29" s="2137"/>
      <c r="P29" s="3492"/>
      <c r="Q29" s="1150" t="str">
        <f t="shared" si="8"/>
        <v>公共配套设施</v>
      </c>
      <c r="R29" s="1567" t="s">
        <v>8</v>
      </c>
      <c r="S29" s="1568">
        <f>F29</f>
        <v>100</v>
      </c>
      <c r="T29" s="1567" t="s">
        <v>8</v>
      </c>
      <c r="U29" s="1568">
        <f>H29</f>
        <v>100</v>
      </c>
      <c r="V29" s="1567" t="s">
        <v>8</v>
      </c>
      <c r="W29" s="1568">
        <f>J29</f>
        <v>100</v>
      </c>
      <c r="X29" s="1569"/>
      <c r="Y29" s="3492"/>
      <c r="Z29" s="1149" t="str">
        <f>Q29</f>
        <v>公共配套设施</v>
      </c>
      <c r="AA29" s="1575">
        <f>D29/F29</f>
        <v>1</v>
      </c>
      <c r="AB29" s="1575">
        <f>D29/H29</f>
        <v>1</v>
      </c>
      <c r="AC29" s="1575">
        <f>D29/J29</f>
        <v>1</v>
      </c>
    </row>
    <row r="30" spans="1:29" s="1219" customFormat="1" ht="20.25">
      <c r="A30" s="576"/>
      <c r="B30" s="565"/>
      <c r="C30" s="578" t="s">
        <v>2991</v>
      </c>
      <c r="D30" s="556"/>
      <c r="E30" s="578" t="s">
        <v>2991</v>
      </c>
      <c r="F30" s="554"/>
      <c r="G30" s="578" t="s">
        <v>2991</v>
      </c>
      <c r="H30" s="554"/>
      <c r="I30" s="578" t="s">
        <v>2991</v>
      </c>
      <c r="J30" s="554"/>
      <c r="K30" s="530"/>
      <c r="L30" s="2135"/>
      <c r="M30" s="2132"/>
      <c r="N30" s="2132"/>
      <c r="O30" s="2137"/>
      <c r="P30" s="3492"/>
      <c r="Q30" s="1150"/>
      <c r="R30" s="1567"/>
      <c r="S30" s="1568"/>
      <c r="T30" s="1567"/>
      <c r="U30" s="1568"/>
      <c r="V30" s="1567"/>
      <c r="W30" s="1568"/>
      <c r="X30" s="1569"/>
      <c r="Y30" s="3492"/>
      <c r="Z30" s="1149"/>
      <c r="AA30" s="1575">
        <v>1</v>
      </c>
      <c r="AB30" s="1575">
        <v>1</v>
      </c>
      <c r="AC30" s="1575">
        <v>1</v>
      </c>
    </row>
    <row r="31" spans="1:29" s="1219" customFormat="1" ht="20.25">
      <c r="A31" s="576"/>
      <c r="B31" s="2615" t="s">
        <v>2553</v>
      </c>
      <c r="C31" s="572" t="str">
        <f>估价对象房地状况!C22</f>
        <v>较好</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5"/>
      <c r="M31" s="2132"/>
      <c r="N31" s="2132"/>
      <c r="O31" s="2137"/>
      <c r="P31" s="3492"/>
      <c r="Q31" s="2602" t="str">
        <f t="shared" ref="Q31" si="9">B31</f>
        <v>基础设施水平</v>
      </c>
      <c r="R31" s="1567" t="s">
        <v>8</v>
      </c>
      <c r="S31" s="1568">
        <f>F31</f>
        <v>100</v>
      </c>
      <c r="T31" s="1567" t="s">
        <v>8</v>
      </c>
      <c r="U31" s="1568">
        <f>H31</f>
        <v>100</v>
      </c>
      <c r="V31" s="1567" t="s">
        <v>8</v>
      </c>
      <c r="W31" s="1568">
        <f>J31</f>
        <v>100</v>
      </c>
      <c r="X31" s="1569"/>
      <c r="Y31" s="3492"/>
      <c r="Z31" s="2599" t="str">
        <f>Q31</f>
        <v>基础设施水平</v>
      </c>
      <c r="AA31" s="1575">
        <f>D31/F31</f>
        <v>1</v>
      </c>
      <c r="AB31" s="1575">
        <f>D31/H31</f>
        <v>1</v>
      </c>
      <c r="AC31" s="1575">
        <f>D31/J31</f>
        <v>1</v>
      </c>
    </row>
    <row r="32" spans="1:29" s="1219" customFormat="1" ht="20.25">
      <c r="A32" s="576"/>
      <c r="B32" s="565"/>
      <c r="C32" s="578" t="s">
        <v>3165</v>
      </c>
      <c r="D32" s="556"/>
      <c r="E32" s="578" t="s">
        <v>3165</v>
      </c>
      <c r="F32" s="554"/>
      <c r="G32" s="578" t="s">
        <v>3165</v>
      </c>
      <c r="H32" s="554"/>
      <c r="I32" s="578" t="s">
        <v>3165</v>
      </c>
      <c r="J32" s="554"/>
      <c r="K32" s="530"/>
      <c r="L32" s="2135"/>
      <c r="M32" s="2132"/>
      <c r="N32" s="2132"/>
      <c r="O32" s="2137"/>
      <c r="P32" s="3492"/>
      <c r="Q32" s="2602"/>
      <c r="R32" s="1567"/>
      <c r="S32" s="1568"/>
      <c r="T32" s="1567"/>
      <c r="U32" s="1568"/>
      <c r="V32" s="1567"/>
      <c r="W32" s="1568"/>
      <c r="X32" s="1569"/>
      <c r="Y32" s="3492"/>
      <c r="Z32" s="2599"/>
      <c r="AA32" s="1575">
        <v>1</v>
      </c>
      <c r="AB32" s="1575">
        <v>1</v>
      </c>
      <c r="AC32" s="1575">
        <v>1</v>
      </c>
    </row>
    <row r="33" spans="1:29" ht="20.25">
      <c r="A33" s="531"/>
      <c r="B33" s="565" t="s">
        <v>547</v>
      </c>
      <c r="C33" s="579" t="s">
        <v>1662</v>
      </c>
      <c r="D33" s="574">
        <v>100</v>
      </c>
      <c r="E33" s="579" t="s">
        <v>1662</v>
      </c>
      <c r="F33" s="539">
        <f>SUMIF(106:106,E33,107:107)-SUMIF(106:106,C33,107:107)+100</f>
        <v>100</v>
      </c>
      <c r="G33" s="579" t="s">
        <v>1662</v>
      </c>
      <c r="H33" s="539">
        <f>SUMIF(106:106,G33,107:107)-SUMIF(106:106,C33,107:107)+100</f>
        <v>100</v>
      </c>
      <c r="I33" s="579" t="s">
        <v>1662</v>
      </c>
      <c r="J33" s="539">
        <f>SUMIF(106:106,I33,107:107)-SUMIF(106:106,C33,107:107)+100</f>
        <v>100</v>
      </c>
      <c r="K33" s="534"/>
      <c r="L33" s="2142"/>
      <c r="M33" s="2132"/>
      <c r="N33" s="2132"/>
      <c r="O33" s="2141"/>
      <c r="P33" s="349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92"/>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2"/>
      <c r="M34" s="2132"/>
      <c r="N34" s="2132"/>
      <c r="O34" s="2141"/>
      <c r="P34" s="3492"/>
      <c r="Q34" s="1571" t="str">
        <f t="shared" si="8"/>
        <v>毗邻道路的类型与等级</v>
      </c>
      <c r="R34" s="1572" t="s">
        <v>8</v>
      </c>
      <c r="S34" s="1573">
        <f t="shared" si="10"/>
        <v>100</v>
      </c>
      <c r="T34" s="1572" t="s">
        <v>8</v>
      </c>
      <c r="U34" s="1573">
        <f t="shared" si="11"/>
        <v>100</v>
      </c>
      <c r="V34" s="1572" t="s">
        <v>8</v>
      </c>
      <c r="W34" s="1573">
        <f t="shared" si="12"/>
        <v>100</v>
      </c>
      <c r="X34" s="1566"/>
      <c r="Y34" s="3492"/>
      <c r="Z34" s="1574" t="str">
        <f t="shared" si="13"/>
        <v>毗邻道路的类型与等级</v>
      </c>
      <c r="AA34" s="1575">
        <f t="shared" si="3"/>
        <v>1</v>
      </c>
      <c r="AB34" s="1575">
        <f t="shared" si="4"/>
        <v>1</v>
      </c>
      <c r="AC34" s="1575">
        <f t="shared" si="5"/>
        <v>1</v>
      </c>
    </row>
    <row r="35" spans="1:29" ht="20.25">
      <c r="A35" s="531"/>
      <c r="B35" s="565"/>
      <c r="C35" s="553"/>
      <c r="D35" s="556"/>
      <c r="E35" s="575"/>
      <c r="F35" s="554"/>
      <c r="G35" s="553"/>
      <c r="H35" s="554"/>
      <c r="I35" s="575"/>
      <c r="J35" s="554"/>
      <c r="K35" s="580"/>
      <c r="L35" s="2142"/>
      <c r="M35" s="2132"/>
      <c r="N35" s="2132"/>
      <c r="O35" s="2141"/>
      <c r="P35" s="3492"/>
      <c r="Q35" s="1571"/>
      <c r="R35" s="1572"/>
      <c r="S35" s="1573"/>
      <c r="T35" s="1572"/>
      <c r="U35" s="1573"/>
      <c r="V35" s="1572"/>
      <c r="W35" s="1573"/>
      <c r="X35" s="1566"/>
      <c r="Y35" s="3492"/>
      <c r="Z35" s="1574"/>
      <c r="AA35" s="1575">
        <v>1</v>
      </c>
      <c r="AB35" s="1575">
        <v>1</v>
      </c>
      <c r="AC35" s="1575">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92"/>
      <c r="Q36" s="1571" t="str">
        <f t="shared" si="8"/>
        <v>土地级别</v>
      </c>
      <c r="R36" s="1572" t="s">
        <v>8</v>
      </c>
      <c r="S36" s="1573">
        <f t="shared" si="10"/>
        <v>100</v>
      </c>
      <c r="T36" s="1572" t="s">
        <v>8</v>
      </c>
      <c r="U36" s="1573">
        <f t="shared" si="11"/>
        <v>100</v>
      </c>
      <c r="V36" s="1572" t="s">
        <v>8</v>
      </c>
      <c r="W36" s="1573">
        <f t="shared" si="12"/>
        <v>100</v>
      </c>
      <c r="X36" s="1566"/>
      <c r="Y36" s="3492"/>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92"/>
      <c r="Q37" s="1571">
        <f t="shared" si="8"/>
        <v>111</v>
      </c>
      <c r="R37" s="1572" t="s">
        <v>8</v>
      </c>
      <c r="S37" s="1573">
        <f t="shared" si="10"/>
        <v>100</v>
      </c>
      <c r="T37" s="1572" t="s">
        <v>8</v>
      </c>
      <c r="U37" s="1573">
        <f t="shared" si="11"/>
        <v>100</v>
      </c>
      <c r="V37" s="1572" t="s">
        <v>8</v>
      </c>
      <c r="W37" s="1573">
        <f t="shared" si="12"/>
        <v>100</v>
      </c>
      <c r="X37" s="1566"/>
      <c r="Y37" s="3492"/>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93" t="s">
        <v>550</v>
      </c>
      <c r="Q38" s="1571">
        <f t="shared" si="8"/>
        <v>111</v>
      </c>
      <c r="R38" s="1572" t="s">
        <v>8</v>
      </c>
      <c r="S38" s="1573">
        <f t="shared" si="10"/>
        <v>100</v>
      </c>
      <c r="T38" s="1572" t="s">
        <v>8</v>
      </c>
      <c r="U38" s="1573">
        <f t="shared" si="11"/>
        <v>100</v>
      </c>
      <c r="V38" s="1572" t="s">
        <v>8</v>
      </c>
      <c r="W38" s="1573">
        <f t="shared" si="12"/>
        <v>100</v>
      </c>
      <c r="X38" s="1566"/>
      <c r="Y38" s="3494"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94"/>
      <c r="Q39" s="1571">
        <f t="shared" si="8"/>
        <v>111</v>
      </c>
      <c r="R39" s="1576" t="s">
        <v>8</v>
      </c>
      <c r="S39" s="1577">
        <f t="shared" si="10"/>
        <v>100</v>
      </c>
      <c r="T39" s="1576" t="s">
        <v>8</v>
      </c>
      <c r="U39" s="1577">
        <f t="shared" si="11"/>
        <v>100</v>
      </c>
      <c r="V39" s="1576" t="s">
        <v>8</v>
      </c>
      <c r="W39" s="1577">
        <f t="shared" si="12"/>
        <v>100</v>
      </c>
      <c r="X39" s="1578"/>
      <c r="Y39" s="3494"/>
      <c r="Z39" s="1579">
        <f t="shared" si="13"/>
        <v>111</v>
      </c>
      <c r="AA39" s="1575">
        <f t="shared" si="3"/>
        <v>1</v>
      </c>
      <c r="AB39" s="1575">
        <f t="shared" si="4"/>
        <v>1</v>
      </c>
      <c r="AC39" s="1575">
        <f t="shared" si="5"/>
        <v>1</v>
      </c>
    </row>
    <row r="40" spans="1:29" ht="20.25">
      <c r="A40" s="2931" t="s">
        <v>2759</v>
      </c>
      <c r="B40" s="594" t="s">
        <v>552</v>
      </c>
      <c r="C40" s="595">
        <f>'数据-汇总表'!D3</f>
        <v>80775.5</v>
      </c>
      <c r="D40" s="596">
        <v>100</v>
      </c>
      <c r="E40" s="595">
        <f>土地案例!J1</f>
        <v>149306</v>
      </c>
      <c r="F40" s="596">
        <f>LOOKUP(E40,119:119,120:120)-LOOKUP(C40,119:119,120:120)+100</f>
        <v>101</v>
      </c>
      <c r="G40" s="595">
        <f>土地案例!J2</f>
        <v>97645</v>
      </c>
      <c r="H40" s="596">
        <f>LOOKUP(G40,119:119,120:120)-LOOKUP(C40,119:119,120:120)+100</f>
        <v>100</v>
      </c>
      <c r="I40" s="597">
        <f>土地案例!J3</f>
        <v>25338</v>
      </c>
      <c r="J40" s="596">
        <f>LOOKUP(I40,119:119,120:120)-LOOKUP(C40,119:119,120:120)+100</f>
        <v>99</v>
      </c>
      <c r="K40" s="580"/>
      <c r="L40" s="2142"/>
      <c r="M40" s="2132"/>
      <c r="N40" s="2132"/>
      <c r="O40" s="2141"/>
      <c r="P40" s="3494"/>
      <c r="Q40" s="1571" t="str">
        <f>B40</f>
        <v>宗地面积</v>
      </c>
      <c r="R40" s="1572" t="s">
        <v>8</v>
      </c>
      <c r="S40" s="1573">
        <f t="shared" si="10"/>
        <v>101</v>
      </c>
      <c r="T40" s="1572" t="s">
        <v>8</v>
      </c>
      <c r="U40" s="1573">
        <f t="shared" si="11"/>
        <v>100</v>
      </c>
      <c r="V40" s="1572" t="s">
        <v>8</v>
      </c>
      <c r="W40" s="1573">
        <f t="shared" si="12"/>
        <v>99</v>
      </c>
      <c r="X40" s="1566"/>
      <c r="Y40" s="3494"/>
      <c r="Z40" s="1574" t="str">
        <f t="shared" si="13"/>
        <v>宗地面积</v>
      </c>
      <c r="AA40" s="1575">
        <f t="shared" si="3"/>
        <v>0.99009900990099009</v>
      </c>
      <c r="AB40" s="1575">
        <f t="shared" si="4"/>
        <v>1</v>
      </c>
      <c r="AC40" s="1575">
        <f t="shared" si="5"/>
        <v>1.0101010101010102</v>
      </c>
    </row>
    <row r="41" spans="1:29" ht="20.25">
      <c r="A41" s="593"/>
      <c r="B41" s="526" t="s">
        <v>553</v>
      </c>
      <c r="C41" s="3191" t="s">
        <v>3166</v>
      </c>
      <c r="D41" s="539">
        <v>100</v>
      </c>
      <c r="E41" s="3191" t="s">
        <v>3166</v>
      </c>
      <c r="F41" s="539">
        <f>SUMIF(121:121,E41,122:122)-SUMIF(121:121,C41,122:122)+100</f>
        <v>100</v>
      </c>
      <c r="G41" s="3191" t="s">
        <v>3166</v>
      </c>
      <c r="H41" s="539">
        <f>SUMIF(121:121,G41,122:122)-SUMIF(121:121,C41,122:122)+100</f>
        <v>100</v>
      </c>
      <c r="I41" s="3191" t="s">
        <v>3166</v>
      </c>
      <c r="J41" s="539">
        <f>SUMIF(121:121,I41,122:122)-SUMIF(121:121,C41,122:122)+100</f>
        <v>100</v>
      </c>
      <c r="K41" s="583"/>
      <c r="L41" s="2142"/>
      <c r="M41" s="2132"/>
      <c r="N41" s="2132"/>
      <c r="O41" s="2141"/>
      <c r="P41" s="3494"/>
      <c r="Q41" s="1571" t="str">
        <f t="shared" ref="Q41:Q47" si="14">B41</f>
        <v>宗地形状</v>
      </c>
      <c r="R41" s="1572" t="s">
        <v>8</v>
      </c>
      <c r="S41" s="1573">
        <f t="shared" si="10"/>
        <v>100</v>
      </c>
      <c r="T41" s="1572" t="s">
        <v>8</v>
      </c>
      <c r="U41" s="1573">
        <f t="shared" si="11"/>
        <v>100</v>
      </c>
      <c r="V41" s="1572" t="s">
        <v>8</v>
      </c>
      <c r="W41" s="1573">
        <f t="shared" si="12"/>
        <v>100</v>
      </c>
      <c r="X41" s="1566"/>
      <c r="Y41" s="3494"/>
      <c r="Z41" s="1574" t="str">
        <f t="shared" si="13"/>
        <v>宗地形状</v>
      </c>
      <c r="AA41" s="1575">
        <f t="shared" si="3"/>
        <v>1</v>
      </c>
      <c r="AB41" s="1575">
        <f t="shared" si="4"/>
        <v>1</v>
      </c>
      <c r="AC41" s="1575">
        <f t="shared" si="5"/>
        <v>1</v>
      </c>
    </row>
    <row r="42" spans="1:29" ht="20.25">
      <c r="A42" s="593"/>
      <c r="B42" s="526" t="s">
        <v>554</v>
      </c>
      <c r="C42" s="3191" t="s">
        <v>3167</v>
      </c>
      <c r="D42" s="539">
        <v>100</v>
      </c>
      <c r="E42" s="3191" t="s">
        <v>3167</v>
      </c>
      <c r="F42" s="539">
        <f>SUMIF(123:123,E42,124:124)-SUMIF(123:123,C42,124:124)+100</f>
        <v>100</v>
      </c>
      <c r="G42" s="3191" t="s">
        <v>3167</v>
      </c>
      <c r="H42" s="539">
        <f>SUMIF(123:123,G42,124:124)-SUMIF(123:123,C42,124:124)+100</f>
        <v>100</v>
      </c>
      <c r="I42" s="3191" t="s">
        <v>3167</v>
      </c>
      <c r="J42" s="539">
        <f>SUMIF(123:123,I42,124:124)-SUMIF(123:123,C42,124:124)+100</f>
        <v>100</v>
      </c>
      <c r="K42" s="583"/>
      <c r="L42" s="2142"/>
      <c r="M42" s="2132"/>
      <c r="N42" s="2132"/>
      <c r="O42" s="2141"/>
      <c r="P42" s="3494"/>
      <c r="Q42" s="1571" t="str">
        <f t="shared" si="14"/>
        <v>临街宽度及深度</v>
      </c>
      <c r="R42" s="1572" t="s">
        <v>8</v>
      </c>
      <c r="S42" s="1573">
        <f t="shared" si="10"/>
        <v>100</v>
      </c>
      <c r="T42" s="1572" t="s">
        <v>8</v>
      </c>
      <c r="U42" s="1573">
        <f t="shared" si="11"/>
        <v>100</v>
      </c>
      <c r="V42" s="1572" t="s">
        <v>8</v>
      </c>
      <c r="W42" s="1573">
        <f t="shared" si="12"/>
        <v>100</v>
      </c>
      <c r="X42" s="1566"/>
      <c r="Y42" s="3494"/>
      <c r="Z42" s="1574" t="str">
        <f t="shared" si="13"/>
        <v>临街宽度及深度</v>
      </c>
      <c r="AA42" s="1575">
        <f t="shared" si="3"/>
        <v>1</v>
      </c>
      <c r="AB42" s="1575">
        <f t="shared" si="4"/>
        <v>1</v>
      </c>
      <c r="AC42" s="1575">
        <f t="shared" si="5"/>
        <v>1</v>
      </c>
    </row>
    <row r="43" spans="1:29" s="1219" customFormat="1" ht="20.25">
      <c r="A43" s="599"/>
      <c r="B43" s="1895" t="s">
        <v>2428</v>
      </c>
      <c r="C43" s="600" t="s">
        <v>3171</v>
      </c>
      <c r="D43" s="254">
        <v>100</v>
      </c>
      <c r="E43" s="600" t="s">
        <v>3171</v>
      </c>
      <c r="F43" s="539">
        <f>SUMIF(125:125,E43,126:126)-SUMIF(125:125,C43,126:126)+100</f>
        <v>100</v>
      </c>
      <c r="G43" s="600" t="s">
        <v>3171</v>
      </c>
      <c r="H43" s="539">
        <f>SUMIF(125:125,G43,126:126)-SUMIF(125:125,C43,126:126)+100</f>
        <v>100</v>
      </c>
      <c r="I43" s="600" t="s">
        <v>3171</v>
      </c>
      <c r="J43" s="539">
        <f>SUMIF(125:125,I43,126:126)-SUMIF(125:125,C43,126:126)+100</f>
        <v>100</v>
      </c>
      <c r="K43" s="583"/>
      <c r="L43" s="2135"/>
      <c r="M43" s="2132"/>
      <c r="N43" s="2132"/>
      <c r="O43" s="2137"/>
      <c r="P43" s="3494"/>
      <c r="Q43" s="1571" t="str">
        <f t="shared" si="14"/>
        <v>宗地开发程度</v>
      </c>
      <c r="R43" s="1567" t="s">
        <v>8</v>
      </c>
      <c r="S43" s="1568">
        <f t="shared" si="10"/>
        <v>100</v>
      </c>
      <c r="T43" s="1567" t="s">
        <v>8</v>
      </c>
      <c r="U43" s="1568">
        <f t="shared" si="11"/>
        <v>100</v>
      </c>
      <c r="V43" s="1567" t="s">
        <v>8</v>
      </c>
      <c r="W43" s="1568">
        <f t="shared" si="12"/>
        <v>100</v>
      </c>
      <c r="X43" s="1569"/>
      <c r="Y43" s="3494"/>
      <c r="Z43" s="1149" t="str">
        <f t="shared" si="13"/>
        <v>宗地开发程度</v>
      </c>
      <c r="AA43" s="1570">
        <f t="shared" si="3"/>
        <v>1</v>
      </c>
      <c r="AB43" s="1570">
        <f t="shared" si="4"/>
        <v>1</v>
      </c>
      <c r="AC43" s="1570">
        <f t="shared" si="5"/>
        <v>1</v>
      </c>
    </row>
    <row r="44" spans="1:29" ht="21" thickBot="1">
      <c r="A44" s="593"/>
      <c r="B44" s="526" t="s">
        <v>555</v>
      </c>
      <c r="C44" s="3191" t="s">
        <v>3168</v>
      </c>
      <c r="D44" s="539">
        <v>100</v>
      </c>
      <c r="E44" s="3191" t="s">
        <v>3168</v>
      </c>
      <c r="F44" s="539">
        <f>SUMIF(127:127,E44,128:128)-SUMIF(127:127,C44,128:128)+100</f>
        <v>100</v>
      </c>
      <c r="G44" s="3191" t="s">
        <v>3168</v>
      </c>
      <c r="H44" s="539">
        <f>SUMIF(127:127,G44,128:128)-SUMIF(127:127,C44,128:128)+100</f>
        <v>100</v>
      </c>
      <c r="I44" s="3191" t="s">
        <v>3168</v>
      </c>
      <c r="J44" s="539">
        <f>SUMIF(127:127,I44,128:128)-SUMIF(127:127,C44,128:128)+100</f>
        <v>100</v>
      </c>
      <c r="K44" s="583"/>
      <c r="L44" s="2142"/>
      <c r="M44" s="2132"/>
      <c r="N44" s="2132"/>
      <c r="O44" s="2141"/>
      <c r="P44" s="3494" t="s">
        <v>550</v>
      </c>
      <c r="Q44" s="1571" t="str">
        <f t="shared" si="14"/>
        <v>工程地质条件</v>
      </c>
      <c r="R44" s="1572" t="s">
        <v>8</v>
      </c>
      <c r="S44" s="1573">
        <f t="shared" si="10"/>
        <v>100</v>
      </c>
      <c r="T44" s="1572" t="s">
        <v>8</v>
      </c>
      <c r="U44" s="1573">
        <f t="shared" si="11"/>
        <v>100</v>
      </c>
      <c r="V44" s="1572" t="s">
        <v>8</v>
      </c>
      <c r="W44" s="1573">
        <f t="shared" si="12"/>
        <v>100</v>
      </c>
      <c r="X44" s="1566"/>
      <c r="Y44" s="3494"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94"/>
      <c r="Q45" s="1571">
        <f t="shared" si="14"/>
        <v>111</v>
      </c>
      <c r="R45" s="1572" t="s">
        <v>8</v>
      </c>
      <c r="S45" s="1573">
        <f t="shared" si="10"/>
        <v>100</v>
      </c>
      <c r="T45" s="1572" t="s">
        <v>8</v>
      </c>
      <c r="U45" s="1573">
        <f t="shared" si="11"/>
        <v>100</v>
      </c>
      <c r="V45" s="1572" t="s">
        <v>8</v>
      </c>
      <c r="W45" s="1573">
        <f t="shared" si="12"/>
        <v>100</v>
      </c>
      <c r="X45" s="1566"/>
      <c r="Y45" s="3494"/>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94"/>
      <c r="Q46" s="1571">
        <f t="shared" si="14"/>
        <v>111</v>
      </c>
      <c r="R46" s="1572" t="s">
        <v>8</v>
      </c>
      <c r="S46" s="1573">
        <f t="shared" si="10"/>
        <v>100</v>
      </c>
      <c r="T46" s="1572" t="s">
        <v>8</v>
      </c>
      <c r="U46" s="1573">
        <f t="shared" si="11"/>
        <v>100</v>
      </c>
      <c r="V46" s="1572" t="s">
        <v>8</v>
      </c>
      <c r="W46" s="1573">
        <f t="shared" si="12"/>
        <v>100</v>
      </c>
      <c r="X46" s="1566"/>
      <c r="Y46" s="3494"/>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94"/>
      <c r="Q47" s="1571">
        <f t="shared" si="14"/>
        <v>111</v>
      </c>
      <c r="R47" s="1576" t="s">
        <v>8</v>
      </c>
      <c r="S47" s="1577">
        <f t="shared" si="10"/>
        <v>100</v>
      </c>
      <c r="T47" s="1576" t="s">
        <v>8</v>
      </c>
      <c r="U47" s="1577">
        <f t="shared" si="11"/>
        <v>100</v>
      </c>
      <c r="V47" s="1576" t="s">
        <v>8</v>
      </c>
      <c r="W47" s="1577">
        <f t="shared" si="12"/>
        <v>100</v>
      </c>
      <c r="X47" s="1578"/>
      <c r="Y47" s="3494"/>
      <c r="Z47" s="1579">
        <f t="shared" si="13"/>
        <v>111</v>
      </c>
      <c r="AA47" s="1575">
        <f t="shared" si="3"/>
        <v>1</v>
      </c>
      <c r="AB47" s="1575">
        <f t="shared" si="4"/>
        <v>1</v>
      </c>
      <c r="AC47" s="1575">
        <f t="shared" si="5"/>
        <v>1</v>
      </c>
    </row>
    <row r="48" spans="1:29" ht="20.25">
      <c r="A48" s="606" t="s">
        <v>556</v>
      </c>
      <c r="B48" s="607" t="s">
        <v>3169</v>
      </c>
      <c r="C48" s="608" t="s">
        <v>1</v>
      </c>
      <c r="D48" s="609"/>
      <c r="E48" s="610">
        <f>土地案例!AL1</f>
        <v>6492</v>
      </c>
      <c r="F48" s="611"/>
      <c r="G48" s="612">
        <f>土地案例!AL2</f>
        <v>7367</v>
      </c>
      <c r="H48" s="613"/>
      <c r="I48" s="610">
        <f>土地案例!AL3</f>
        <v>6298</v>
      </c>
      <c r="J48" s="613"/>
      <c r="K48" s="1339"/>
      <c r="L48" s="2144"/>
      <c r="M48" s="2132"/>
      <c r="N48" s="2132"/>
      <c r="O48" s="2145"/>
      <c r="P48" s="3457" t="str">
        <f>A48</f>
        <v>成交单价</v>
      </c>
      <c r="Q48" s="3457"/>
      <c r="R48" s="3458">
        <f>E48</f>
        <v>6492</v>
      </c>
      <c r="S48" s="3458"/>
      <c r="T48" s="3458">
        <f>G48</f>
        <v>7367</v>
      </c>
      <c r="U48" s="3458"/>
      <c r="V48" s="3458">
        <f>I48</f>
        <v>6298</v>
      </c>
      <c r="W48" s="3458"/>
      <c r="X48" s="1558"/>
      <c r="Y48" s="1580"/>
      <c r="Z48" s="1558"/>
      <c r="AA48" s="1558"/>
      <c r="AB48" s="1558"/>
      <c r="AC48" s="1558"/>
    </row>
    <row r="49" spans="1:29" ht="21" thickBot="1">
      <c r="A49" s="614" t="s">
        <v>2697</v>
      </c>
      <c r="B49" s="615"/>
      <c r="C49" s="616">
        <f>R50</f>
        <v>6823</v>
      </c>
      <c r="D49" s="617"/>
      <c r="E49" s="616">
        <f>R49</f>
        <v>6460</v>
      </c>
      <c r="F49" s="618"/>
      <c r="G49" s="619">
        <f>T49</f>
        <v>7517</v>
      </c>
      <c r="H49" s="617"/>
      <c r="I49" s="616">
        <f>V49</f>
        <v>6491</v>
      </c>
      <c r="J49" s="617"/>
      <c r="K49" s="1340"/>
      <c r="L49" s="2144"/>
      <c r="M49" s="2132"/>
      <c r="N49" s="2132"/>
      <c r="O49" s="2145"/>
      <c r="P49" s="3457" t="str">
        <f>A49</f>
        <v>比较价格（元/平方米）</v>
      </c>
      <c r="Q49" s="3457"/>
      <c r="R49" s="3459">
        <f>ROUND(PRODUCT(R48,AA9:AA47),0)</f>
        <v>6460</v>
      </c>
      <c r="S49" s="3459"/>
      <c r="T49" s="3459">
        <f>ROUND(PRODUCT(T48,AB9:AB47),0)</f>
        <v>7517</v>
      </c>
      <c r="U49" s="3459"/>
      <c r="V49" s="3459">
        <f>ROUND(PRODUCT(V48,AC9:AC47),0)</f>
        <v>6491</v>
      </c>
      <c r="W49" s="3459"/>
      <c r="X49" s="1558"/>
      <c r="Y49" s="1558"/>
      <c r="Z49" s="1558"/>
      <c r="AA49" s="1558"/>
      <c r="AB49" s="1558"/>
      <c r="AC49" s="1558"/>
    </row>
    <row r="50" spans="1:29" ht="21" thickBot="1">
      <c r="A50" s="620" t="s">
        <v>2937</v>
      </c>
      <c r="B50" s="621"/>
      <c r="C50" s="622">
        <f>R50</f>
        <v>6823</v>
      </c>
      <c r="D50" s="622"/>
      <c r="E50" s="622"/>
      <c r="F50" s="622"/>
      <c r="G50" s="622"/>
      <c r="H50" s="622"/>
      <c r="I50" s="622"/>
      <c r="J50" s="622"/>
      <c r="K50" s="1341"/>
      <c r="L50" s="2144"/>
      <c r="M50" s="2132"/>
      <c r="N50" s="2132"/>
      <c r="O50" s="2145"/>
      <c r="P50" s="3454" t="str">
        <f>A50</f>
        <v>估价对象XX用房的比较价格（楼面单价，元/平方米）</v>
      </c>
      <c r="Q50" s="3455"/>
      <c r="R50" s="3456">
        <f>ROUND(AVERAGE(R49:V49),0)</f>
        <v>6823</v>
      </c>
      <c r="S50" s="3456"/>
      <c r="T50" s="3456"/>
      <c r="U50" s="3456"/>
      <c r="V50" s="3456"/>
      <c r="W50" s="345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4.9535603715169518E-3</v>
      </c>
      <c r="F53" s="626" t="str">
        <f>IF(OR(E53&gt;=0.3,E53&lt;=-0.3),"超过30%","")</f>
        <v/>
      </c>
      <c r="G53" s="625">
        <f>IF(G48&lt;G49,G49/G48-1,G48/G49-1)</f>
        <v>2.0361069634858175E-2</v>
      </c>
      <c r="H53" s="626" t="str">
        <f>IF(OR(G53&gt;=0.3,G53&lt;=-0.3),"超过30%","")</f>
        <v/>
      </c>
      <c r="I53" s="625">
        <f>IF(I48&lt;I49,I49/I48-1,I48/I49-1)</f>
        <v>3.0644649094950793E-2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0.16362229102167181</v>
      </c>
      <c r="F54" s="626" t="str">
        <f>IF(OR(E54&gt;=0.2,E54&lt;=-0.2),"超过20%","")</f>
        <v/>
      </c>
      <c r="G54" s="625">
        <f>IF(G49&lt;I49,I49/G49-1,G49/I49-1)</f>
        <v>0.15806501309505472</v>
      </c>
      <c r="H54" s="626" t="str">
        <f>IF(OR(G54&gt;=0.2,G54&lt;=-0.2),"超过20%","")</f>
        <v/>
      </c>
      <c r="I54" s="625">
        <f>IF(I49&lt;E49,E49/I49-1,I49/E49-1)</f>
        <v>4.7987616099072206E-3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0.13478126925446698</v>
      </c>
      <c r="F55" s="626" t="str">
        <f>IF(OR(E55&gt;=0.3,E55&lt;=-0.3),"超过30%","")</f>
        <v/>
      </c>
      <c r="G55" s="625">
        <f>IF(G48&lt;I48,I48/G48-1,G48/I48-1)</f>
        <v>0.16973642426167035</v>
      </c>
      <c r="H55" s="626" t="str">
        <f>IF(OR(G55&gt;=0.3,G55&lt;=-0.3),"超过30%","")</f>
        <v/>
      </c>
      <c r="I55" s="625">
        <f>IF(I48&lt;E48,E48/I48-1,I48/E48-1)</f>
        <v>3.0803429660209547E-2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2296</v>
      </c>
      <c r="E57" s="630" t="s">
        <v>562</v>
      </c>
      <c r="F57" s="631" t="s">
        <v>563</v>
      </c>
      <c r="G57" s="3483" t="s">
        <v>2284</v>
      </c>
      <c r="H57" s="3484"/>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6823</v>
      </c>
      <c r="C58" s="634">
        <v>1</v>
      </c>
      <c r="D58" s="2228">
        <v>1</v>
      </c>
      <c r="E58" s="634">
        <f>'数据-汇总表'!E8+'数据-汇总表'!E9</f>
        <v>174234</v>
      </c>
      <c r="F58" s="635">
        <f t="shared" ref="F58:F67" si="15">ROUND(B58*E58/10000,0)</f>
        <v>118880</v>
      </c>
      <c r="G58" s="3485"/>
      <c r="H58" s="348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87"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8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8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8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2331</v>
      </c>
      <c r="B63" s="637">
        <f t="shared" si="17"/>
        <v>0</v>
      </c>
      <c r="C63" s="377">
        <f t="shared" si="16"/>
        <v>0</v>
      </c>
      <c r="D63" s="2229">
        <v>0.25</v>
      </c>
      <c r="E63" s="640">
        <f>'数据-汇总表'!E11</f>
        <v>0</v>
      </c>
      <c r="F63" s="635">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0</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2297</v>
      </c>
      <c r="E68" s="642">
        <f>IF(B48="楼面地价",SUM(E58:E67),'数据-汇总表'!D3)</f>
        <v>80775.5</v>
      </c>
      <c r="F68" s="643">
        <f>IF(B48="楼面地价",SUM(F58:F67),ROUND(C50*E68/10000,0))</f>
        <v>55113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2536</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2651</v>
      </c>
      <c r="B73" s="478" t="str">
        <f>"北京市平均增长率"&amp;TEXT(SUMIF(基准地价!N21:N25,A73,基准地价!P21:P25),"0.00%")</f>
        <v>北京市平均增长率2.17%</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2650</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2" t="s">
        <v>3170</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100</v>
      </c>
      <c r="E83" s="678">
        <f t="shared" ref="E83:M83" si="22">IF($B$48="单位面积地价",D83+$K13,D83-$K13)</f>
        <v>100</v>
      </c>
      <c r="F83" s="678">
        <f t="shared" si="22"/>
        <v>100</v>
      </c>
      <c r="G83" s="678">
        <f t="shared" si="22"/>
        <v>100</v>
      </c>
      <c r="H83" s="678">
        <f t="shared" si="22"/>
        <v>100</v>
      </c>
      <c r="I83" s="678">
        <f t="shared" si="22"/>
        <v>100</v>
      </c>
      <c r="J83" s="678">
        <f t="shared" si="22"/>
        <v>100</v>
      </c>
      <c r="K83" s="678">
        <f t="shared" si="22"/>
        <v>100</v>
      </c>
      <c r="L83" s="678">
        <f t="shared" si="22"/>
        <v>100</v>
      </c>
      <c r="M83" s="678">
        <f t="shared" si="22"/>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93" t="s">
        <v>3164</v>
      </c>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2552</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2554</v>
      </c>
      <c r="C104" s="2622" t="s">
        <v>2555</v>
      </c>
      <c r="D104" s="2622" t="s">
        <v>2556</v>
      </c>
      <c r="E104" s="2622" t="s">
        <v>2557</v>
      </c>
      <c r="F104" s="2622" t="s">
        <v>2558</v>
      </c>
      <c r="G104" s="2622" t="s">
        <v>2559</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0(含)-10000</v>
      </c>
      <c r="D118" s="703" t="str">
        <f t="shared" si="26"/>
        <v>10000(含)-20000</v>
      </c>
      <c r="E118" s="703" t="str">
        <f t="shared" si="26"/>
        <v>20000(含)-50000</v>
      </c>
      <c r="F118" s="703" t="str">
        <f t="shared" si="26"/>
        <v>50000(含)-100000</v>
      </c>
      <c r="G118" s="703" t="str">
        <f t="shared" si="26"/>
        <v>100000(含)-200000</v>
      </c>
      <c r="H118" s="703" t="str">
        <f t="shared" si="26"/>
        <v>200000(含)-500000</v>
      </c>
      <c r="I118" s="703" t="str">
        <f t="shared" si="26"/>
        <v>500000(含)-</v>
      </c>
      <c r="J118" s="3114" t="str">
        <f t="shared" si="26"/>
        <v>(含)-</v>
      </c>
      <c r="K118" s="3114" t="str">
        <f t="shared" si="26"/>
        <v>(含)-</v>
      </c>
      <c r="L118" s="3115" t="str">
        <f t="shared" si="26"/>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50000</v>
      </c>
      <c r="G119" s="729">
        <v>100000</v>
      </c>
      <c r="H119" s="729">
        <v>200000</v>
      </c>
      <c r="I119" s="729">
        <v>500000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 t="shared" ref="E120:I120" si="27">D120+1</f>
        <v>102</v>
      </c>
      <c r="F120" s="725">
        <f t="shared" si="27"/>
        <v>103</v>
      </c>
      <c r="G120" s="725">
        <f t="shared" si="27"/>
        <v>104</v>
      </c>
      <c r="H120" s="725">
        <f t="shared" si="27"/>
        <v>105</v>
      </c>
      <c r="I120" s="725">
        <f t="shared" si="27"/>
        <v>106</v>
      </c>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4" t="s">
        <v>3166</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8">C122-$K41</f>
        <v>100</v>
      </c>
      <c r="E122" s="678">
        <f t="shared" si="28"/>
        <v>100</v>
      </c>
      <c r="F122" s="678">
        <f t="shared" si="28"/>
        <v>100</v>
      </c>
      <c r="G122" s="678">
        <f t="shared" si="28"/>
        <v>100</v>
      </c>
      <c r="H122" s="678">
        <f t="shared" si="28"/>
        <v>100</v>
      </c>
      <c r="I122" s="678">
        <f t="shared" si="28"/>
        <v>100</v>
      </c>
      <c r="J122" s="678">
        <f t="shared" si="28"/>
        <v>100</v>
      </c>
      <c r="K122" s="678">
        <f t="shared" si="28"/>
        <v>100</v>
      </c>
      <c r="L122" s="678">
        <f t="shared" si="28"/>
        <v>100</v>
      </c>
      <c r="M122" s="679">
        <f t="shared" si="28"/>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3" t="s">
        <v>3167</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2429</v>
      </c>
      <c r="C125" s="3195" t="s">
        <v>2555</v>
      </c>
      <c r="D125" s="3195" t="s">
        <v>2556</v>
      </c>
      <c r="E125" s="3195" t="s">
        <v>2557</v>
      </c>
      <c r="F125" s="3195" t="s">
        <v>2558</v>
      </c>
      <c r="G125" s="3195" t="s">
        <v>2559</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6" t="s">
        <v>579</v>
      </c>
      <c r="D127" s="3196" t="s">
        <v>580</v>
      </c>
      <c r="E127" s="3196" t="s">
        <v>581</v>
      </c>
      <c r="F127" s="3196" t="s">
        <v>582</v>
      </c>
      <c r="G127" s="3196" t="s">
        <v>583</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9</v>
      </c>
    </row>
    <row r="2" spans="1:31" s="2041" customFormat="1" ht="18" customHeight="1">
      <c r="A2" s="2101" t="s">
        <v>467</v>
      </c>
      <c r="B2" s="2105">
        <f ca="1">C36</f>
        <v>100292</v>
      </c>
      <c r="C2" s="2104"/>
      <c r="D2" s="2104"/>
      <c r="E2" s="2104"/>
      <c r="F2" s="2104"/>
      <c r="G2" s="2104"/>
      <c r="H2" s="2104"/>
      <c r="I2" s="2104"/>
      <c r="J2" s="2104"/>
      <c r="K2" s="2104"/>
    </row>
    <row r="3" spans="1:31" s="2041" customFormat="1" ht="18" customHeight="1">
      <c r="A3" s="2106" t="s">
        <v>1685</v>
      </c>
      <c r="B3" s="2107">
        <f ca="1">ROUND(B2*10000/IF(B1="",'数据-汇总表'!E3,INDIRECT("'数据-取费表'!K"&amp;$K$1)),0)</f>
        <v>5644</v>
      </c>
      <c r="C3" s="2104"/>
      <c r="D3" s="2104"/>
      <c r="E3" s="2104"/>
      <c r="F3" s="2104"/>
      <c r="G3" s="2104"/>
      <c r="H3" s="2104"/>
      <c r="I3" s="2104"/>
      <c r="J3" s="2104"/>
      <c r="K3" s="2104"/>
    </row>
    <row r="4" spans="1:31" s="2041" customFormat="1" ht="18" customHeight="1">
      <c r="A4" s="425" t="s">
        <v>468</v>
      </c>
      <c r="B4" s="426">
        <f ca="1">ROUND(B2*10000/IF(B1="",'数据-汇总表'!D3,INDIRECT("'数据-取费表'!R"&amp;$K$1)),0)</f>
        <v>12416</v>
      </c>
      <c r="C4" s="427"/>
      <c r="D4" s="421"/>
      <c r="E4" s="421"/>
      <c r="F4" s="421"/>
      <c r="G4" s="421"/>
      <c r="H4" s="421"/>
      <c r="I4" s="421"/>
      <c r="J4" s="421"/>
      <c r="K4" s="421"/>
    </row>
    <row r="5" spans="1:31" s="2041" customFormat="1" ht="18" customHeight="1" thickBot="1">
      <c r="A5" s="428"/>
      <c r="B5" s="429">
        <f ca="1">ROUND(B2/(IF(B1="",'数据-汇总表'!D3,INDIRECT("'数据-取费表'!R"&amp;$K$1))/666.67),0)</f>
        <v>828</v>
      </c>
      <c r="C5" s="430" t="s">
        <v>469</v>
      </c>
      <c r="D5" s="421"/>
      <c r="E5" s="421"/>
      <c r="F5" s="421"/>
      <c r="G5" s="421"/>
      <c r="H5" s="421"/>
      <c r="I5" s="421"/>
      <c r="J5" s="421"/>
      <c r="K5" s="421"/>
    </row>
    <row r="6" spans="1:31" s="2111" customFormat="1" ht="16.5" customHeight="1">
      <c r="A6" s="2852" t="s">
        <v>1843</v>
      </c>
      <c r="B6" s="2853"/>
      <c r="C6" s="2854">
        <f>SUM(C10:K10)</f>
        <v>210119</v>
      </c>
      <c r="D6" s="2853"/>
      <c r="E6" s="2853"/>
      <c r="F6" s="2853"/>
      <c r="G6" s="2853"/>
      <c r="H6" s="2853"/>
      <c r="I6" s="2853"/>
      <c r="J6" s="2853"/>
      <c r="K6" s="2855"/>
    </row>
    <row r="7" spans="1:31" s="2113" customFormat="1" ht="15">
      <c r="A7" s="2856" t="s">
        <v>470</v>
      </c>
      <c r="B7" s="2857" t="s">
        <v>471</v>
      </c>
      <c r="C7" s="435" t="s">
        <v>2983</v>
      </c>
      <c r="D7" s="435" t="s">
        <v>2989</v>
      </c>
      <c r="E7" s="435" t="s">
        <v>2985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58">
        <v>11000</v>
      </c>
      <c r="D8" s="2858">
        <v>12000</v>
      </c>
      <c r="E8" s="2858">
        <v>13000</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55458</v>
      </c>
      <c r="D9" s="440">
        <f>SUMIF('数据-汇总表'!$C19:$C33,'剩余法-待开发'!D7,'数据-汇总表'!$E19:$E33)</f>
        <v>52943</v>
      </c>
      <c r="E9" s="440">
        <f>SUMIF('数据-汇总表'!$C19:$C33,'剩余法-待开发'!E7,'数据-汇总表'!$E19:$E33)</f>
        <v>65833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ROUND(C9*C8/10000,0)</f>
        <v>61004</v>
      </c>
      <c r="D10" s="3052">
        <f>ROUND(D9*D8/10000,0)</f>
        <v>63532</v>
      </c>
      <c r="E10" s="3052">
        <f>ROUND(E9*E8/10000,0)</f>
        <v>85583</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9">
        <f ca="1">IF(B1="",'数据-取费表'!P16,INDIRECT("'数据-取费表'!p"&amp;$K$1)+INDIRECT("'数据-取费表'!t"&amp;$K$1))</f>
        <v>45187</v>
      </c>
      <c r="D13" s="2868"/>
      <c r="E13" s="2869"/>
      <c r="F13" s="2870"/>
      <c r="G13" s="2836"/>
      <c r="H13" s="2837"/>
      <c r="I13" s="2837"/>
      <c r="J13" s="2837"/>
      <c r="K13" s="2838"/>
    </row>
    <row r="14" spans="1:31" s="2116" customFormat="1" ht="13.5" customHeight="1">
      <c r="A14" s="2866" t="s">
        <v>1850</v>
      </c>
      <c r="B14" s="2867" t="s">
        <v>480</v>
      </c>
      <c r="C14" s="53">
        <f ca="1">ROUND(C13*F14,0)</f>
        <v>2259</v>
      </c>
      <c r="D14" s="2868"/>
      <c r="E14" s="2869"/>
      <c r="F14" s="2871">
        <f>'数据-取费表'!B33</f>
        <v>0.05</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2259</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3554</v>
      </c>
      <c r="D16" s="2868">
        <f ca="1">IF(B1="",'数据-汇总表'!E3,INDIRECT("'数据-取费表'!K"&amp;$K$1)+INDIRECT("'数据-取费表'!S"&amp;$K$1))</f>
        <v>177705.36</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678</v>
      </c>
      <c r="D17" s="474"/>
      <c r="E17" s="2872"/>
      <c r="F17" s="2873">
        <f>'数据-取费表'!B36</f>
        <v>1.4999999999999999E-2</v>
      </c>
      <c r="G17" s="260" t="s">
        <v>486</v>
      </c>
      <c r="H17" s="2839"/>
      <c r="I17" s="2839"/>
      <c r="J17" s="2839"/>
      <c r="K17" s="278"/>
    </row>
    <row r="18" spans="1:14" s="2116" customFormat="1" ht="13.5" customHeight="1">
      <c r="A18" s="2874" t="s">
        <v>1854</v>
      </c>
      <c r="B18" s="2875" t="s">
        <v>487</v>
      </c>
      <c r="C18" s="2876">
        <f ca="1">SUM(C13:C17)</f>
        <v>53937</v>
      </c>
      <c r="D18" s="2877"/>
      <c r="E18" s="467"/>
      <c r="F18" s="467"/>
      <c r="G18" s="2840" t="s">
        <v>2434</v>
      </c>
      <c r="H18" s="2841"/>
      <c r="I18" s="2841"/>
      <c r="J18" s="2841"/>
      <c r="K18" s="2842"/>
    </row>
    <row r="19" spans="1:14" s="2116" customFormat="1" ht="13.5" customHeight="1">
      <c r="A19" s="2874" t="s">
        <v>1855</v>
      </c>
      <c r="B19" s="2875" t="s">
        <v>488</v>
      </c>
      <c r="C19" s="2832">
        <f ca="1">ROUND(D19*E19/10000,0)</f>
        <v>3554</v>
      </c>
      <c r="D19" s="2878">
        <f ca="1">D16</f>
        <v>177705.36</v>
      </c>
      <c r="E19" s="2832">
        <f>'数据-取费表'!B32</f>
        <v>200</v>
      </c>
      <c r="F19" s="467"/>
      <c r="G19" s="2836" t="s">
        <v>489</v>
      </c>
      <c r="H19" s="2837"/>
      <c r="I19" s="2841"/>
      <c r="J19" s="2841"/>
      <c r="K19" s="2842"/>
    </row>
    <row r="20" spans="1:14" s="2116" customFormat="1" ht="13.5" customHeight="1">
      <c r="A20" s="2874" t="s">
        <v>1856</v>
      </c>
      <c r="B20" s="2875" t="s">
        <v>490</v>
      </c>
      <c r="C20" s="2832">
        <f ca="1">C21+C22-IF(B1="",'数据-取费表'!B29,IF(G20="已全部缴纳",C21+C22,H20))</f>
        <v>-69</v>
      </c>
      <c r="D20" s="2878"/>
      <c r="E20" s="2832"/>
      <c r="F20" s="2879"/>
      <c r="G20" s="3110"/>
      <c r="H20" s="2834"/>
      <c r="I20" s="2835" t="s">
        <v>2655</v>
      </c>
      <c r="J20" s="2841"/>
      <c r="K20" s="2842"/>
    </row>
    <row r="21" spans="1:14" s="2116" customFormat="1" ht="13.5" customHeight="1">
      <c r="A21" s="2866" t="s">
        <v>1857</v>
      </c>
      <c r="B21" s="2867" t="s">
        <v>491</v>
      </c>
      <c r="C21" s="53">
        <f ca="1">ROUND(D21*E21/10000,0)</f>
        <v>3485</v>
      </c>
      <c r="D21" s="2868">
        <f ca="1">IF(B1="",'数据-汇总表'!E5,IF(INDIRECT("'数据-取费表'!c"&amp;$K$1)="住宅",INDIRECT("'数据-取费表'!k"&amp;$K$1),0))</f>
        <v>174234</v>
      </c>
      <c r="E21" s="53">
        <f>'数据-取费表'!B27</f>
        <v>200</v>
      </c>
      <c r="F21" s="2871"/>
      <c r="G21" s="26"/>
      <c r="H21" s="51"/>
      <c r="I21" s="51"/>
      <c r="J21" s="51"/>
      <c r="K21" s="2843"/>
    </row>
    <row r="22" spans="1:14" s="2116" customFormat="1" ht="13.5" customHeight="1">
      <c r="A22" s="2866" t="s">
        <v>1858</v>
      </c>
      <c r="B22" s="2867" t="s">
        <v>492</v>
      </c>
      <c r="C22" s="53">
        <f ca="1">ROUND(D22*E22/10000,0)</f>
        <v>0</v>
      </c>
      <c r="D22" s="2868">
        <f ca="1">IF(B1="",'数据-汇总表'!E6,IF(INDIRECT("'数据-取费表'!c"&amp;$K$1)="住宅",INDIRECT("'数据-取费表'!s"&amp;$K$1),INDIRECT("'数据-取费表'!k"&amp;$K$1)+INDIRECT("'数据-取费表'!s"&amp;$K$1)))</f>
        <v>3471.359999999986</v>
      </c>
      <c r="E22" s="53">
        <f>'数据-取费表'!B28</f>
        <v>0</v>
      </c>
      <c r="F22" s="2871"/>
      <c r="G22" s="26"/>
      <c r="H22" s="51"/>
      <c r="I22" s="51"/>
      <c r="J22" s="51"/>
      <c r="K22" s="2843"/>
    </row>
    <row r="23" spans="1:14" s="2116" customFormat="1" ht="13.5" customHeight="1">
      <c r="A23" s="2874" t="s">
        <v>1859</v>
      </c>
      <c r="B23" s="3058" t="s">
        <v>2838</v>
      </c>
      <c r="C23" s="2876">
        <f ca="1">ROUND((C18+C19+C20)*F23,0)</f>
        <v>1148</v>
      </c>
      <c r="D23" s="467"/>
      <c r="E23" s="467"/>
      <c r="F23" s="2880">
        <f>'数据-取费表'!B37</f>
        <v>0.02</v>
      </c>
      <c r="G23" s="2836" t="s">
        <v>2435</v>
      </c>
      <c r="H23" s="2837"/>
      <c r="I23" s="2837"/>
      <c r="J23" s="2837"/>
      <c r="K23" s="2838"/>
      <c r="L23" s="2118"/>
      <c r="M23" s="2118"/>
      <c r="N23" s="2118"/>
    </row>
    <row r="24" spans="1:14" s="2116" customFormat="1" ht="13.5" customHeight="1">
      <c r="A24" s="2874" t="s">
        <v>1860</v>
      </c>
      <c r="B24" s="3058" t="s">
        <v>2841</v>
      </c>
      <c r="C24" s="2876">
        <f>ROUND(C6*F24,0)</f>
        <v>4202</v>
      </c>
      <c r="D24" s="474"/>
      <c r="E24" s="472"/>
      <c r="F24" s="2880">
        <f>'数据-取费表'!B38</f>
        <v>0.02</v>
      </c>
      <c r="G24" s="2845" t="s">
        <v>499</v>
      </c>
      <c r="H24" s="2839"/>
      <c r="I24" s="2839"/>
      <c r="J24" s="2839"/>
      <c r="K24" s="278"/>
      <c r="L24" s="2118"/>
      <c r="M24" s="2118"/>
      <c r="N24" s="2118"/>
    </row>
    <row r="25" spans="1:14" s="2119" customFormat="1" ht="13.5" customHeight="1">
      <c r="A25" s="2874" t="s">
        <v>1861</v>
      </c>
      <c r="B25" s="3058" t="s">
        <v>2839</v>
      </c>
      <c r="C25" s="466">
        <f>ROUND(F25/(1+'数据-取费表'!C42),4)</f>
        <v>2.9000000000000001E-2</v>
      </c>
      <c r="D25" s="461" t="s">
        <v>2833</v>
      </c>
      <c r="E25" s="468"/>
      <c r="F25" s="2880">
        <f>'数据-取费表'!B48+'数据-取费表'!B49</f>
        <v>3.0499999999999999E-2</v>
      </c>
      <c r="G25" s="2844" t="s">
        <v>2292</v>
      </c>
      <c r="H25" s="2837"/>
      <c r="I25" s="2837"/>
      <c r="J25" s="2837"/>
      <c r="K25" s="2838"/>
    </row>
    <row r="26" spans="1:14" s="2118" customFormat="1" ht="13.5" customHeight="1">
      <c r="A26" s="2874" t="s">
        <v>1862</v>
      </c>
      <c r="B26" s="3059" t="s">
        <v>2840</v>
      </c>
      <c r="C26" s="2881">
        <f ca="1">C28</f>
        <v>2982</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1857</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1858</v>
      </c>
      <c r="B28" s="2882" t="s">
        <v>2842</v>
      </c>
      <c r="C28" s="2884">
        <f ca="1">ROUND(IF('数据-取费表'!B22&lt;=1,(C18+C19+C20+C23+C24)*F26*'数据-取费表'!B24/2,(C18+C19+C20+C23+C24)*(POWER((1+F26),'数据-取费表'!B24/2)-1)),0)</f>
        <v>2982</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1863</v>
      </c>
      <c r="B29" s="2875" t="s">
        <v>497</v>
      </c>
      <c r="C29" s="2876">
        <f>ROUND(C6*F29/(1+'数据-取费表'!C42),0)</f>
        <v>11206</v>
      </c>
      <c r="D29" s="467"/>
      <c r="E29" s="467"/>
      <c r="F29" s="3060">
        <f>'数据-取费表'!B41</f>
        <v>5.6000000000000001E-2</v>
      </c>
      <c r="G29" s="2845" t="s">
        <v>498</v>
      </c>
      <c r="H29" s="2837"/>
      <c r="I29" s="2837"/>
      <c r="J29" s="2837"/>
      <c r="K29" s="2838"/>
    </row>
    <row r="30" spans="1:14" s="2121" customFormat="1" ht="13.5" customHeight="1">
      <c r="A30" s="1634" t="s">
        <v>1864</v>
      </c>
      <c r="B30" s="2886" t="s">
        <v>500</v>
      </c>
      <c r="C30" s="2881">
        <f ca="1">C31</f>
        <v>76960</v>
      </c>
      <c r="D30" s="476">
        <f ca="1">C32</f>
        <v>0.12909999999999999</v>
      </c>
      <c r="E30" s="468" t="s">
        <v>495</v>
      </c>
      <c r="F30" s="470"/>
      <c r="G30" s="2844" t="s">
        <v>2977</v>
      </c>
      <c r="H30" s="2837"/>
      <c r="I30" s="2837"/>
      <c r="J30" s="2837"/>
      <c r="K30" s="2838"/>
    </row>
    <row r="31" spans="1:14" s="2120" customFormat="1" ht="13.5" customHeight="1">
      <c r="A31" s="802" t="s">
        <v>1857</v>
      </c>
      <c r="B31" s="2882"/>
      <c r="C31" s="449">
        <f ca="1">C18+C19+C20+C23+C24+C26+C29</f>
        <v>76960</v>
      </c>
      <c r="D31" s="471"/>
      <c r="E31" s="472"/>
      <c r="F31" s="473"/>
      <c r="G31" s="260"/>
      <c r="H31" s="2839"/>
      <c r="I31" s="2839"/>
      <c r="J31" s="2839"/>
      <c r="K31" s="278"/>
    </row>
    <row r="32" spans="1:14" s="2120" customFormat="1" ht="13.5" customHeight="1">
      <c r="A32" s="802" t="s">
        <v>1858</v>
      </c>
      <c r="B32" s="2882"/>
      <c r="C32" s="53">
        <f ca="1">ROUND(C25+D26,4)</f>
        <v>0.12909999999999999</v>
      </c>
      <c r="D32" s="471"/>
      <c r="E32" s="472"/>
      <c r="F32" s="473"/>
      <c r="G32" s="260"/>
      <c r="H32" s="2839"/>
      <c r="I32" s="2839"/>
      <c r="J32" s="2839"/>
      <c r="K32" s="278"/>
    </row>
    <row r="33" spans="1:11" s="2122" customFormat="1" ht="13.5" customHeight="1">
      <c r="A33" s="3057" t="s">
        <v>2837</v>
      </c>
      <c r="B33" s="3055" t="s">
        <v>2835</v>
      </c>
      <c r="C33" s="477">
        <f ca="1">C35</f>
        <v>7533</v>
      </c>
      <c r="D33" s="466">
        <f ca="1">C34</f>
        <v>0.1235</v>
      </c>
      <c r="E33" s="468" t="s">
        <v>495</v>
      </c>
      <c r="F33" s="478">
        <f ca="1">IF(B1="",'数据-取费表'!Q16,INDIRECT("'数据-取费表'!q"&amp;$K$1))</f>
        <v>0.12</v>
      </c>
      <c r="G33" s="2840"/>
      <c r="H33" s="2841"/>
      <c r="I33" s="2841"/>
      <c r="J33" s="2841"/>
      <c r="K33" s="2842"/>
    </row>
    <row r="34" spans="1:11" s="2123" customFormat="1" ht="13.5" customHeight="1">
      <c r="A34" s="374" t="s">
        <v>1857</v>
      </c>
      <c r="B34" s="2887" t="s">
        <v>501</v>
      </c>
      <c r="C34" s="471">
        <f ca="1">ROUND((1+C25)*F33,4)</f>
        <v>0.1235</v>
      </c>
      <c r="D34" s="471"/>
      <c r="E34" s="472"/>
      <c r="F34" s="479"/>
      <c r="G34" s="260" t="s">
        <v>2293</v>
      </c>
      <c r="H34" s="2839"/>
      <c r="I34" s="2839"/>
      <c r="J34" s="2839"/>
      <c r="K34" s="278"/>
    </row>
    <row r="35" spans="1:11" s="2123" customFormat="1" ht="13.5" customHeight="1" thickBot="1">
      <c r="A35" s="1635" t="s">
        <v>1858</v>
      </c>
      <c r="B35" s="3056" t="s">
        <v>2843</v>
      </c>
      <c r="C35" s="1627">
        <f ca="1">ROUND((C18+C19+C20+C23+C24)*F33,0)</f>
        <v>7533</v>
      </c>
      <c r="D35" s="1628"/>
      <c r="E35" s="2888"/>
      <c r="F35" s="1629"/>
      <c r="G35" s="2846"/>
      <c r="H35" s="2847"/>
      <c r="I35" s="2847"/>
      <c r="J35" s="2847"/>
      <c r="K35" s="2848"/>
    </row>
    <row r="36" spans="1:11" s="2085" customFormat="1" ht="13.5" customHeight="1" thickBot="1">
      <c r="A36" s="283" t="s">
        <v>1845</v>
      </c>
      <c r="B36" s="2850"/>
      <c r="C36" s="2889">
        <f ca="1">ROUND((C6-C30-C33)/(1+D30+D33),0)</f>
        <v>100292</v>
      </c>
      <c r="D36" s="2850"/>
      <c r="E36" s="2850"/>
      <c r="F36" s="2850"/>
      <c r="G36" s="2849" t="s">
        <v>2844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89" t="str">
        <f>项目基本情况!B1</f>
        <v>国有建设用地使用权预评估</v>
      </c>
      <c r="C37" s="3289"/>
      <c r="D37" s="3289"/>
      <c r="E37" s="3289"/>
      <c r="F37" s="3289"/>
      <c r="G37" s="3289"/>
      <c r="H37" s="3289"/>
      <c r="I37" s="3289"/>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土地估价师、土地估价师</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2656</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45187</v>
      </c>
      <c r="D13" s="450"/>
      <c r="E13" s="364"/>
      <c r="F13" s="451"/>
      <c r="G13" s="443"/>
      <c r="H13" s="446"/>
      <c r="I13" s="446"/>
      <c r="J13" s="446"/>
      <c r="K13" s="447"/>
    </row>
    <row r="14" spans="1:41" s="2116" customFormat="1" ht="13.5" customHeight="1">
      <c r="A14" s="1632" t="s">
        <v>1850</v>
      </c>
      <c r="B14" s="448" t="s">
        <v>480</v>
      </c>
      <c r="C14" s="53">
        <f ca="1">ROUND(C13*F14,0)</f>
        <v>2259</v>
      </c>
      <c r="D14" s="450"/>
      <c r="E14" s="364"/>
      <c r="F14" s="452">
        <f>'数据-取费表'!B33</f>
        <v>0.05</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2259</v>
      </c>
      <c r="D15" s="450"/>
      <c r="E15" s="364"/>
      <c r="F15" s="452">
        <f>'数据-取费表'!B34</f>
        <v>0.05</v>
      </c>
      <c r="G15" s="443" t="s">
        <v>502</v>
      </c>
      <c r="H15" s="446"/>
      <c r="I15" s="446"/>
      <c r="J15" s="446"/>
      <c r="K15" s="447"/>
    </row>
    <row r="16" spans="1:41" s="2117" customFormat="1" ht="13.5" customHeight="1">
      <c r="A16" s="1632" t="s">
        <v>1852</v>
      </c>
      <c r="B16" s="448" t="s">
        <v>484</v>
      </c>
      <c r="C16" s="53">
        <f ca="1">ROUND(D16*E16/10000,0)</f>
        <v>3554</v>
      </c>
      <c r="D16" s="450">
        <f ca="1">IF(B1="",'数据-汇总表'!E3,INDIRECT("'数据-取费表'!K"&amp;$K$1)+INDIRECT("'数据-取费表'!S"&amp;$K$1))</f>
        <v>177705.36</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678</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53937</v>
      </c>
      <c r="D18" s="460"/>
      <c r="E18" s="461"/>
      <c r="F18" s="461"/>
      <c r="G18" s="1326" t="s">
        <v>2436</v>
      </c>
      <c r="H18" s="446"/>
      <c r="I18" s="446"/>
      <c r="J18" s="446"/>
      <c r="K18" s="447"/>
    </row>
    <row r="19" spans="1:14" s="2119" customFormat="1" ht="13.5" customHeight="1">
      <c r="A19" s="1633" t="s">
        <v>1855</v>
      </c>
      <c r="B19" s="458" t="s">
        <v>493</v>
      </c>
      <c r="C19" s="459">
        <f ca="1">ROUND(C18*F19,0)</f>
        <v>1079</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53">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1859</v>
      </c>
      <c r="B21" s="460" t="s">
        <v>494</v>
      </c>
      <c r="C21" s="469">
        <f ca="1">C22</f>
        <v>2613</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2458</v>
      </c>
    </row>
    <row r="22" spans="1:14" s="2120" customFormat="1" ht="13.5" customHeight="1">
      <c r="A22" s="1632" t="s">
        <v>1849</v>
      </c>
      <c r="B22" s="1327" t="s">
        <v>2439</v>
      </c>
      <c r="C22" s="486">
        <f ca="1">ROUND(IF('数据-取费表'!B22&lt;=1,(C18+C19)*F21*'数据-取费表'!B20/2,(C18+C19)*(POWER((1+F21),'数据-取费表'!B20/2)-1)),0)</f>
        <v>2613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55" t="s">
        <v>2836</v>
      </c>
      <c r="C24" s="477">
        <f ca="1">C25</f>
        <v>6602</v>
      </c>
      <c r="D24" s="488">
        <f ca="1">C26</f>
        <v>2.3999999999999998E-3</v>
      </c>
      <c r="E24" s="468" t="s">
        <v>507</v>
      </c>
      <c r="F24" s="478">
        <f ca="1">IF(B1="",'数据-取费表'!Q16,INDIRECT("'数据-取费表'!q"&amp;$K$1))</f>
        <v>0.12</v>
      </c>
      <c r="G24" s="443"/>
      <c r="H24" s="446"/>
      <c r="I24" s="446"/>
      <c r="J24" s="446"/>
      <c r="K24" s="447"/>
    </row>
    <row r="25" spans="1:14" s="2120" customFormat="1" ht="13.5" customHeight="1">
      <c r="A25" s="1632" t="s">
        <v>1849</v>
      </c>
      <c r="B25" s="1327" t="s">
        <v>2440</v>
      </c>
      <c r="C25" s="489">
        <f ca="1">ROUND((C18+C19)*F24,0)</f>
        <v>6602</v>
      </c>
      <c r="D25" s="471"/>
      <c r="E25" s="472"/>
      <c r="F25" s="479"/>
      <c r="G25" s="1325" t="s">
        <v>2437</v>
      </c>
      <c r="H25" s="456"/>
      <c r="I25" s="456"/>
      <c r="J25" s="456"/>
      <c r="K25" s="457"/>
    </row>
    <row r="26" spans="1:14" s="2120" customFormat="1" ht="13.5" customHeight="1">
      <c r="A26" s="1632" t="s">
        <v>1850</v>
      </c>
      <c r="B26" s="1327" t="s">
        <v>509</v>
      </c>
      <c r="C26" s="490">
        <f ca="1">ROUND(F20*F24,4)</f>
        <v>2.3999999999999998E-3</v>
      </c>
      <c r="D26" s="471"/>
      <c r="E26" s="480"/>
      <c r="F26" s="479"/>
      <c r="G26" s="1325" t="s">
        <v>510</v>
      </c>
      <c r="H26" s="456"/>
      <c r="I26" s="456"/>
      <c r="J26" s="456"/>
      <c r="K26" s="457"/>
    </row>
    <row r="27" spans="1:14" s="2120" customFormat="1" ht="13.5" customHeight="1">
      <c r="A27" s="1636" t="s">
        <v>1868</v>
      </c>
      <c r="B27" s="458" t="s">
        <v>511</v>
      </c>
      <c r="C27" s="3054">
        <f>ROUND(F27/(1+'数据-取费表'!C42),4)</f>
        <v>5.33E-2</v>
      </c>
      <c r="D27" s="461" t="s">
        <v>2834</v>
      </c>
      <c r="E27" s="461"/>
      <c r="F27" s="465">
        <f>'数据-取费表'!B41</f>
        <v>5.6000000000000001E-2</v>
      </c>
      <c r="G27" s="1960" t="s">
        <v>2294</v>
      </c>
      <c r="H27" s="446"/>
      <c r="I27" s="446"/>
      <c r="J27" s="446"/>
      <c r="K27" s="447"/>
    </row>
    <row r="28" spans="1:14" s="2121" customFormat="1" ht="13.5" customHeight="1">
      <c r="A28" s="1636" t="s">
        <v>1869</v>
      </c>
      <c r="B28" s="475" t="s">
        <v>512</v>
      </c>
      <c r="C28" s="469">
        <f ca="1">ROUND((C18+C19+C21+C24)/(1-C20-D21-D24-C27),0)</f>
        <v>69567</v>
      </c>
      <c r="D28" s="476"/>
      <c r="E28" s="468"/>
      <c r="F28" s="470"/>
      <c r="G28" s="1326" t="s">
        <v>2438</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7" t="s">
        <v>2978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63" t="s">
        <v>522</v>
      </c>
      <c r="D6" s="3464"/>
      <c r="E6" s="3499" t="s">
        <v>523</v>
      </c>
      <c r="F6" s="3500"/>
      <c r="G6" s="3463" t="s">
        <v>524</v>
      </c>
      <c r="H6" s="3464"/>
      <c r="I6" s="3463" t="s">
        <v>525</v>
      </c>
      <c r="J6" s="3464"/>
      <c r="K6" s="513" t="s">
        <v>526</v>
      </c>
      <c r="L6" s="2133"/>
      <c r="M6" s="2134"/>
      <c r="N6" s="2134"/>
      <c r="O6" s="2134"/>
      <c r="P6" s="3465" t="s">
        <v>527</v>
      </c>
      <c r="Q6" s="3466"/>
      <c r="R6" s="3471" t="s">
        <v>523</v>
      </c>
      <c r="S6" s="3472"/>
      <c r="T6" s="3471" t="s">
        <v>524</v>
      </c>
      <c r="U6" s="3472"/>
      <c r="V6" s="3458" t="s">
        <v>525</v>
      </c>
      <c r="W6" s="3458"/>
      <c r="X6" s="1566"/>
      <c r="Y6" s="3471" t="s">
        <v>527</v>
      </c>
      <c r="Z6" s="3472"/>
      <c r="AA6" s="3460" t="s">
        <v>523</v>
      </c>
      <c r="AB6" s="3461" t="s">
        <v>524</v>
      </c>
      <c r="AC6" s="3460" t="s">
        <v>525</v>
      </c>
    </row>
    <row r="7" spans="1:29" ht="15">
      <c r="A7" s="514"/>
      <c r="B7" s="515"/>
      <c r="C7" s="3479" t="s">
        <v>2931</v>
      </c>
      <c r="D7" s="3480"/>
      <c r="E7" s="3501" t="s">
        <v>2932</v>
      </c>
      <c r="F7" s="3502"/>
      <c r="G7" s="3479" t="s">
        <v>2933</v>
      </c>
      <c r="H7" s="3480"/>
      <c r="I7" s="3479" t="s">
        <v>2934</v>
      </c>
      <c r="J7" s="3480"/>
      <c r="K7" s="513"/>
      <c r="L7" s="2133"/>
      <c r="M7" s="2134"/>
      <c r="N7" s="2134"/>
      <c r="O7" s="2134"/>
      <c r="P7" s="3467"/>
      <c r="Q7" s="3468"/>
      <c r="R7" s="3473"/>
      <c r="S7" s="3474"/>
      <c r="T7" s="3473"/>
      <c r="U7" s="3474"/>
      <c r="V7" s="3458"/>
      <c r="W7" s="3458"/>
      <c r="X7" s="1566"/>
      <c r="Y7" s="3473"/>
      <c r="Z7" s="3474"/>
      <c r="AA7" s="3461"/>
      <c r="AB7" s="3461"/>
      <c r="AC7" s="3461"/>
    </row>
    <row r="8" spans="1:29" ht="15.75" thickBot="1">
      <c r="A8" s="516"/>
      <c r="B8" s="517"/>
      <c r="C8" s="3495" t="s">
        <v>2935</v>
      </c>
      <c r="D8" s="3496"/>
      <c r="E8" s="3497" t="s">
        <v>2935</v>
      </c>
      <c r="F8" s="3498"/>
      <c r="G8" s="3495" t="s">
        <v>2935</v>
      </c>
      <c r="H8" s="3496"/>
      <c r="I8" s="3495" t="s">
        <v>2935</v>
      </c>
      <c r="J8" s="3496"/>
      <c r="K8" s="513" t="s">
        <v>528</v>
      </c>
      <c r="L8" s="2133"/>
      <c r="M8" s="2134"/>
      <c r="N8" s="2134"/>
      <c r="O8" s="2134"/>
      <c r="P8" s="3469"/>
      <c r="Q8" s="3470"/>
      <c r="R8" s="3473"/>
      <c r="S8" s="3474"/>
      <c r="T8" s="3475"/>
      <c r="U8" s="3476"/>
      <c r="V8" s="3458"/>
      <c r="W8" s="3458"/>
      <c r="X8" s="1566"/>
      <c r="Y8" s="3475"/>
      <c r="Z8" s="3476"/>
      <c r="AA8" s="3462"/>
      <c r="AB8" s="3462"/>
      <c r="AC8" s="3462"/>
    </row>
    <row r="9" spans="1:29" s="1219" customFormat="1" ht="15.75" thickBot="1">
      <c r="A9" s="2935"/>
      <c r="B9" s="2942" t="s">
        <v>529</v>
      </c>
      <c r="C9" s="518">
        <f>'数据-取费表'!B2</f>
        <v>43209</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88" t="s">
        <v>530</v>
      </c>
      <c r="Q9" s="3490"/>
      <c r="R9" s="1567" t="s">
        <v>8</v>
      </c>
      <c r="S9" s="1568">
        <f t="shared" ref="S9:S17" si="0">F9</f>
        <v>0</v>
      </c>
      <c r="T9" s="1567" t="s">
        <v>8</v>
      </c>
      <c r="U9" s="1568">
        <f t="shared" ref="U9:U17" si="1">H9</f>
        <v>0</v>
      </c>
      <c r="V9" s="1567" t="s">
        <v>8</v>
      </c>
      <c r="W9" s="1568">
        <f t="shared" ref="W9:W17" si="2">J9</f>
        <v>0</v>
      </c>
      <c r="X9" s="1569"/>
      <c r="Y9" s="3488" t="s">
        <v>530</v>
      </c>
      <c r="Z9" s="3489"/>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88" t="s">
        <v>533</v>
      </c>
      <c r="Q10" s="3489"/>
      <c r="R10" s="1567" t="s">
        <v>8</v>
      </c>
      <c r="S10" s="1568">
        <f t="shared" si="0"/>
        <v>0</v>
      </c>
      <c r="T10" s="1567" t="s">
        <v>8</v>
      </c>
      <c r="U10" s="1568">
        <f t="shared" si="1"/>
        <v>0</v>
      </c>
      <c r="V10" s="1567" t="s">
        <v>8</v>
      </c>
      <c r="W10" s="1568">
        <f t="shared" si="2"/>
        <v>0</v>
      </c>
      <c r="X10" s="1569"/>
      <c r="Y10" s="3488" t="s">
        <v>533</v>
      </c>
      <c r="Z10" s="3489"/>
      <c r="AA10" s="1570" t="e">
        <f t="shared" ref="AA10:AA42" si="3">D10/F10</f>
        <v>#DIV/0!</v>
      </c>
      <c r="AB10" s="1570" t="e">
        <f t="shared" ref="AB10:AB42" si="4">D10/H10</f>
        <v>#DIV/0!</v>
      </c>
      <c r="AC10" s="1570" t="e">
        <f t="shared" ref="AC10:AC42" si="5">D10/J10</f>
        <v>#DIV/0!</v>
      </c>
    </row>
    <row r="11" spans="1:29" s="1219" customFormat="1" ht="15">
      <c r="A11" s="2937"/>
      <c r="B11" s="2944" t="s">
        <v>2760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57" t="s">
        <v>535</v>
      </c>
      <c r="Q11" s="1150" t="str">
        <f t="shared" ref="Q11:Q17" si="6">B11</f>
        <v>用途</v>
      </c>
      <c r="R11" s="1567" t="s">
        <v>8</v>
      </c>
      <c r="S11" s="1568">
        <f t="shared" si="0"/>
        <v>100</v>
      </c>
      <c r="T11" s="1567" t="s">
        <v>8</v>
      </c>
      <c r="U11" s="1568">
        <f t="shared" si="1"/>
        <v>100</v>
      </c>
      <c r="V11" s="1567" t="s">
        <v>8</v>
      </c>
      <c r="W11" s="1568">
        <f t="shared" si="2"/>
        <v>100</v>
      </c>
      <c r="X11" s="1569"/>
      <c r="Y11" s="3403" t="s">
        <v>536</v>
      </c>
      <c r="Z11" s="1149" t="str">
        <f t="shared" ref="Z11:Z17" si="7">Q11</f>
        <v>用途</v>
      </c>
      <c r="AA11" s="1570">
        <f t="shared" si="3"/>
        <v>1</v>
      </c>
      <c r="AB11" s="1570">
        <f t="shared" si="4"/>
        <v>1</v>
      </c>
      <c r="AC11" s="1570">
        <f t="shared" si="5"/>
        <v>1</v>
      </c>
    </row>
    <row r="12" spans="1:29" s="1337" customFormat="1" ht="27">
      <c r="A12" s="2938"/>
      <c r="B12" s="2943" t="s">
        <v>2761</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57"/>
      <c r="Q12" s="1150" t="str">
        <f t="shared" si="6"/>
        <v>土地使用年限（年）</v>
      </c>
      <c r="R12" s="1567" t="s">
        <v>8</v>
      </c>
      <c r="S12" s="1568">
        <f t="shared" si="0"/>
        <v>100</v>
      </c>
      <c r="T12" s="1567" t="s">
        <v>8</v>
      </c>
      <c r="U12" s="1568">
        <f t="shared" si="1"/>
        <v>100</v>
      </c>
      <c r="V12" s="1567" t="s">
        <v>8</v>
      </c>
      <c r="W12" s="1568">
        <f t="shared" si="2"/>
        <v>100</v>
      </c>
      <c r="X12" s="1569"/>
      <c r="Y12" s="3403"/>
      <c r="Z12" s="1149" t="str">
        <f t="shared" si="7"/>
        <v>土地使用年限（年）</v>
      </c>
      <c r="AA12" s="1570">
        <f t="shared" si="3"/>
        <v>1</v>
      </c>
      <c r="AB12" s="1570">
        <f t="shared" si="4"/>
        <v>1</v>
      </c>
      <c r="AC12" s="1570">
        <f t="shared" si="5"/>
        <v>1</v>
      </c>
    </row>
    <row r="13" spans="1:29" ht="15">
      <c r="A13" s="2939"/>
      <c r="B13" s="2943"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57"/>
      <c r="Q13" s="1150" t="str">
        <f t="shared" si="6"/>
        <v>容积率</v>
      </c>
      <c r="R13" s="1567" t="s">
        <v>8</v>
      </c>
      <c r="S13" s="1568" t="e">
        <f t="shared" si="0"/>
        <v>#N/A</v>
      </c>
      <c r="T13" s="1567" t="s">
        <v>8</v>
      </c>
      <c r="U13" s="1568" t="e">
        <f t="shared" si="1"/>
        <v>#N/A</v>
      </c>
      <c r="V13" s="1567" t="s">
        <v>8</v>
      </c>
      <c r="W13" s="1568" t="e">
        <f t="shared" si="2"/>
        <v>#N/A</v>
      </c>
      <c r="X13" s="1569"/>
      <c r="Y13" s="3403"/>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57"/>
      <c r="Q14" s="1150">
        <f t="shared" si="6"/>
        <v>111</v>
      </c>
      <c r="R14" s="1567" t="s">
        <v>8</v>
      </c>
      <c r="S14" s="1568">
        <f t="shared" si="0"/>
        <v>100</v>
      </c>
      <c r="T14" s="1567" t="s">
        <v>8</v>
      </c>
      <c r="U14" s="1568">
        <f t="shared" si="1"/>
        <v>100</v>
      </c>
      <c r="V14" s="1567" t="s">
        <v>8</v>
      </c>
      <c r="W14" s="1568">
        <f t="shared" si="2"/>
        <v>100</v>
      </c>
      <c r="X14" s="1569"/>
      <c r="Y14" s="3403"/>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57"/>
      <c r="Q15" s="1150">
        <f t="shared" si="6"/>
        <v>111</v>
      </c>
      <c r="R15" s="1567" t="s">
        <v>8</v>
      </c>
      <c r="S15" s="1568">
        <f t="shared" si="0"/>
        <v>100</v>
      </c>
      <c r="T15" s="1567" t="s">
        <v>8</v>
      </c>
      <c r="U15" s="1568">
        <f t="shared" si="1"/>
        <v>100</v>
      </c>
      <c r="V15" s="1567" t="s">
        <v>8</v>
      </c>
      <c r="W15" s="1568">
        <f t="shared" si="2"/>
        <v>100</v>
      </c>
      <c r="X15" s="1569"/>
      <c r="Y15" s="3403"/>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57"/>
      <c r="Q16" s="1150">
        <f t="shared" si="6"/>
        <v>111</v>
      </c>
      <c r="R16" s="1567" t="s">
        <v>8</v>
      </c>
      <c r="S16" s="1568">
        <f t="shared" si="0"/>
        <v>100</v>
      </c>
      <c r="T16" s="1567" t="s">
        <v>8</v>
      </c>
      <c r="U16" s="1568">
        <f t="shared" si="1"/>
        <v>100</v>
      </c>
      <c r="V16" s="1567" t="s">
        <v>8</v>
      </c>
      <c r="W16" s="1568">
        <f t="shared" si="2"/>
        <v>100</v>
      </c>
      <c r="X16" s="1569"/>
      <c r="Y16" s="3403"/>
      <c r="Z16" s="1149">
        <f t="shared" si="7"/>
        <v>111</v>
      </c>
      <c r="AA16" s="1570">
        <f t="shared" si="3"/>
        <v>1</v>
      </c>
      <c r="AB16" s="1570">
        <f t="shared" si="4"/>
        <v>1</v>
      </c>
      <c r="AC16" s="1570">
        <f t="shared" si="5"/>
        <v>1</v>
      </c>
    </row>
    <row r="17" spans="1:29" ht="57">
      <c r="A17" s="2933" t="s">
        <v>2758</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91" t="s">
        <v>540</v>
      </c>
      <c r="Q17" s="1571" t="str">
        <f t="shared" si="6"/>
        <v>产业集聚程度</v>
      </c>
      <c r="R17" s="1572" t="s">
        <v>8</v>
      </c>
      <c r="S17" s="1573">
        <f t="shared" si="0"/>
        <v>100</v>
      </c>
      <c r="T17" s="1572" t="s">
        <v>8</v>
      </c>
      <c r="U17" s="1573">
        <f t="shared" si="1"/>
        <v>100</v>
      </c>
      <c r="V17" s="1572" t="s">
        <v>8</v>
      </c>
      <c r="W17" s="1573">
        <f t="shared" si="2"/>
        <v>100</v>
      </c>
      <c r="X17" s="1566"/>
      <c r="Y17" s="3491"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92"/>
      <c r="Q18" s="1571"/>
      <c r="R18" s="1572"/>
      <c r="S18" s="1573"/>
      <c r="T18" s="1572"/>
      <c r="U18" s="1573"/>
      <c r="V18" s="1572"/>
      <c r="W18" s="1573"/>
      <c r="X18" s="1566"/>
      <c r="Y18" s="3492"/>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92"/>
      <c r="Q19" s="1571" t="str">
        <f>B19</f>
        <v>交通便捷度</v>
      </c>
      <c r="R19" s="1572" t="s">
        <v>8</v>
      </c>
      <c r="S19" s="1573">
        <f>F19</f>
        <v>100</v>
      </c>
      <c r="T19" s="1572" t="s">
        <v>8</v>
      </c>
      <c r="U19" s="1573">
        <f>H19</f>
        <v>100</v>
      </c>
      <c r="V19" s="1572" t="s">
        <v>8</v>
      </c>
      <c r="W19" s="1573">
        <f>J19</f>
        <v>100</v>
      </c>
      <c r="X19" s="1566"/>
      <c r="Y19" s="349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92"/>
      <c r="Q20" s="1571"/>
      <c r="R20" s="1572"/>
      <c r="S20" s="1573"/>
      <c r="T20" s="1572"/>
      <c r="U20" s="1573"/>
      <c r="V20" s="1572"/>
      <c r="W20" s="1573"/>
      <c r="X20" s="1566"/>
      <c r="Y20" s="3492"/>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92"/>
      <c r="Q21" s="1571" t="str">
        <f t="shared" ref="Q21:Q35" si="8">B21</f>
        <v>区域土地利用方向</v>
      </c>
      <c r="R21" s="1572" t="s">
        <v>8</v>
      </c>
      <c r="S21" s="1573">
        <f>F21</f>
        <v>100</v>
      </c>
      <c r="T21" s="1572" t="s">
        <v>8</v>
      </c>
      <c r="U21" s="1573">
        <f>H21</f>
        <v>100</v>
      </c>
      <c r="V21" s="1572" t="s">
        <v>8</v>
      </c>
      <c r="W21" s="1573">
        <f>J21</f>
        <v>100</v>
      </c>
      <c r="X21" s="1566"/>
      <c r="Y21" s="349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92"/>
      <c r="Q22" s="1571"/>
      <c r="R22" s="1572"/>
      <c r="S22" s="1573"/>
      <c r="T22" s="1572"/>
      <c r="U22" s="1573"/>
      <c r="V22" s="1572"/>
      <c r="W22" s="1573"/>
      <c r="X22" s="1566"/>
      <c r="Y22" s="3492"/>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92"/>
      <c r="Q23" s="1571" t="str">
        <f t="shared" si="8"/>
        <v>环境状况</v>
      </c>
      <c r="R23" s="1572" t="s">
        <v>8</v>
      </c>
      <c r="S23" s="1573">
        <f>F23</f>
        <v>100</v>
      </c>
      <c r="T23" s="1572" t="s">
        <v>8</v>
      </c>
      <c r="U23" s="1573">
        <f>H23</f>
        <v>100</v>
      </c>
      <c r="V23" s="1572" t="s">
        <v>8</v>
      </c>
      <c r="W23" s="1573">
        <f>J23</f>
        <v>100</v>
      </c>
      <c r="X23" s="1566"/>
      <c r="Y23" s="349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92"/>
      <c r="Q24" s="1571"/>
      <c r="R24" s="1572"/>
      <c r="S24" s="1573"/>
      <c r="T24" s="1572"/>
      <c r="U24" s="1573"/>
      <c r="V24" s="1572"/>
      <c r="W24" s="1573"/>
      <c r="X24" s="1566"/>
      <c r="Y24" s="3492"/>
      <c r="Z24" s="1574"/>
      <c r="AA24" s="1575">
        <v>1</v>
      </c>
      <c r="AB24" s="1575">
        <v>1</v>
      </c>
      <c r="AC24" s="1575">
        <v>1</v>
      </c>
    </row>
    <row r="25" spans="1:29" s="1219" customFormat="1" ht="42.75">
      <c r="A25" s="576"/>
      <c r="B25" s="2617" t="s">
        <v>2552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92"/>
      <c r="Q25" s="1150" t="str">
        <f t="shared" si="8"/>
        <v>公共配套设施</v>
      </c>
      <c r="R25" s="1567" t="s">
        <v>8</v>
      </c>
      <c r="S25" s="1568">
        <f>F25</f>
        <v>100</v>
      </c>
      <c r="T25" s="1567" t="s">
        <v>8</v>
      </c>
      <c r="U25" s="1568">
        <f>H25</f>
        <v>100</v>
      </c>
      <c r="V25" s="1567" t="s">
        <v>8</v>
      </c>
      <c r="W25" s="1568">
        <f>J25</f>
        <v>100</v>
      </c>
      <c r="X25" s="1569"/>
      <c r="Y25" s="3492"/>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92"/>
      <c r="Q26" s="1150"/>
      <c r="R26" s="1567"/>
      <c r="S26" s="1568"/>
      <c r="T26" s="1567"/>
      <c r="U26" s="1568"/>
      <c r="V26" s="1567"/>
      <c r="W26" s="1568"/>
      <c r="X26" s="1569"/>
      <c r="Y26" s="3492"/>
      <c r="Z26" s="1149"/>
      <c r="AA26" s="1570">
        <v>1</v>
      </c>
      <c r="AB26" s="1570">
        <v>1</v>
      </c>
      <c r="AC26" s="1570">
        <v>1</v>
      </c>
    </row>
    <row r="27" spans="1:29" s="1219" customFormat="1" ht="28.5">
      <c r="A27" s="576"/>
      <c r="B27" s="2617" t="s">
        <v>2553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92"/>
      <c r="Q27" s="2602" t="str">
        <f t="shared" ref="Q27" si="9">B27</f>
        <v>基础设施水平</v>
      </c>
      <c r="R27" s="1567" t="s">
        <v>8</v>
      </c>
      <c r="S27" s="1568">
        <f>F27</f>
        <v>100</v>
      </c>
      <c r="T27" s="1567" t="s">
        <v>8</v>
      </c>
      <c r="U27" s="1568">
        <f>H27</f>
        <v>100</v>
      </c>
      <c r="V27" s="1567" t="s">
        <v>8</v>
      </c>
      <c r="W27" s="1568">
        <f>J27</f>
        <v>100</v>
      </c>
      <c r="X27" s="1569"/>
      <c r="Y27" s="3492"/>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92"/>
      <c r="Q28" s="2602"/>
      <c r="R28" s="1567"/>
      <c r="S28" s="1568"/>
      <c r="T28" s="1567"/>
      <c r="U28" s="1568"/>
      <c r="V28" s="1567"/>
      <c r="W28" s="1568"/>
      <c r="X28" s="1569"/>
      <c r="Y28" s="3492"/>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9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92"/>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92"/>
      <c r="Q30" s="1571" t="str">
        <f t="shared" si="8"/>
        <v>毗邻道路的类型与等级</v>
      </c>
      <c r="R30" s="1572" t="s">
        <v>8</v>
      </c>
      <c r="S30" s="1573">
        <f t="shared" si="10"/>
        <v>100</v>
      </c>
      <c r="T30" s="1572" t="s">
        <v>8</v>
      </c>
      <c r="U30" s="1573">
        <f t="shared" si="11"/>
        <v>100</v>
      </c>
      <c r="V30" s="1572" t="s">
        <v>8</v>
      </c>
      <c r="W30" s="1573">
        <f t="shared" si="12"/>
        <v>100</v>
      </c>
      <c r="X30" s="1566"/>
      <c r="Y30" s="3492"/>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92"/>
      <c r="Q31" s="1571"/>
      <c r="R31" s="1572"/>
      <c r="S31" s="1573"/>
      <c r="T31" s="1572"/>
      <c r="U31" s="1573"/>
      <c r="V31" s="1572"/>
      <c r="W31" s="1573"/>
      <c r="X31" s="1566"/>
      <c r="Y31" s="3492"/>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92"/>
      <c r="Q32" s="1571" t="str">
        <f t="shared" si="8"/>
        <v>土地级别</v>
      </c>
      <c r="R32" s="1572" t="s">
        <v>8</v>
      </c>
      <c r="S32" s="1573">
        <f t="shared" si="10"/>
        <v>100</v>
      </c>
      <c r="T32" s="1572" t="s">
        <v>8</v>
      </c>
      <c r="U32" s="1573">
        <f t="shared" si="11"/>
        <v>100</v>
      </c>
      <c r="V32" s="1572" t="s">
        <v>8</v>
      </c>
      <c r="W32" s="1573">
        <f t="shared" si="12"/>
        <v>100</v>
      </c>
      <c r="X32" s="1566"/>
      <c r="Y32" s="349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92"/>
      <c r="Q33" s="1571">
        <f t="shared" si="8"/>
        <v>111</v>
      </c>
      <c r="R33" s="1572" t="s">
        <v>8</v>
      </c>
      <c r="S33" s="1573">
        <f t="shared" si="10"/>
        <v>100</v>
      </c>
      <c r="T33" s="1572" t="s">
        <v>8</v>
      </c>
      <c r="U33" s="1573">
        <f t="shared" si="11"/>
        <v>100</v>
      </c>
      <c r="V33" s="1572" t="s">
        <v>8</v>
      </c>
      <c r="W33" s="1573">
        <f t="shared" si="12"/>
        <v>100</v>
      </c>
      <c r="X33" s="1566"/>
      <c r="Y33" s="349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93" t="s">
        <v>550</v>
      </c>
      <c r="Q34" s="1571">
        <f t="shared" si="8"/>
        <v>111</v>
      </c>
      <c r="R34" s="1572" t="s">
        <v>8</v>
      </c>
      <c r="S34" s="1573">
        <f t="shared" si="10"/>
        <v>100</v>
      </c>
      <c r="T34" s="1572" t="s">
        <v>8</v>
      </c>
      <c r="U34" s="1573">
        <f t="shared" si="11"/>
        <v>100</v>
      </c>
      <c r="V34" s="1572" t="s">
        <v>8</v>
      </c>
      <c r="W34" s="1573">
        <f t="shared" si="12"/>
        <v>100</v>
      </c>
      <c r="X34" s="1566"/>
      <c r="Y34" s="3494"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94"/>
      <c r="Q35" s="1571">
        <f t="shared" si="8"/>
        <v>111</v>
      </c>
      <c r="R35" s="1576" t="s">
        <v>8</v>
      </c>
      <c r="S35" s="1577">
        <f t="shared" si="10"/>
        <v>100</v>
      </c>
      <c r="T35" s="1576" t="s">
        <v>8</v>
      </c>
      <c r="U35" s="1577">
        <f t="shared" si="11"/>
        <v>100</v>
      </c>
      <c r="V35" s="1576" t="s">
        <v>8</v>
      </c>
      <c r="W35" s="1577">
        <f t="shared" si="12"/>
        <v>100</v>
      </c>
      <c r="X35" s="1578"/>
      <c r="Y35" s="3494"/>
      <c r="Z35" s="1579">
        <f t="shared" si="13"/>
        <v>111</v>
      </c>
      <c r="AA35" s="1575">
        <f t="shared" si="3"/>
        <v>1</v>
      </c>
      <c r="AB35" s="1575">
        <f t="shared" si="4"/>
        <v>1</v>
      </c>
      <c r="AC35" s="1575">
        <f t="shared" si="5"/>
        <v>1</v>
      </c>
    </row>
    <row r="36" spans="1:29" ht="15">
      <c r="A36" s="2931" t="s">
        <v>2759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94"/>
      <c r="Q36" s="1571" t="str">
        <f>B36</f>
        <v>宗地面积</v>
      </c>
      <c r="R36" s="1572" t="s">
        <v>8</v>
      </c>
      <c r="S36" s="1573" t="e">
        <f t="shared" si="10"/>
        <v>#N/A</v>
      </c>
      <c r="T36" s="1572" t="s">
        <v>8</v>
      </c>
      <c r="U36" s="1573" t="e">
        <f t="shared" si="11"/>
        <v>#N/A</v>
      </c>
      <c r="V36" s="1572" t="s">
        <v>8</v>
      </c>
      <c r="W36" s="1573" t="e">
        <f t="shared" si="12"/>
        <v>#N/A</v>
      </c>
      <c r="X36" s="1566"/>
      <c r="Y36" s="3494"/>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94"/>
      <c r="Q37" s="1571" t="str">
        <f t="shared" ref="Q37:Q42" si="14">B37</f>
        <v>宗地形状</v>
      </c>
      <c r="R37" s="1572" t="s">
        <v>8</v>
      </c>
      <c r="S37" s="1573">
        <f t="shared" si="10"/>
        <v>100</v>
      </c>
      <c r="T37" s="1572" t="s">
        <v>8</v>
      </c>
      <c r="U37" s="1573">
        <f t="shared" si="11"/>
        <v>100</v>
      </c>
      <c r="V37" s="1572" t="s">
        <v>8</v>
      </c>
      <c r="W37" s="1573">
        <f t="shared" si="12"/>
        <v>100</v>
      </c>
      <c r="X37" s="1566"/>
      <c r="Y37" s="3494"/>
      <c r="Z37" s="1574" t="str">
        <f t="shared" si="13"/>
        <v>宗地形状</v>
      </c>
      <c r="AA37" s="1575">
        <f t="shared" si="3"/>
        <v>1</v>
      </c>
      <c r="AB37" s="1575">
        <f t="shared" si="4"/>
        <v>1</v>
      </c>
      <c r="AC37" s="1575">
        <f t="shared" si="5"/>
        <v>1</v>
      </c>
    </row>
    <row r="38" spans="1:29" s="1219" customFormat="1" ht="15">
      <c r="A38" s="599"/>
      <c r="B38" s="1895" t="s">
        <v>2428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94"/>
      <c r="Q38" s="1571" t="str">
        <f t="shared" si="14"/>
        <v>宗地开发程度</v>
      </c>
      <c r="R38" s="1567" t="s">
        <v>8</v>
      </c>
      <c r="S38" s="1568">
        <f t="shared" si="10"/>
        <v>100</v>
      </c>
      <c r="T38" s="1567" t="s">
        <v>8</v>
      </c>
      <c r="U38" s="1568">
        <f t="shared" si="11"/>
        <v>100</v>
      </c>
      <c r="V38" s="1567" t="s">
        <v>8</v>
      </c>
      <c r="W38" s="1568">
        <f t="shared" si="12"/>
        <v>100</v>
      </c>
      <c r="X38" s="1569"/>
      <c r="Y38" s="3494"/>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94" t="s">
        <v>601</v>
      </c>
      <c r="Q39" s="1571" t="str">
        <f t="shared" si="14"/>
        <v>工程地质条件</v>
      </c>
      <c r="R39" s="1572" t="s">
        <v>8</v>
      </c>
      <c r="S39" s="1573">
        <f t="shared" si="10"/>
        <v>100</v>
      </c>
      <c r="T39" s="1572" t="s">
        <v>8</v>
      </c>
      <c r="U39" s="1573">
        <f t="shared" si="11"/>
        <v>100</v>
      </c>
      <c r="V39" s="1572" t="s">
        <v>8</v>
      </c>
      <c r="W39" s="1573">
        <f t="shared" si="12"/>
        <v>100</v>
      </c>
      <c r="X39" s="1566"/>
      <c r="Y39" s="3494"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94"/>
      <c r="Q40" s="1571">
        <f t="shared" si="14"/>
        <v>111</v>
      </c>
      <c r="R40" s="1572" t="s">
        <v>8</v>
      </c>
      <c r="S40" s="1573">
        <f t="shared" si="10"/>
        <v>100</v>
      </c>
      <c r="T40" s="1572" t="s">
        <v>8</v>
      </c>
      <c r="U40" s="1573">
        <f t="shared" si="11"/>
        <v>100</v>
      </c>
      <c r="V40" s="1572" t="s">
        <v>8</v>
      </c>
      <c r="W40" s="1573">
        <f t="shared" si="12"/>
        <v>100</v>
      </c>
      <c r="X40" s="1566"/>
      <c r="Y40" s="349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94"/>
      <c r="Q41" s="1571">
        <f t="shared" si="14"/>
        <v>111</v>
      </c>
      <c r="R41" s="1572" t="s">
        <v>8</v>
      </c>
      <c r="S41" s="1573">
        <f t="shared" si="10"/>
        <v>100</v>
      </c>
      <c r="T41" s="1572" t="s">
        <v>8</v>
      </c>
      <c r="U41" s="1573">
        <f t="shared" si="11"/>
        <v>100</v>
      </c>
      <c r="V41" s="1572" t="s">
        <v>8</v>
      </c>
      <c r="W41" s="1573">
        <f t="shared" si="12"/>
        <v>100</v>
      </c>
      <c r="X41" s="1566"/>
      <c r="Y41" s="349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94"/>
      <c r="Q42" s="1571">
        <f t="shared" si="14"/>
        <v>111</v>
      </c>
      <c r="R42" s="1576" t="s">
        <v>8</v>
      </c>
      <c r="S42" s="1577">
        <f t="shared" si="10"/>
        <v>100</v>
      </c>
      <c r="T42" s="1576" t="s">
        <v>8</v>
      </c>
      <c r="U42" s="1577">
        <f t="shared" si="11"/>
        <v>100</v>
      </c>
      <c r="V42" s="1576" t="s">
        <v>8</v>
      </c>
      <c r="W42" s="1577">
        <f t="shared" si="12"/>
        <v>100</v>
      </c>
      <c r="X42" s="1578"/>
      <c r="Y42" s="3494"/>
      <c r="Z42" s="1579">
        <f t="shared" si="13"/>
        <v>111</v>
      </c>
      <c r="AA42" s="1575">
        <f t="shared" si="3"/>
        <v>1</v>
      </c>
      <c r="AB42" s="1575">
        <f t="shared" si="4"/>
        <v>1</v>
      </c>
      <c r="AC42" s="1575">
        <f t="shared" si="5"/>
        <v>1</v>
      </c>
    </row>
    <row r="43" spans="1:29" ht="15">
      <c r="A43" s="606" t="s">
        <v>556</v>
      </c>
      <c r="B43" s="607" t="s">
        <v>2936</v>
      </c>
      <c r="C43" s="608" t="s">
        <v>1</v>
      </c>
      <c r="D43" s="609"/>
      <c r="E43" s="610"/>
      <c r="F43" s="611"/>
      <c r="G43" s="612"/>
      <c r="H43" s="613"/>
      <c r="I43" s="610"/>
      <c r="J43" s="613"/>
      <c r="K43" s="1339"/>
      <c r="L43" s="2144"/>
      <c r="M43" s="2134"/>
      <c r="N43" s="2134"/>
      <c r="O43" s="2145"/>
      <c r="P43" s="3457" t="str">
        <f>A43</f>
        <v>成交单价</v>
      </c>
      <c r="Q43" s="3457"/>
      <c r="R43" s="3458">
        <f>E43</f>
        <v>0</v>
      </c>
      <c r="S43" s="3458"/>
      <c r="T43" s="3458">
        <f>G43</f>
        <v>0</v>
      </c>
      <c r="U43" s="3458"/>
      <c r="V43" s="3458">
        <f>I43</f>
        <v>0</v>
      </c>
      <c r="W43" s="3458"/>
      <c r="X43" s="1558"/>
      <c r="Y43" s="1580"/>
      <c r="Z43" s="1558"/>
      <c r="AA43" s="1558"/>
      <c r="AB43" s="1558"/>
      <c r="AC43" s="1558"/>
    </row>
    <row r="44" spans="1:29" ht="15.75" thickBot="1">
      <c r="A44" s="614" t="s">
        <v>2697</v>
      </c>
      <c r="B44" s="615"/>
      <c r="C44" s="616" t="e">
        <f>R45</f>
        <v>#DIV/0!</v>
      </c>
      <c r="D44" s="617"/>
      <c r="E44" s="616" t="e">
        <f>R44</f>
        <v>#DIV/0!</v>
      </c>
      <c r="F44" s="618"/>
      <c r="G44" s="619" t="e">
        <f>T44</f>
        <v>#DIV/0!</v>
      </c>
      <c r="H44" s="617"/>
      <c r="I44" s="616" t="e">
        <f>V44</f>
        <v>#DIV/0!</v>
      </c>
      <c r="J44" s="617"/>
      <c r="K44" s="1340"/>
      <c r="L44" s="2144"/>
      <c r="M44" s="2134"/>
      <c r="N44" s="2134"/>
      <c r="O44" s="2145"/>
      <c r="P44" s="3457" t="str">
        <f>A44</f>
        <v>比较价格（元/平方米）</v>
      </c>
      <c r="Q44" s="3457"/>
      <c r="R44" s="3459" t="e">
        <f>ROUND(PRODUCT(R43,AA9:AA42),0)</f>
        <v>#DIV/0!</v>
      </c>
      <c r="S44" s="3459"/>
      <c r="T44" s="3459" t="e">
        <f>ROUND(PRODUCT(T43,AB9:AB42),0)</f>
        <v>#DIV/0!</v>
      </c>
      <c r="U44" s="3459"/>
      <c r="V44" s="3459" t="e">
        <f>ROUND(PRODUCT(V43,AC9:AC42),0)</f>
        <v>#DIV/0!</v>
      </c>
      <c r="W44" s="3459"/>
      <c r="X44" s="1558"/>
      <c r="Y44" s="1558"/>
      <c r="Z44" s="1558"/>
      <c r="AA44" s="1558"/>
      <c r="AB44" s="1558"/>
      <c r="AC44" s="1558"/>
    </row>
    <row r="45" spans="1:29" ht="15.75" thickBot="1">
      <c r="A45" s="620" t="s">
        <v>2937</v>
      </c>
      <c r="B45" s="621"/>
      <c r="C45" s="622" t="e">
        <f>R45</f>
        <v>#DIV/0!</v>
      </c>
      <c r="D45" s="622"/>
      <c r="E45" s="622"/>
      <c r="F45" s="622"/>
      <c r="G45" s="622"/>
      <c r="H45" s="622"/>
      <c r="I45" s="622"/>
      <c r="J45" s="622"/>
      <c r="K45" s="1341"/>
      <c r="L45" s="2144"/>
      <c r="M45" s="2134"/>
      <c r="N45" s="2134"/>
      <c r="O45" s="2145"/>
      <c r="P45" s="3454" t="str">
        <f>A45</f>
        <v>估价对象XX用房的比较价格（楼面单价，元/平方米）</v>
      </c>
      <c r="Q45" s="3455"/>
      <c r="R45" s="3456" t="e">
        <f>ROUND(AVERAGE(R44:V44),0)</f>
        <v>#DIV/0!</v>
      </c>
      <c r="S45" s="3456"/>
      <c r="T45" s="3456"/>
      <c r="U45" s="3456"/>
      <c r="V45" s="3456"/>
      <c r="W45" s="345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2296</v>
      </c>
      <c r="E52" s="630" t="s">
        <v>562</v>
      </c>
      <c r="F52" s="1951" t="s">
        <v>563</v>
      </c>
      <c r="G52" s="3503" t="s">
        <v>2287</v>
      </c>
      <c r="H52" s="3504"/>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174234</v>
      </c>
      <c r="F53" s="1950" t="e">
        <f t="shared" ref="F53:F62" si="15">ROUND(B53*E53/10000,0)</f>
        <v>#DIV/0!</v>
      </c>
      <c r="G53" s="3505"/>
      <c r="H53" s="350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507"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50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50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50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2331</v>
      </c>
      <c r="B58" s="637" t="e">
        <f t="shared" si="17"/>
        <v>#DIV/0!</v>
      </c>
      <c r="C58" s="377">
        <f t="shared" si="16"/>
        <v>0</v>
      </c>
      <c r="D58" s="2229">
        <v>0.25</v>
      </c>
      <c r="E58" s="640">
        <f>'数据-汇总表'!E11</f>
        <v>0</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2297</v>
      </c>
      <c r="E63" s="642">
        <f>IF(B43="楼面地价",SUM(E53:E62),'数据-汇总表'!D3)</f>
        <v>80775.5</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2537</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2653</v>
      </c>
      <c r="B68" s="478" t="str">
        <f>"北京市平均增长率"&amp;TEXT(基准地价!P24,"0.00%")</f>
        <v>北京市平均增长率1.24%</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2552</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2554</v>
      </c>
      <c r="C95" s="2622" t="s">
        <v>2555</v>
      </c>
      <c r="D95" s="2622" t="s">
        <v>2556</v>
      </c>
      <c r="E95" s="2622" t="s">
        <v>2557</v>
      </c>
      <c r="F95" s="2622" t="s">
        <v>2558</v>
      </c>
      <c r="G95" s="2622" t="s">
        <v>2559</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4" t="str">
        <f t="shared" si="25"/>
        <v>(含)-</v>
      </c>
      <c r="L109" s="3115" t="str">
        <f t="shared" si="25"/>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2429</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9" t="s">
        <v>2766</v>
      </c>
      <c r="S1" s="2959" t="s">
        <v>2767</v>
      </c>
      <c r="T1" s="2959" t="s">
        <v>2788</v>
      </c>
      <c r="U1" s="2959" t="s">
        <v>2789</v>
      </c>
      <c r="V1" s="2959" t="s">
        <v>2790</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2938</v>
      </c>
      <c r="G3" s="1038">
        <f>IF(F3="宗地容积率",'数据-汇总表'!I4,IF(F3="估价对象容积率",'数据-汇总表'!I6,'数据-汇总表'!I7))</f>
        <v>2.2000000000000002</v>
      </c>
      <c r="H3" s="1413" t="s">
        <v>929</v>
      </c>
      <c r="I3" s="1039">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46">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517" t="str">
        <f>IF(E2="商业",IF(C8="不临58条商业街","",2),"")</f>
        <v/>
      </c>
      <c r="B7" s="1426" t="s">
        <v>932</v>
      </c>
      <c r="C7" s="1042" t="e">
        <f>IF(C8="不临58条商业街",1,ROUND(1+(1.6*E8+1.2*E9+0.8*E10+0.4*E11)*C9,4))</f>
        <v>#DIV/0!</v>
      </c>
      <c r="D7" s="1427" t="s">
        <v>933</v>
      </c>
      <c r="E7" s="1043"/>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2769</v>
      </c>
      <c r="X7" s="2950">
        <f>G2</f>
        <v>0</v>
      </c>
      <c r="Y7" s="2950" t="s">
        <v>2770</v>
      </c>
      <c r="Z7" s="2951">
        <f>G3</f>
        <v>2.2000000000000002</v>
      </c>
      <c r="AA7" s="2192"/>
      <c r="AB7" s="2192"/>
      <c r="AC7" s="2193"/>
      <c r="AD7" s="2952"/>
      <c r="AE7" s="2952"/>
      <c r="AF7" s="2952"/>
      <c r="AG7" s="2952"/>
      <c r="AH7" s="2952"/>
      <c r="AI7" s="2952"/>
      <c r="AJ7" s="2953"/>
    </row>
    <row r="8" spans="1:39" ht="15">
      <c r="A8" s="3518"/>
      <c r="B8" s="1413" t="s">
        <v>934</v>
      </c>
      <c r="C8" s="1528"/>
      <c r="D8" s="1044" t="s">
        <v>935</v>
      </c>
      <c r="E8" s="1045"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509" t="s">
        <v>2787</v>
      </c>
      <c r="X8" s="3510"/>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518"/>
      <c r="B9" s="1413" t="s">
        <v>937</v>
      </c>
      <c r="C9" s="1046">
        <f>SUMIF(修正!C59:C119,C8,修正!E59:E119)</f>
        <v>0</v>
      </c>
      <c r="D9" s="1047" t="s">
        <v>938</v>
      </c>
      <c r="E9" s="1047"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508" t="s">
        <v>2783</v>
      </c>
      <c r="X9" s="2954" t="s">
        <v>2784</v>
      </c>
      <c r="Y9" s="3120"/>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518"/>
      <c r="B10" s="1413" t="s">
        <v>940</v>
      </c>
      <c r="C10" s="1047">
        <f>SUMIF(修正!C59:C119,C8,修正!F59:F119)</f>
        <v>0</v>
      </c>
      <c r="D10" s="1047" t="s">
        <v>941</v>
      </c>
      <c r="E10" s="1047"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508"/>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518"/>
      <c r="B11" s="1434" t="s">
        <v>943</v>
      </c>
      <c r="C11" s="1048">
        <f>C10/4</f>
        <v>0</v>
      </c>
      <c r="D11" s="1048" t="s">
        <v>944</v>
      </c>
      <c r="E11" s="1048"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508" t="s">
        <v>2785</v>
      </c>
      <c r="X11" s="1047" t="s">
        <v>2770</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517" t="s">
        <v>1872</v>
      </c>
      <c r="B12" s="1438" t="s">
        <v>946</v>
      </c>
      <c r="C12" s="1042">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508"/>
      <c r="X12" s="2957" t="s">
        <v>2786</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519"/>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508"/>
      <c r="X13" s="2957"/>
      <c r="Y13" s="2956">
        <f>(-0.163*(Y12^2)-0.59*Y12+7617)*(10^(-4))/Y11</f>
        <v>0.34622727272727272</v>
      </c>
      <c r="Z13" s="2956">
        <f t="shared" ref="Z13:AJ13" si="5">(-0.163*(Z12^2)-0.59*Z12+7617)*(10^(-4))/Z11</f>
        <v>0.34622727272727272</v>
      </c>
      <c r="AA13" s="2956">
        <f t="shared" si="5"/>
        <v>0.34622727272727272</v>
      </c>
      <c r="AB13" s="2956">
        <f t="shared" si="5"/>
        <v>0.34622727272727272</v>
      </c>
      <c r="AC13" s="2956">
        <f t="shared" si="5"/>
        <v>0.34622727272727272</v>
      </c>
      <c r="AD13" s="2956">
        <f t="shared" si="5"/>
        <v>0.34622727272727272</v>
      </c>
      <c r="AE13" s="2956">
        <f t="shared" si="5"/>
        <v>0.34622727272727272</v>
      </c>
      <c r="AF13" s="2956">
        <f t="shared" si="5"/>
        <v>0.34622727272727272</v>
      </c>
      <c r="AG13" s="2956">
        <f t="shared" si="5"/>
        <v>0.34622727272727272</v>
      </c>
      <c r="AH13" s="2956">
        <f t="shared" si="5"/>
        <v>0.34622727272727272</v>
      </c>
      <c r="AI13" s="2956">
        <f t="shared" si="5"/>
        <v>0.34622727272727272</v>
      </c>
      <c r="AJ13" s="2956">
        <f t="shared" si="5"/>
        <v>0.34622727272727272</v>
      </c>
    </row>
    <row r="14" spans="1:39" ht="12.75" customHeight="1" thickBot="1">
      <c r="A14" s="3519"/>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520"/>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517"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518"/>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43209</v>
      </c>
      <c r="H19" s="1474" t="s">
        <v>2939</v>
      </c>
      <c r="I19" s="2808" t="str">
        <f>IF(H19="季度增幅（自定义）",SUMIF(N21:N24,E2,O21:O24),"")</f>
        <v/>
      </c>
      <c r="J19" s="1470"/>
      <c r="K19" s="1480"/>
      <c r="L19" s="3063" t="s">
        <v>2845</v>
      </c>
      <c r="M19" s="3064">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5" t="s">
        <v>2846</v>
      </c>
      <c r="M20" s="3066">
        <f>ROUND(SUMPRODUCT((地价!A4:A22=YEAR(G19)&amp;"-"&amp;ROUNDUP(MONTH(G19)/3,0))*(地价!B2:F2=E2)*(地价!B4:F22)),0)</f>
        <v>0</v>
      </c>
      <c r="N20" s="2813" t="s">
        <v>2649</v>
      </c>
      <c r="O20" s="2811" t="s">
        <v>2648</v>
      </c>
      <c r="P20" s="2812" t="s">
        <v>2654</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1838</v>
      </c>
      <c r="B21" s="1479" t="s">
        <v>2765</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1.46E-2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1.46E-2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2.41E-2</v>
      </c>
      <c r="R23" s="2948"/>
      <c r="S23" s="2948"/>
      <c r="T23" s="2948"/>
      <c r="U23" s="2948"/>
      <c r="V23" s="2948"/>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1.24E-2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2652</v>
      </c>
      <c r="O25" s="2195"/>
      <c r="P25" s="1540">
        <f>SUMPRODUCT((地价!A3:A22=YEAR(G19)&amp;"-"&amp;ROUNDUP(MONTH(G19)/3,0))*(地价!AD2:AH2=N25)*(地价!AD3:AH22))</f>
        <v>2.1700000000000001E-2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23" t="s">
        <v>2966</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24"/>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24"/>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25"/>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35" t="str">
        <f>估价对象房地状况!C16</f>
        <v xml:space="preserve"> </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32" t="str">
        <f>估价对象房地状况!C18</f>
        <v>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9" t="s">
        <v>2941</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8" t="s">
        <v>2940</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较好</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较好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65" t="s">
        <v>1029</v>
      </c>
      <c r="B55" s="2436" t="str">
        <f>估价对象房地状况!C20</f>
        <v>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t="str">
        <f>估价对象房地状况!C17</f>
        <v xml:space="preserve"> </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32" t="str">
        <f>估价对象房地状况!C18</f>
        <v>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9" t="s">
        <v>2942</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8" t="s">
        <v>2940</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较好</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较好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65" t="s">
        <v>1029</v>
      </c>
      <c r="B66" s="2437" t="str">
        <f>估价对象房地状况!C20</f>
        <v>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35" t="str">
        <f>估价对象房地状况!C15</f>
        <v>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32" t="str">
        <f>估价对象房地状况!C18</f>
        <v>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较好</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较好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8" t="s">
        <v>2940</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35" t="str">
        <f>估价对象房地状况!C20</f>
        <v>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8" t="s">
        <v>2940</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521" t="s">
        <v>1634</v>
      </c>
      <c r="B90" s="3521"/>
      <c r="C90" s="3521"/>
      <c r="D90" s="3521"/>
      <c r="E90" s="3521"/>
      <c r="F90" s="3521"/>
      <c r="G90" s="3521"/>
      <c r="H90" s="3521"/>
      <c r="I90" s="3521"/>
      <c r="J90" s="3521"/>
      <c r="K90" s="2474"/>
      <c r="L90" s="2474"/>
      <c r="M90" s="2474"/>
      <c r="N90" s="2474"/>
    </row>
    <row r="91" spans="1:40">
      <c r="A91" s="3522" t="s">
        <v>1444</v>
      </c>
      <c r="B91" s="3522" t="s">
        <v>1635</v>
      </c>
      <c r="C91" s="1139" t="s">
        <v>1636</v>
      </c>
      <c r="D91" s="1140"/>
      <c r="E91" s="1140"/>
      <c r="F91" s="1140"/>
      <c r="G91" s="1140"/>
      <c r="H91" s="1140"/>
      <c r="I91" s="1140"/>
      <c r="J91" s="1141"/>
      <c r="K91" s="1133"/>
      <c r="L91" s="1133"/>
      <c r="M91" s="1133"/>
      <c r="N91" s="1133"/>
    </row>
    <row r="92" spans="1:40">
      <c r="A92" s="3522"/>
      <c r="B92" s="3522"/>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511"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1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11" t="s">
        <v>1638</v>
      </c>
      <c r="B101" s="1146" t="s">
        <v>906</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512"/>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512"/>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512"/>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512"/>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512"/>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512"/>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512"/>
      <c r="B108" s="351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13"/>
      <c r="B109" s="3515"/>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516" t="s">
        <v>1640</v>
      </c>
      <c r="B110" s="3516"/>
      <c r="C110" s="3516"/>
      <c r="D110" s="3516"/>
      <c r="E110" s="3516"/>
      <c r="F110" s="3516"/>
      <c r="G110" s="3516"/>
      <c r="H110" s="3516"/>
      <c r="I110" s="3516"/>
      <c r="J110" s="3516"/>
      <c r="K110" s="2472"/>
      <c r="L110" s="2472"/>
      <c r="M110" s="2472"/>
      <c r="N110" s="2472"/>
    </row>
    <row r="112" spans="1:14" ht="12.75" thickBot="1"/>
    <row r="113" spans="1:13" ht="25.5" thickBot="1">
      <c r="A113" s="1015" t="s">
        <v>896</v>
      </c>
      <c r="B113" s="2475">
        <f>G3</f>
        <v>2.2000000000000002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901</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902</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903</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522" t="s">
        <v>1008</v>
      </c>
      <c r="B18" s="1153" t="s">
        <v>1447</v>
      </c>
      <c r="C18" s="1130" t="s">
        <v>1448</v>
      </c>
      <c r="D18" s="1131"/>
      <c r="E18" s="1153">
        <v>1</v>
      </c>
      <c r="F18" s="1132" t="s">
        <v>1449</v>
      </c>
      <c r="G18" s="1133"/>
      <c r="H18" s="1104"/>
      <c r="I18" s="1104"/>
    </row>
    <row r="19" spans="1:9" s="1598" customFormat="1" ht="19.5" customHeight="1">
      <c r="A19" s="3522"/>
      <c r="B19" s="3522" t="s">
        <v>1450</v>
      </c>
      <c r="C19" s="1130" t="s">
        <v>1451</v>
      </c>
      <c r="D19" s="1131"/>
      <c r="E19" s="1153">
        <v>0.9</v>
      </c>
      <c r="F19" s="1132" t="s">
        <v>1452</v>
      </c>
      <c r="G19" s="1133"/>
      <c r="H19" s="1104"/>
      <c r="I19" s="1104"/>
    </row>
    <row r="20" spans="1:9" s="1598" customFormat="1" ht="19.5" customHeight="1">
      <c r="A20" s="3522"/>
      <c r="B20" s="3522"/>
      <c r="C20" s="1130" t="s">
        <v>1453</v>
      </c>
      <c r="D20" s="1131"/>
      <c r="E20" s="1153">
        <v>1.1000000000000001</v>
      </c>
      <c r="F20" s="1132" t="s">
        <v>1454</v>
      </c>
      <c r="G20" s="1133"/>
      <c r="H20" s="1104"/>
      <c r="I20" s="1104"/>
    </row>
    <row r="21" spans="1:9" s="1598" customFormat="1" ht="19.5" customHeight="1">
      <c r="A21" s="3522"/>
      <c r="B21" s="3522"/>
      <c r="C21" s="1130" t="s">
        <v>1455</v>
      </c>
      <c r="D21" s="1131"/>
      <c r="E21" s="1153">
        <v>0.8</v>
      </c>
      <c r="F21" s="1132" t="s">
        <v>1456</v>
      </c>
      <c r="G21" s="1133"/>
      <c r="H21" s="1104"/>
      <c r="I21" s="1104"/>
    </row>
    <row r="22" spans="1:9" s="1598" customFormat="1" ht="19.5" customHeight="1">
      <c r="A22" s="3522"/>
      <c r="B22" s="3522"/>
      <c r="C22" s="1130" t="s">
        <v>1457</v>
      </c>
      <c r="D22" s="1131"/>
      <c r="E22" s="1153">
        <v>0.5</v>
      </c>
      <c r="F22" s="1132"/>
      <c r="G22" s="1133"/>
      <c r="H22" s="1104"/>
      <c r="I22" s="1104"/>
    </row>
    <row r="23" spans="1:9" s="1598" customFormat="1" ht="19.5" customHeight="1">
      <c r="A23" s="3522" t="s">
        <v>1030</v>
      </c>
      <c r="B23" s="1153" t="s">
        <v>1447</v>
      </c>
      <c r="C23" s="1130" t="s">
        <v>1458</v>
      </c>
      <c r="D23" s="1131"/>
      <c r="E23" s="1153">
        <v>1</v>
      </c>
      <c r="F23" s="1132" t="s">
        <v>1459</v>
      </c>
      <c r="G23" s="1133"/>
      <c r="H23" s="1104"/>
      <c r="I23" s="1104"/>
    </row>
    <row r="24" spans="1:9" s="1598" customFormat="1" ht="19.5" customHeight="1">
      <c r="A24" s="3522"/>
      <c r="B24" s="3522" t="s">
        <v>1450</v>
      </c>
      <c r="C24" s="1130" t="s">
        <v>1460</v>
      </c>
      <c r="D24" s="1131"/>
      <c r="E24" s="1153">
        <v>0.5</v>
      </c>
      <c r="F24" s="1132"/>
      <c r="G24" s="1133"/>
      <c r="H24" s="1104"/>
      <c r="I24" s="1104"/>
    </row>
    <row r="25" spans="1:9" s="1598" customFormat="1" ht="19.5" customHeight="1">
      <c r="A25" s="3522"/>
      <c r="B25" s="3522"/>
      <c r="C25" s="1130" t="s">
        <v>1461</v>
      </c>
      <c r="D25" s="1131"/>
      <c r="E25" s="1153">
        <v>1.1000000000000001</v>
      </c>
      <c r="F25" s="1132"/>
      <c r="G25" s="1133"/>
      <c r="H25" s="1104"/>
      <c r="I25" s="1104"/>
    </row>
    <row r="26" spans="1:9" s="1598" customFormat="1" ht="19.5" customHeight="1">
      <c r="A26" s="3522"/>
      <c r="B26" s="3522"/>
      <c r="C26" s="1130" t="s">
        <v>1462</v>
      </c>
      <c r="D26" s="1131"/>
      <c r="E26" s="1153">
        <v>1.1000000000000001</v>
      </c>
      <c r="F26" s="1132"/>
      <c r="G26" s="1133"/>
      <c r="H26" s="1104"/>
      <c r="I26" s="1104"/>
    </row>
    <row r="27" spans="1:9" s="1598" customFormat="1" ht="19.5" customHeight="1">
      <c r="A27" s="3522"/>
      <c r="B27" s="3522"/>
      <c r="C27" s="1130" t="s">
        <v>1463</v>
      </c>
      <c r="D27" s="1131"/>
      <c r="E27" s="1153">
        <v>0.9</v>
      </c>
      <c r="F27" s="1132" t="s">
        <v>1464</v>
      </c>
      <c r="G27" s="1133"/>
      <c r="H27" s="1104"/>
      <c r="I27" s="1104"/>
    </row>
    <row r="28" spans="1:9" s="1598" customFormat="1" ht="19.5" customHeight="1">
      <c r="A28" s="3522"/>
      <c r="B28" s="3522"/>
      <c r="C28" s="1130" t="s">
        <v>1465</v>
      </c>
      <c r="D28" s="1131"/>
      <c r="E28" s="1153">
        <v>0.9</v>
      </c>
      <c r="F28" s="1132" t="s">
        <v>1466</v>
      </c>
      <c r="G28" s="1133"/>
      <c r="H28" s="1104"/>
      <c r="I28" s="1104"/>
    </row>
    <row r="29" spans="1:9" s="1598" customFormat="1" ht="19.5" customHeight="1">
      <c r="A29" s="3522"/>
      <c r="B29" s="3522"/>
      <c r="C29" s="1130" t="s">
        <v>1467</v>
      </c>
      <c r="D29" s="1131"/>
      <c r="E29" s="1153">
        <v>0.9</v>
      </c>
      <c r="F29" s="1132" t="s">
        <v>1468</v>
      </c>
      <c r="G29" s="1133"/>
      <c r="H29" s="1104"/>
      <c r="I29" s="1104"/>
    </row>
    <row r="30" spans="1:9" s="1598" customFormat="1" ht="19.5" customHeight="1">
      <c r="A30" s="3522"/>
      <c r="B30" s="3522"/>
      <c r="C30" s="1130" t="s">
        <v>1469</v>
      </c>
      <c r="D30" s="1131"/>
      <c r="E30" s="1153">
        <v>0.9</v>
      </c>
      <c r="F30" s="1132" t="s">
        <v>1470</v>
      </c>
      <c r="G30" s="1133"/>
      <c r="H30" s="1104"/>
      <c r="I30" s="1104"/>
    </row>
    <row r="31" spans="1:9" s="1598" customFormat="1" ht="19.5" customHeight="1">
      <c r="A31" s="3522"/>
      <c r="B31" s="3522"/>
      <c r="C31" s="1130" t="s">
        <v>1471</v>
      </c>
      <c r="D31" s="1131"/>
      <c r="E31" s="1153">
        <v>0.8</v>
      </c>
      <c r="F31" s="1132" t="s">
        <v>1472</v>
      </c>
      <c r="G31" s="1133"/>
      <c r="H31" s="1104"/>
      <c r="I31" s="1104"/>
    </row>
    <row r="32" spans="1:9" s="1598" customFormat="1" ht="19.5" customHeight="1">
      <c r="A32" s="3522"/>
      <c r="B32" s="3522"/>
      <c r="C32" s="1130" t="s">
        <v>1473</v>
      </c>
      <c r="D32" s="1131"/>
      <c r="E32" s="1153">
        <v>0.8</v>
      </c>
      <c r="F32" s="1132" t="s">
        <v>1474</v>
      </c>
      <c r="G32" s="1133"/>
      <c r="H32" s="1104"/>
      <c r="I32" s="1104"/>
    </row>
    <row r="33" spans="1:9" s="1598" customFormat="1" ht="19.5" customHeight="1">
      <c r="A33" s="3522" t="s">
        <v>1475</v>
      </c>
      <c r="B33" s="1153" t="s">
        <v>1447</v>
      </c>
      <c r="C33" s="1130" t="s">
        <v>1476</v>
      </c>
      <c r="D33" s="1131"/>
      <c r="E33" s="1153">
        <v>1</v>
      </c>
      <c r="F33" s="1132" t="s">
        <v>1477</v>
      </c>
      <c r="G33" s="1133"/>
      <c r="H33" s="1104"/>
      <c r="I33" s="1104"/>
    </row>
    <row r="34" spans="1:9" s="1598" customFormat="1" ht="19.5" customHeight="1">
      <c r="A34" s="3522"/>
      <c r="B34" s="1153" t="s">
        <v>1450</v>
      </c>
      <c r="C34" s="1130" t="s">
        <v>1478</v>
      </c>
      <c r="D34" s="1131"/>
      <c r="E34" s="1153">
        <v>1.5</v>
      </c>
      <c r="F34" s="1132" t="s">
        <v>1479</v>
      </c>
      <c r="G34" s="1133"/>
      <c r="H34" s="1104"/>
      <c r="I34" s="1104"/>
    </row>
    <row r="35" spans="1:9" s="1598" customFormat="1" ht="19.5" customHeight="1">
      <c r="A35" s="3522" t="s">
        <v>1433</v>
      </c>
      <c r="B35" s="1153" t="s">
        <v>1447</v>
      </c>
      <c r="C35" s="1130" t="s">
        <v>1480</v>
      </c>
      <c r="D35" s="1131"/>
      <c r="E35" s="1153">
        <v>1</v>
      </c>
      <c r="F35" s="1132" t="s">
        <v>1481</v>
      </c>
      <c r="G35" s="1133"/>
      <c r="H35" s="1104"/>
      <c r="I35" s="1104"/>
    </row>
    <row r="36" spans="1:9" s="1598" customFormat="1" ht="19.5" customHeight="1">
      <c r="A36" s="3522"/>
      <c r="B36" s="3522" t="s">
        <v>1450</v>
      </c>
      <c r="C36" s="1130" t="s">
        <v>1482</v>
      </c>
      <c r="D36" s="1131"/>
      <c r="E36" s="1153">
        <v>1</v>
      </c>
      <c r="F36" s="1132" t="s">
        <v>1483</v>
      </c>
      <c r="G36" s="1133"/>
      <c r="H36" s="1104"/>
      <c r="I36" s="1104"/>
    </row>
    <row r="37" spans="1:9" s="1598" customFormat="1" ht="19.5" customHeight="1">
      <c r="A37" s="3522"/>
      <c r="B37" s="3522"/>
      <c r="C37" s="1130" t="s">
        <v>1484</v>
      </c>
      <c r="D37" s="1131"/>
      <c r="E37" s="1153">
        <v>1.5</v>
      </c>
      <c r="F37" s="1132" t="s">
        <v>1485</v>
      </c>
      <c r="G37" s="1133"/>
      <c r="H37" s="1104"/>
      <c r="I37" s="1104"/>
    </row>
    <row r="38" spans="1:9" s="1598" customFormat="1" ht="19.5" customHeight="1">
      <c r="A38" s="3522"/>
      <c r="B38" s="3522"/>
      <c r="C38" s="1130" t="s">
        <v>1486</v>
      </c>
      <c r="D38" s="1131"/>
      <c r="E38" s="1153">
        <v>1</v>
      </c>
      <c r="F38" s="1132" t="s">
        <v>1487</v>
      </c>
      <c r="G38" s="1133"/>
      <c r="H38" s="1104"/>
      <c r="I38" s="1104"/>
    </row>
    <row r="39" spans="1:9" s="1598" customFormat="1" ht="19.5" customHeight="1">
      <c r="A39" s="3522"/>
      <c r="B39" s="3522"/>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522" t="s">
        <v>1502</v>
      </c>
      <c r="C61" s="1067" t="s">
        <v>1503</v>
      </c>
      <c r="D61" s="1067" t="s">
        <v>1504</v>
      </c>
      <c r="E61" s="1138">
        <v>0.5</v>
      </c>
      <c r="F61" s="1153">
        <v>80</v>
      </c>
      <c r="H61" s="1104">
        <f>SUMIF(C59:C119,基准地价!C8,E59:E119)</f>
        <v>0</v>
      </c>
    </row>
    <row r="62" spans="1:8" s="1104" customFormat="1" ht="24">
      <c r="A62" s="1153">
        <v>2</v>
      </c>
      <c r="B62" s="3522"/>
      <c r="C62" s="1067" t="s">
        <v>1505</v>
      </c>
      <c r="D62" s="1067" t="s">
        <v>1506</v>
      </c>
      <c r="E62" s="1138">
        <v>0.5</v>
      </c>
      <c r="F62" s="1153">
        <v>80</v>
      </c>
    </row>
    <row r="63" spans="1:8" s="1104" customFormat="1" ht="36">
      <c r="A63" s="1153">
        <v>3</v>
      </c>
      <c r="B63" s="3522"/>
      <c r="C63" s="1067" t="s">
        <v>1507</v>
      </c>
      <c r="D63" s="1067" t="s">
        <v>1508</v>
      </c>
      <c r="E63" s="1138">
        <v>0.5</v>
      </c>
      <c r="F63" s="1153">
        <v>80</v>
      </c>
    </row>
    <row r="64" spans="1:8" s="1104" customFormat="1" ht="36">
      <c r="A64" s="1153">
        <v>4</v>
      </c>
      <c r="B64" s="3522"/>
      <c r="C64" s="1067" t="s">
        <v>1509</v>
      </c>
      <c r="D64" s="1067" t="s">
        <v>1510</v>
      </c>
      <c r="E64" s="1138">
        <v>0.4</v>
      </c>
      <c r="F64" s="1153">
        <v>60</v>
      </c>
    </row>
    <row r="65" spans="1:6" s="1104" customFormat="1" ht="36">
      <c r="A65" s="1153">
        <v>5</v>
      </c>
      <c r="B65" s="3522"/>
      <c r="C65" s="1067" t="s">
        <v>1511</v>
      </c>
      <c r="D65" s="1067" t="s">
        <v>1512</v>
      </c>
      <c r="E65" s="1138">
        <v>0.2</v>
      </c>
      <c r="F65" s="1153">
        <v>30</v>
      </c>
    </row>
    <row r="66" spans="1:6" s="1104" customFormat="1" ht="36">
      <c r="A66" s="1153">
        <v>6</v>
      </c>
      <c r="B66" s="3522"/>
      <c r="C66" s="1067" t="s">
        <v>1513</v>
      </c>
      <c r="D66" s="1067" t="s">
        <v>1514</v>
      </c>
      <c r="E66" s="1138">
        <v>0.3</v>
      </c>
      <c r="F66" s="1153">
        <v>50</v>
      </c>
    </row>
    <row r="67" spans="1:6" s="1104" customFormat="1" ht="36">
      <c r="A67" s="1153">
        <v>7</v>
      </c>
      <c r="B67" s="3522"/>
      <c r="C67" s="1067" t="s">
        <v>1515</v>
      </c>
      <c r="D67" s="1067" t="s">
        <v>1516</v>
      </c>
      <c r="E67" s="1138">
        <v>0.2</v>
      </c>
      <c r="F67" s="1153">
        <v>30</v>
      </c>
    </row>
    <row r="68" spans="1:6" s="1104" customFormat="1" ht="36">
      <c r="A68" s="1153">
        <v>8</v>
      </c>
      <c r="B68" s="3522"/>
      <c r="C68" s="1067" t="s">
        <v>1517</v>
      </c>
      <c r="D68" s="1067" t="s">
        <v>1518</v>
      </c>
      <c r="E68" s="1138">
        <v>0.2</v>
      </c>
      <c r="F68" s="1153">
        <v>30</v>
      </c>
    </row>
    <row r="69" spans="1:6" s="1104" customFormat="1" ht="36">
      <c r="A69" s="1153">
        <v>9</v>
      </c>
      <c r="B69" s="3522"/>
      <c r="C69" s="1067" t="s">
        <v>1519</v>
      </c>
      <c r="D69" s="1067" t="s">
        <v>1520</v>
      </c>
      <c r="E69" s="1138">
        <v>0.2</v>
      </c>
      <c r="F69" s="1153">
        <v>30</v>
      </c>
    </row>
    <row r="70" spans="1:6" s="1104" customFormat="1" ht="48">
      <c r="A70" s="1153">
        <v>10</v>
      </c>
      <c r="B70" s="3522"/>
      <c r="C70" s="1067" t="s">
        <v>1521</v>
      </c>
      <c r="D70" s="1067" t="s">
        <v>1522</v>
      </c>
      <c r="E70" s="1138">
        <v>0.2</v>
      </c>
      <c r="F70" s="1153">
        <v>30</v>
      </c>
    </row>
    <row r="71" spans="1:6" s="1104" customFormat="1" ht="48">
      <c r="A71" s="1153">
        <v>11</v>
      </c>
      <c r="B71" s="3522"/>
      <c r="C71" s="1067" t="s">
        <v>1523</v>
      </c>
      <c r="D71" s="1067" t="s">
        <v>1524</v>
      </c>
      <c r="E71" s="1138">
        <v>0.2</v>
      </c>
      <c r="F71" s="1153">
        <v>30</v>
      </c>
    </row>
    <row r="72" spans="1:6" s="1104" customFormat="1" ht="36">
      <c r="A72" s="1153">
        <v>12</v>
      </c>
      <c r="B72" s="3522"/>
      <c r="C72" s="1067" t="s">
        <v>1525</v>
      </c>
      <c r="D72" s="1067" t="s">
        <v>1526</v>
      </c>
      <c r="E72" s="1138">
        <v>0.5</v>
      </c>
      <c r="F72" s="1153">
        <v>80</v>
      </c>
    </row>
    <row r="73" spans="1:6" s="1104" customFormat="1" ht="24">
      <c r="A73" s="1153">
        <v>13</v>
      </c>
      <c r="B73" s="3522"/>
      <c r="C73" s="1067" t="s">
        <v>1527</v>
      </c>
      <c r="D73" s="1067" t="s">
        <v>1528</v>
      </c>
      <c r="E73" s="1138">
        <v>0.4</v>
      </c>
      <c r="F73" s="1153">
        <v>60</v>
      </c>
    </row>
    <row r="74" spans="1:6" s="1104" customFormat="1" ht="24">
      <c r="A74" s="1153">
        <v>14</v>
      </c>
      <c r="B74" s="3522"/>
      <c r="C74" s="1067" t="s">
        <v>1529</v>
      </c>
      <c r="D74" s="1067" t="s">
        <v>1530</v>
      </c>
      <c r="E74" s="1138">
        <v>0.2</v>
      </c>
      <c r="F74" s="1153">
        <v>30</v>
      </c>
    </row>
    <row r="75" spans="1:6" s="1104" customFormat="1" ht="24">
      <c r="A75" s="1153">
        <v>15</v>
      </c>
      <c r="B75" s="3522"/>
      <c r="C75" s="1067" t="s">
        <v>1531</v>
      </c>
      <c r="D75" s="1067" t="s">
        <v>1532</v>
      </c>
      <c r="E75" s="1138">
        <v>0.2</v>
      </c>
      <c r="F75" s="1153">
        <v>30</v>
      </c>
    </row>
    <row r="76" spans="1:6" s="1104" customFormat="1" ht="24">
      <c r="A76" s="1153">
        <v>16</v>
      </c>
      <c r="B76" s="3522" t="s">
        <v>1533</v>
      </c>
      <c r="C76" s="1067" t="s">
        <v>1534</v>
      </c>
      <c r="D76" s="1067" t="s">
        <v>1535</v>
      </c>
      <c r="E76" s="1138">
        <v>0.5</v>
      </c>
      <c r="F76" s="1153">
        <v>80</v>
      </c>
    </row>
    <row r="77" spans="1:6" s="1104" customFormat="1" ht="24">
      <c r="A77" s="1153">
        <v>17</v>
      </c>
      <c r="B77" s="3522"/>
      <c r="C77" s="1067" t="s">
        <v>1536</v>
      </c>
      <c r="D77" s="1067" t="s">
        <v>1537</v>
      </c>
      <c r="E77" s="1138">
        <v>0.5</v>
      </c>
      <c r="F77" s="1153">
        <v>80</v>
      </c>
    </row>
    <row r="78" spans="1:6" s="1104" customFormat="1" ht="24">
      <c r="A78" s="1153">
        <v>18</v>
      </c>
      <c r="B78" s="3522"/>
      <c r="C78" s="1067" t="s">
        <v>1538</v>
      </c>
      <c r="D78" s="1067" t="s">
        <v>1539</v>
      </c>
      <c r="E78" s="1138">
        <v>0.2</v>
      </c>
      <c r="F78" s="1153">
        <v>30</v>
      </c>
    </row>
    <row r="79" spans="1:6" s="1104" customFormat="1" ht="24">
      <c r="A79" s="1153">
        <v>19</v>
      </c>
      <c r="B79" s="3522"/>
      <c r="C79" s="1067" t="s">
        <v>1540</v>
      </c>
      <c r="D79" s="1067" t="s">
        <v>1541</v>
      </c>
      <c r="E79" s="1138">
        <v>0.5</v>
      </c>
      <c r="F79" s="1153">
        <v>80</v>
      </c>
    </row>
    <row r="80" spans="1:6" s="1104" customFormat="1" ht="36">
      <c r="A80" s="1153">
        <v>20</v>
      </c>
      <c r="B80" s="3522"/>
      <c r="C80" s="1067" t="s">
        <v>1542</v>
      </c>
      <c r="D80" s="1067" t="s">
        <v>1543</v>
      </c>
      <c r="E80" s="1138">
        <v>0.2</v>
      </c>
      <c r="F80" s="1153">
        <v>30</v>
      </c>
    </row>
    <row r="81" spans="1:6" s="1104" customFormat="1" ht="36">
      <c r="A81" s="1153">
        <v>21</v>
      </c>
      <c r="B81" s="3522"/>
      <c r="C81" s="1067" t="s">
        <v>1544</v>
      </c>
      <c r="D81" s="1067" t="s">
        <v>1545</v>
      </c>
      <c r="E81" s="1138">
        <v>0.2</v>
      </c>
      <c r="F81" s="1153">
        <v>30</v>
      </c>
    </row>
    <row r="82" spans="1:6" s="1104" customFormat="1" ht="48">
      <c r="A82" s="1153">
        <v>22</v>
      </c>
      <c r="B82" s="3522"/>
      <c r="C82" s="1067" t="s">
        <v>1546</v>
      </c>
      <c r="D82" s="1067" t="s">
        <v>1547</v>
      </c>
      <c r="E82" s="1138">
        <v>0.2</v>
      </c>
      <c r="F82" s="1153">
        <v>30</v>
      </c>
    </row>
    <row r="83" spans="1:6" s="1104" customFormat="1" ht="48">
      <c r="A83" s="1153">
        <v>23</v>
      </c>
      <c r="B83" s="3522"/>
      <c r="C83" s="1067" t="s">
        <v>1548</v>
      </c>
      <c r="D83" s="1067" t="s">
        <v>1549</v>
      </c>
      <c r="E83" s="1138">
        <v>0.2</v>
      </c>
      <c r="F83" s="1153">
        <v>30</v>
      </c>
    </row>
    <row r="84" spans="1:6" s="1104" customFormat="1" ht="36">
      <c r="A84" s="1153">
        <v>24</v>
      </c>
      <c r="B84" s="3522"/>
      <c r="C84" s="1067" t="s">
        <v>1550</v>
      </c>
      <c r="D84" s="1067" t="s">
        <v>1551</v>
      </c>
      <c r="E84" s="1138">
        <v>0.2</v>
      </c>
      <c r="F84" s="1153">
        <v>30</v>
      </c>
    </row>
    <row r="85" spans="1:6" s="1104" customFormat="1" ht="36">
      <c r="A85" s="1153">
        <v>25</v>
      </c>
      <c r="B85" s="3522"/>
      <c r="C85" s="1067" t="s">
        <v>1552</v>
      </c>
      <c r="D85" s="1067" t="s">
        <v>1553</v>
      </c>
      <c r="E85" s="1138">
        <v>0.5</v>
      </c>
      <c r="F85" s="1153">
        <v>80</v>
      </c>
    </row>
    <row r="86" spans="1:6" s="1104" customFormat="1" ht="36">
      <c r="A86" s="1153">
        <v>26</v>
      </c>
      <c r="B86" s="3522"/>
      <c r="C86" s="1067" t="s">
        <v>1554</v>
      </c>
      <c r="D86" s="1067" t="s">
        <v>1555</v>
      </c>
      <c r="E86" s="1138">
        <v>0.2</v>
      </c>
      <c r="F86" s="1153">
        <v>30</v>
      </c>
    </row>
    <row r="87" spans="1:6" s="1104" customFormat="1" ht="36">
      <c r="A87" s="1153">
        <v>27</v>
      </c>
      <c r="B87" s="3522"/>
      <c r="C87" s="1067" t="s">
        <v>1556</v>
      </c>
      <c r="D87" s="1067" t="s">
        <v>1557</v>
      </c>
      <c r="E87" s="1138">
        <v>0.2</v>
      </c>
      <c r="F87" s="1153">
        <v>30</v>
      </c>
    </row>
    <row r="88" spans="1:6" s="1104" customFormat="1" ht="36">
      <c r="A88" s="1153">
        <v>28</v>
      </c>
      <c r="B88" s="3522"/>
      <c r="C88" s="1067" t="s">
        <v>1558</v>
      </c>
      <c r="D88" s="1067" t="s">
        <v>1559</v>
      </c>
      <c r="E88" s="1138">
        <v>0.2</v>
      </c>
      <c r="F88" s="1153">
        <v>30</v>
      </c>
    </row>
    <row r="89" spans="1:6" s="1104" customFormat="1" ht="24">
      <c r="A89" s="1153">
        <v>29</v>
      </c>
      <c r="B89" s="3522"/>
      <c r="C89" s="1067" t="s">
        <v>1560</v>
      </c>
      <c r="D89" s="1067" t="s">
        <v>1561</v>
      </c>
      <c r="E89" s="1138">
        <v>0.2</v>
      </c>
      <c r="F89" s="1153">
        <v>30</v>
      </c>
    </row>
    <row r="90" spans="1:6" s="1104" customFormat="1" ht="24">
      <c r="A90" s="1153">
        <v>30</v>
      </c>
      <c r="B90" s="3522"/>
      <c r="C90" s="1067" t="s">
        <v>1562</v>
      </c>
      <c r="D90" s="1067" t="s">
        <v>1563</v>
      </c>
      <c r="E90" s="1138">
        <v>0.2</v>
      </c>
      <c r="F90" s="1153">
        <v>30</v>
      </c>
    </row>
    <row r="91" spans="1:6" s="1104" customFormat="1" ht="36">
      <c r="A91" s="1153">
        <v>31</v>
      </c>
      <c r="B91" s="3522"/>
      <c r="C91" s="1067" t="s">
        <v>1564</v>
      </c>
      <c r="D91" s="1067" t="s">
        <v>1565</v>
      </c>
      <c r="E91" s="1138">
        <v>0.2</v>
      </c>
      <c r="F91" s="1153">
        <v>30</v>
      </c>
    </row>
    <row r="92" spans="1:6" s="1104" customFormat="1" ht="24">
      <c r="A92" s="1153">
        <v>32</v>
      </c>
      <c r="B92" s="3522" t="s">
        <v>1566</v>
      </c>
      <c r="C92" s="1153" t="s">
        <v>1567</v>
      </c>
      <c r="D92" s="1067" t="s">
        <v>1568</v>
      </c>
      <c r="E92" s="1138">
        <v>0.2</v>
      </c>
      <c r="F92" s="1153">
        <v>30</v>
      </c>
    </row>
    <row r="93" spans="1:6" s="1104" customFormat="1" ht="36">
      <c r="A93" s="1153">
        <v>33</v>
      </c>
      <c r="B93" s="3522"/>
      <c r="C93" s="1153" t="s">
        <v>1569</v>
      </c>
      <c r="D93" s="1067" t="s">
        <v>1570</v>
      </c>
      <c r="E93" s="1138">
        <v>0.2</v>
      </c>
      <c r="F93" s="1153">
        <v>30</v>
      </c>
    </row>
    <row r="94" spans="1:6" s="1104" customFormat="1" ht="48">
      <c r="A94" s="1153">
        <v>34</v>
      </c>
      <c r="B94" s="3522"/>
      <c r="C94" s="1153" t="s">
        <v>1571</v>
      </c>
      <c r="D94" s="1067" t="s">
        <v>1572</v>
      </c>
      <c r="E94" s="1138">
        <v>0.2</v>
      </c>
      <c r="F94" s="1153">
        <v>30</v>
      </c>
    </row>
    <row r="95" spans="1:6" s="1104" customFormat="1" ht="36">
      <c r="A95" s="1153">
        <v>35</v>
      </c>
      <c r="B95" s="3522"/>
      <c r="C95" s="1153" t="s">
        <v>1573</v>
      </c>
      <c r="D95" s="1067" t="s">
        <v>1574</v>
      </c>
      <c r="E95" s="1138">
        <v>0.2</v>
      </c>
      <c r="F95" s="1153">
        <v>30</v>
      </c>
    </row>
    <row r="96" spans="1:6" s="1104" customFormat="1" ht="48">
      <c r="A96" s="1153">
        <v>36</v>
      </c>
      <c r="B96" s="3522"/>
      <c r="C96" s="1067" t="s">
        <v>1575</v>
      </c>
      <c r="D96" s="1067" t="s">
        <v>1576</v>
      </c>
      <c r="E96" s="1138">
        <v>0.2</v>
      </c>
      <c r="F96" s="1153">
        <v>30</v>
      </c>
    </row>
    <row r="97" spans="1:6" s="1104" customFormat="1" ht="36">
      <c r="A97" s="1153">
        <v>37</v>
      </c>
      <c r="B97" s="3522"/>
      <c r="C97" s="1153" t="s">
        <v>1577</v>
      </c>
      <c r="D97" s="1067" t="s">
        <v>1578</v>
      </c>
      <c r="E97" s="1138">
        <v>0.2</v>
      </c>
      <c r="F97" s="1153">
        <v>30</v>
      </c>
    </row>
    <row r="98" spans="1:6" s="1104" customFormat="1" ht="36">
      <c r="A98" s="1153">
        <v>38</v>
      </c>
      <c r="B98" s="3522"/>
      <c r="C98" s="1153" t="s">
        <v>1579</v>
      </c>
      <c r="D98" s="1067" t="s">
        <v>1580</v>
      </c>
      <c r="E98" s="1138">
        <v>0.2</v>
      </c>
      <c r="F98" s="1153">
        <v>30</v>
      </c>
    </row>
    <row r="99" spans="1:6" s="1104" customFormat="1" ht="36">
      <c r="A99" s="1153">
        <v>39</v>
      </c>
      <c r="B99" s="3522" t="s">
        <v>1581</v>
      </c>
      <c r="C99" s="1153" t="s">
        <v>1582</v>
      </c>
      <c r="D99" s="1067" t="s">
        <v>1583</v>
      </c>
      <c r="E99" s="1138">
        <v>0.3</v>
      </c>
      <c r="F99" s="1153">
        <v>50</v>
      </c>
    </row>
    <row r="100" spans="1:6" s="1104" customFormat="1" ht="24">
      <c r="A100" s="1153">
        <v>40</v>
      </c>
      <c r="B100" s="3522"/>
      <c r="C100" s="1153" t="s">
        <v>1584</v>
      </c>
      <c r="D100" s="1067" t="s">
        <v>1585</v>
      </c>
      <c r="E100" s="1138">
        <v>0.2</v>
      </c>
      <c r="F100" s="1153">
        <v>30</v>
      </c>
    </row>
    <row r="101" spans="1:6" s="1104" customFormat="1" ht="36">
      <c r="A101" s="1153">
        <v>41</v>
      </c>
      <c r="B101" s="352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522" t="s">
        <v>1596</v>
      </c>
      <c r="C105" s="1153" t="s">
        <v>1597</v>
      </c>
      <c r="D105" s="1067" t="s">
        <v>1598</v>
      </c>
      <c r="E105" s="1138">
        <v>0.2</v>
      </c>
      <c r="F105" s="1153">
        <v>30</v>
      </c>
    </row>
    <row r="106" spans="1:6" s="1104" customFormat="1" ht="36">
      <c r="A106" s="1153">
        <v>46</v>
      </c>
      <c r="B106" s="3522"/>
      <c r="C106" s="1153" t="s">
        <v>1599</v>
      </c>
      <c r="D106" s="1067" t="s">
        <v>1600</v>
      </c>
      <c r="E106" s="1138">
        <v>0.2</v>
      </c>
      <c r="F106" s="1153">
        <v>30</v>
      </c>
    </row>
    <row r="107" spans="1:6" s="1104" customFormat="1" ht="36">
      <c r="A107" s="1153">
        <v>47</v>
      </c>
      <c r="B107" s="3522" t="s">
        <v>1601</v>
      </c>
      <c r="C107" s="1153" t="s">
        <v>1602</v>
      </c>
      <c r="D107" s="1067" t="s">
        <v>1603</v>
      </c>
      <c r="E107" s="1138">
        <v>0.3</v>
      </c>
      <c r="F107" s="1153">
        <v>50</v>
      </c>
    </row>
    <row r="108" spans="1:6" s="1104" customFormat="1" ht="36">
      <c r="A108" s="1153">
        <v>48</v>
      </c>
      <c r="B108" s="352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522" t="s">
        <v>1612</v>
      </c>
      <c r="C111" s="1153" t="s">
        <v>1613</v>
      </c>
      <c r="D111" s="1067" t="s">
        <v>1614</v>
      </c>
      <c r="E111" s="1138">
        <v>0.2</v>
      </c>
      <c r="F111" s="1153">
        <v>30</v>
      </c>
    </row>
    <row r="112" spans="1:6" s="1104" customFormat="1" ht="24">
      <c r="A112" s="1153">
        <v>52</v>
      </c>
      <c r="B112" s="3522"/>
      <c r="C112" s="1153" t="s">
        <v>1615</v>
      </c>
      <c r="D112" s="1067" t="s">
        <v>1616</v>
      </c>
      <c r="E112" s="1138">
        <v>0.2</v>
      </c>
      <c r="F112" s="1153">
        <v>30</v>
      </c>
    </row>
    <row r="113" spans="1:14" s="1104" customFormat="1" ht="24">
      <c r="A113" s="1153">
        <v>53</v>
      </c>
      <c r="B113" s="352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522" t="s">
        <v>1625</v>
      </c>
      <c r="C116" s="1153" t="s">
        <v>1626</v>
      </c>
      <c r="D116" s="1067" t="s">
        <v>1627</v>
      </c>
      <c r="E116" s="1138">
        <v>0.2</v>
      </c>
      <c r="F116" s="1153">
        <v>30</v>
      </c>
    </row>
    <row r="117" spans="1:14" ht="36">
      <c r="A117" s="1153">
        <v>57</v>
      </c>
      <c r="B117" s="352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521" t="s">
        <v>1634</v>
      </c>
      <c r="B121" s="3521"/>
      <c r="C121" s="3521"/>
      <c r="D121" s="3521"/>
      <c r="E121" s="3521"/>
      <c r="F121" s="3521"/>
      <c r="G121" s="3521"/>
      <c r="H121" s="3521"/>
      <c r="I121" s="3521"/>
      <c r="J121" s="35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26" t="s">
        <v>1040</v>
      </c>
      <c r="B1" s="3526"/>
      <c r="C1" s="3526"/>
      <c r="D1" s="3526"/>
      <c r="E1" s="3526"/>
      <c r="F1" s="352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527" t="s">
        <v>1053</v>
      </c>
      <c r="B2" s="3527"/>
      <c r="C2" s="3527"/>
      <c r="D2" s="3527"/>
      <c r="E2" s="3527"/>
      <c r="F2" s="352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2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2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2426</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2427</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30" t="s">
        <v>2082</v>
      </c>
      <c r="B1" s="3530"/>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2954</v>
      </c>
      <c r="B1" s="3131"/>
      <c r="C1" s="3131"/>
      <c r="D1" s="3131"/>
      <c r="E1" s="3131"/>
      <c r="F1" s="3131"/>
    </row>
    <row r="2" spans="1:6" ht="14.25">
      <c r="A2" s="3132" t="s">
        <v>2948</v>
      </c>
      <c r="B2" s="3133" t="e">
        <f ca="1">SUMIF(B7:B14,"&lt;&gt;#ref!",B7:B14)</f>
        <v>#DIV/0!</v>
      </c>
      <c r="C2" s="3132" t="s">
        <v>2949</v>
      </c>
      <c r="D2" s="3131"/>
      <c r="E2" s="3131"/>
      <c r="F2" s="3131"/>
    </row>
    <row r="3" spans="1:6" ht="14.25">
      <c r="A3" s="3132" t="s">
        <v>2951</v>
      </c>
      <c r="B3" s="3133" t="e">
        <f ca="1">ROUND(B2*10000/E3,0)</f>
        <v>#DIV/0!</v>
      </c>
      <c r="C3" s="3132" t="s">
        <v>2081</v>
      </c>
      <c r="D3" s="3132" t="s">
        <v>2950</v>
      </c>
      <c r="E3" s="3133" t="e">
        <f ca="1">SUM(E7:E14)</f>
        <v>#REF!</v>
      </c>
      <c r="F3" s="3131"/>
    </row>
    <row r="4" spans="1:6" ht="14.25">
      <c r="A4" s="3132" t="s">
        <v>2958</v>
      </c>
      <c r="B4" s="3133" t="e">
        <f ca="1">ROUND(B2*10000/E4,0)</f>
        <v>#DIV/0!</v>
      </c>
      <c r="C4" s="3132" t="s">
        <v>2081</v>
      </c>
      <c r="D4" s="3132" t="s">
        <v>2959</v>
      </c>
      <c r="E4" s="3133" t="e">
        <f ca="1">SUM(F7:F14)</f>
        <v>#REF!</v>
      </c>
      <c r="F4" s="3131"/>
    </row>
    <row r="5" spans="1:6" ht="14.25">
      <c r="A5" s="3134"/>
      <c r="B5" s="1881"/>
      <c r="C5" s="1881"/>
      <c r="D5" s="1881"/>
      <c r="E5" s="1881"/>
      <c r="F5" s="3131"/>
    </row>
    <row r="6" spans="1:6" ht="28.5">
      <c r="A6" s="3135" t="s">
        <v>2955</v>
      </c>
      <c r="B6" s="3132" t="s">
        <v>2952</v>
      </c>
      <c r="C6" s="3133"/>
      <c r="D6" s="1881"/>
      <c r="E6" s="3132" t="s">
        <v>2953</v>
      </c>
      <c r="F6" s="3132" t="s">
        <v>2957</v>
      </c>
    </row>
    <row r="7" spans="1:6" ht="14.25">
      <c r="A7" s="259" t="s">
        <v>2956</v>
      </c>
      <c r="B7" s="3136" t="e">
        <f ca="1">SUMIF(INDIRECT("'"&amp;A7&amp;"'"&amp;"!A:A"),"总价",INDIRECT("'"&amp;A7&amp;"'"&amp;"!B:B"))</f>
        <v>#DIV/0!</v>
      </c>
      <c r="C7" s="3132" t="s">
        <v>2949</v>
      </c>
      <c r="D7" s="1881"/>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2949</v>
      </c>
      <c r="D8" s="1881"/>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2949</v>
      </c>
      <c r="D9" s="1881"/>
      <c r="E9" s="3137" t="e">
        <f t="shared" ca="1" si="1"/>
        <v>#REF!</v>
      </c>
      <c r="F9" s="3137" t="e">
        <f t="shared" ca="1" si="2"/>
        <v>#REF!</v>
      </c>
    </row>
    <row r="10" spans="1:6" ht="14.25">
      <c r="A10" s="259"/>
      <c r="B10" s="3136" t="e">
        <f t="shared" ca="1" si="0"/>
        <v>#REF!</v>
      </c>
      <c r="C10" s="3132" t="s">
        <v>2949</v>
      </c>
      <c r="D10" s="1881"/>
      <c r="E10" s="3137" t="e">
        <f t="shared" ca="1" si="1"/>
        <v>#REF!</v>
      </c>
      <c r="F10" s="3137" t="e">
        <f t="shared" ca="1" si="2"/>
        <v>#REF!</v>
      </c>
    </row>
    <row r="11" spans="1:6" ht="14.25">
      <c r="A11" s="259"/>
      <c r="B11" s="3136" t="e">
        <f t="shared" ca="1" si="0"/>
        <v>#REF!</v>
      </c>
      <c r="C11" s="3132" t="s">
        <v>2949</v>
      </c>
      <c r="D11" s="1881"/>
      <c r="E11" s="3137" t="e">
        <f t="shared" ca="1" si="1"/>
        <v>#REF!</v>
      </c>
      <c r="F11" s="3137" t="e">
        <f t="shared" ca="1" si="2"/>
        <v>#REF!</v>
      </c>
    </row>
    <row r="12" spans="1:6" ht="14.25">
      <c r="A12" s="259"/>
      <c r="B12" s="3136" t="e">
        <f t="shared" ca="1" si="0"/>
        <v>#REF!</v>
      </c>
      <c r="C12" s="3132" t="s">
        <v>2949</v>
      </c>
      <c r="D12" s="1881"/>
      <c r="E12" s="3137" t="e">
        <f t="shared" ca="1" si="1"/>
        <v>#REF!</v>
      </c>
      <c r="F12" s="3137" t="e">
        <f t="shared" ca="1" si="2"/>
        <v>#REF!</v>
      </c>
    </row>
    <row r="13" spans="1:6" ht="14.25">
      <c r="A13" s="259"/>
      <c r="B13" s="3136" t="e">
        <f t="shared" ca="1" si="0"/>
        <v>#REF!</v>
      </c>
      <c r="C13" s="3132" t="s">
        <v>2949</v>
      </c>
      <c r="D13" s="1881"/>
      <c r="E13" s="3137" t="e">
        <f t="shared" ca="1" si="1"/>
        <v>#REF!</v>
      </c>
      <c r="F13" s="3137" t="e">
        <f t="shared" ca="1" si="2"/>
        <v>#REF!</v>
      </c>
    </row>
    <row r="14" spans="1:6" ht="14.25">
      <c r="A14" s="3130"/>
      <c r="B14" s="3136" t="e">
        <f t="shared" ca="1" si="0"/>
        <v>#REF!</v>
      </c>
      <c r="C14" s="3132" t="s">
        <v>2949</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2378</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2462</v>
      </c>
      <c r="C7" s="53">
        <f ca="1">C8+C12+C14</f>
        <v>0</v>
      </c>
      <c r="D7" s="2520" t="s">
        <v>2465</v>
      </c>
      <c r="E7" s="2514"/>
      <c r="F7" s="2515"/>
      <c r="G7" s="1591"/>
      <c r="H7" s="780">
        <v>1</v>
      </c>
      <c r="I7" s="781" t="s">
        <v>2462</v>
      </c>
      <c r="J7" s="53">
        <f ca="1">J8+J12+J14</f>
        <v>0</v>
      </c>
      <c r="K7" s="2520" t="s">
        <v>2465</v>
      </c>
      <c r="L7" s="2514"/>
      <c r="M7" s="2515"/>
    </row>
    <row r="8" spans="1:25" ht="18" customHeight="1">
      <c r="A8" s="1830" t="s">
        <v>1825</v>
      </c>
      <c r="B8" s="3532" t="s">
        <v>2467</v>
      </c>
      <c r="C8" s="1825">
        <f ca="1">ROUND(F8*F10*F9*(1-F11)/10000,0)</f>
        <v>0</v>
      </c>
      <c r="D8" s="1822" t="s">
        <v>2538</v>
      </c>
      <c r="E8" s="61" t="s">
        <v>637</v>
      </c>
      <c r="F8" s="784">
        <f ca="1">INDIRECT("'数据-取费表'!u"&amp;$G$1)</f>
        <v>0</v>
      </c>
      <c r="G8" s="1591"/>
      <c r="H8" s="2528" t="s">
        <v>1825</v>
      </c>
      <c r="I8" s="3532" t="s">
        <v>2467</v>
      </c>
      <c r="J8" s="782">
        <f ca="1">ROUND(M8*M10*M9*(1-M11)/10000,0)</f>
        <v>0</v>
      </c>
      <c r="K8" s="340" t="s">
        <v>2538</v>
      </c>
      <c r="L8" s="783" t="s">
        <v>1739</v>
      </c>
      <c r="M8" s="784">
        <f ca="1">INDIRECT("'数据-取费表'!z"&amp;$G$1)</f>
        <v>0</v>
      </c>
    </row>
    <row r="9" spans="1:25" ht="18" customHeight="1">
      <c r="A9" s="2524"/>
      <c r="B9" s="3533"/>
      <c r="C9" s="1826"/>
      <c r="D9" s="1823"/>
      <c r="E9" s="61" t="s">
        <v>638</v>
      </c>
      <c r="F9" s="784">
        <f ca="1">IF(INDIRECT("'数据-取费表'!ah"&amp;$G$1)="",INDIRECT("'数据-取费表'!k"&amp;$G$1),INDIRECT("'数据-取费表'!ah"&amp;$G$1))</f>
        <v>0</v>
      </c>
      <c r="G9" s="1591"/>
      <c r="H9" s="2513"/>
      <c r="I9" s="3533"/>
      <c r="J9" s="787"/>
      <c r="K9" s="788"/>
      <c r="L9" s="783" t="s">
        <v>1740</v>
      </c>
      <c r="M9" s="784">
        <f ca="1">F9</f>
        <v>0</v>
      </c>
    </row>
    <row r="10" spans="1:25" ht="18" customHeight="1">
      <c r="A10" s="2517"/>
      <c r="B10" s="3534"/>
      <c r="C10" s="1826"/>
      <c r="D10" s="1823"/>
      <c r="E10" s="61" t="s">
        <v>639</v>
      </c>
      <c r="F10" s="784">
        <f ca="1">INDIRECT("'数据-取费表'!ai"&amp;$G$1)</f>
        <v>0</v>
      </c>
      <c r="G10" s="1591"/>
      <c r="H10" s="2513"/>
      <c r="I10" s="3534"/>
      <c r="J10" s="787"/>
      <c r="K10" s="788"/>
      <c r="L10" s="783" t="s">
        <v>1741</v>
      </c>
      <c r="M10" s="784">
        <f ca="1">INDIRECT("'数据-取费表'!ai"&amp;$G$1)</f>
        <v>0</v>
      </c>
    </row>
    <row r="11" spans="1:25" ht="18" customHeight="1">
      <c r="A11" s="785"/>
      <c r="B11" s="3535"/>
      <c r="C11" s="1826"/>
      <c r="D11" s="1823"/>
      <c r="E11" s="61" t="s">
        <v>640</v>
      </c>
      <c r="F11" s="793">
        <f ca="1">INDIRECT("'数据-取费表'!w"&amp;$G$1)</f>
        <v>0</v>
      </c>
      <c r="G11" s="1591"/>
      <c r="H11" s="2529"/>
      <c r="I11" s="3534"/>
      <c r="J11" s="787"/>
      <c r="K11" s="788"/>
      <c r="L11" s="794" t="s">
        <v>1742</v>
      </c>
      <c r="M11" s="795">
        <f ca="1">INDIRECT("'数据-取费表'!ab"&amp;$G$1)</f>
        <v>0</v>
      </c>
    </row>
    <row r="12" spans="1:25" ht="18" customHeight="1">
      <c r="A12" s="1830" t="s">
        <v>1826</v>
      </c>
      <c r="B12" s="2518" t="s">
        <v>2463</v>
      </c>
      <c r="C12" s="798">
        <f ca="1">ROUND(IF(F12="押一",C8/12*F13,IF(F12="押二",C8/12*2*F13,IF(F12="押三",C8/12*3*F13,C13*F13))),0)</f>
        <v>0</v>
      </c>
      <c r="D12" s="2525" t="s">
        <v>2979</v>
      </c>
      <c r="E12" s="2522" t="s">
        <v>2468</v>
      </c>
      <c r="F12" s="2645"/>
      <c r="G12" s="1591"/>
      <c r="H12" s="2585" t="s">
        <v>1826</v>
      </c>
      <c r="I12" s="2590" t="s">
        <v>2463</v>
      </c>
      <c r="J12" s="782">
        <f ca="1">ROUND(IF(M12="押一",J8/12*M13,IF(M12="押二",J8/12*2*M13,IF(M12="押三",J8/12*3*M13,J13*M13))),0)</f>
        <v>0</v>
      </c>
      <c r="K12" s="2525" t="s">
        <v>2979</v>
      </c>
      <c r="L12" s="2522" t="s">
        <v>2468</v>
      </c>
      <c r="M12" s="2645"/>
    </row>
    <row r="13" spans="1:25" ht="18" customHeight="1">
      <c r="A13" s="789"/>
      <c r="B13" s="2519" t="s">
        <v>2577</v>
      </c>
      <c r="C13" s="2523"/>
      <c r="D13" s="788"/>
      <c r="E13" s="2522" t="s">
        <v>2460</v>
      </c>
      <c r="F13" s="795">
        <f ca="1">'数据-取费表'!B39</f>
        <v>1.4999999999999999E-2</v>
      </c>
      <c r="G13" s="1591"/>
      <c r="H13" s="2586"/>
      <c r="I13" s="2519" t="s">
        <v>2577</v>
      </c>
      <c r="J13" s="2523"/>
      <c r="K13" s="2587"/>
      <c r="L13" s="2522" t="s">
        <v>2460</v>
      </c>
      <c r="M13" s="2516">
        <f ca="1">'数据-取费表'!B39</f>
        <v>1.4999999999999999E-2</v>
      </c>
    </row>
    <row r="14" spans="1:25" ht="18" customHeight="1" thickBot="1">
      <c r="A14" s="2561" t="s">
        <v>2471</v>
      </c>
      <c r="B14" s="2562" t="s">
        <v>2464</v>
      </c>
      <c r="C14" s="2563"/>
      <c r="D14" s="2564"/>
      <c r="E14" s="2565"/>
      <c r="F14" s="2566"/>
      <c r="G14" s="1591"/>
      <c r="H14" s="2575" t="s">
        <v>2471</v>
      </c>
      <c r="I14" s="2588" t="s">
        <v>2464</v>
      </c>
      <c r="J14" s="2589"/>
      <c r="K14" s="2564"/>
      <c r="L14" s="2565"/>
      <c r="M14" s="2578"/>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2072</v>
      </c>
      <c r="I16" s="2231" t="s">
        <v>2829</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0.05</v>
      </c>
      <c r="G17" s="1592"/>
      <c r="H17" s="802" t="s">
        <v>2073</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2072</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30</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96" t="str">
        <f>IF(F25&lt;=1,"单利计息。","复利计息。")&amp;"建造成本、管理费用、销售费用产生的利息。"</f>
        <v>复利计息。建造成本、管理费用、销售费用产生的利息。</v>
      </c>
      <c r="E24" s="1982"/>
      <c r="F24" s="56"/>
      <c r="G24" s="1591"/>
      <c r="H24" s="1831" t="s">
        <v>2073</v>
      </c>
      <c r="I24" s="783" t="s">
        <v>676</v>
      </c>
      <c r="J24" s="53">
        <f ca="1">ROUND(J16*M24,0)</f>
        <v>0</v>
      </c>
      <c r="K24" s="1977" t="s">
        <v>677</v>
      </c>
      <c r="L24" s="783" t="s">
        <v>649</v>
      </c>
      <c r="M24" s="816">
        <f ca="1">INDIRECT("'数据-取费表'!Ak"&amp;$G$1)</f>
        <v>0</v>
      </c>
    </row>
    <row r="25" spans="1:25" s="2064" customFormat="1" ht="18" customHeight="1">
      <c r="A25" s="802" t="s">
        <v>1876</v>
      </c>
      <c r="B25" s="783" t="s">
        <v>2441</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34" t="s">
        <v>2826</v>
      </c>
      <c r="J27" s="798">
        <f ca="1">J7-J18</f>
        <v>0</v>
      </c>
      <c r="K27" s="1979" t="s">
        <v>700</v>
      </c>
      <c r="L27" s="1981"/>
      <c r="M27" s="819"/>
    </row>
    <row r="28" spans="1:25" ht="18" customHeight="1">
      <c r="A28" s="802" t="s">
        <v>1876</v>
      </c>
      <c r="B28" s="783" t="s">
        <v>2442</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2827</v>
      </c>
      <c r="C31" s="2568">
        <f ca="1">ROUND((C21+C22+C25+C28)/(1-F23-C26-C29-C30),0)</f>
        <v>0</v>
      </c>
      <c r="D31" s="2569"/>
      <c r="E31" s="2570"/>
      <c r="F31" s="2571"/>
      <c r="G31" s="1592"/>
      <c r="H31" s="822" t="s">
        <v>1873</v>
      </c>
      <c r="I31" s="3035" t="s">
        <v>2828</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30</v>
      </c>
      <c r="G36" s="2062"/>
      <c r="H36" s="2065"/>
      <c r="I36" s="3531"/>
      <c r="J36" s="2079"/>
      <c r="K36" s="2080"/>
      <c r="L36" s="2079"/>
      <c r="M36" s="2079"/>
    </row>
    <row r="37" spans="1:18" ht="18" customHeight="1">
      <c r="A37" s="814"/>
      <c r="B37" s="792"/>
      <c r="C37" s="69"/>
      <c r="D37" s="815"/>
      <c r="E37" s="783" t="s">
        <v>674</v>
      </c>
      <c r="F37" s="784">
        <f ca="1">INDIRECT("'数据-取费表'!r"&amp;$G$1)</f>
        <v>0</v>
      </c>
      <c r="G37" s="2062"/>
      <c r="H37" s="2065"/>
      <c r="I37" s="3531"/>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50" t="s">
        <v>2967</v>
      </c>
      <c r="F43" s="3151">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61">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52" t="s">
        <v>2970</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47"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36"/>
      <c r="L54" s="3537"/>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4" t="s">
        <v>2359</v>
      </c>
      <c r="J56" s="3148"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7"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49"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6" t="s">
        <v>2946</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7">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8">
        <v>0</v>
      </c>
      <c r="O65" s="2428" t="s">
        <v>2419</v>
      </c>
      <c r="P65" s="1591"/>
      <c r="Q65" s="1603"/>
      <c r="R65" s="1591"/>
    </row>
    <row r="66" spans="1:18" s="2059" customFormat="1" ht="15.75" thickBot="1">
      <c r="A66" s="2096"/>
      <c r="B66" s="2097"/>
      <c r="C66" s="2097"/>
      <c r="I66" s="2409" t="s">
        <v>2376</v>
      </c>
      <c r="J66" s="2410">
        <v>40</v>
      </c>
      <c r="K66" s="2410">
        <v>30</v>
      </c>
      <c r="L66" s="2410">
        <v>50</v>
      </c>
      <c r="M66" s="3127">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44" t="s">
        <v>2580</v>
      </c>
      <c r="C1" s="3544"/>
      <c r="D1" s="3544"/>
      <c r="E1" s="3544"/>
      <c r="F1" s="3544"/>
      <c r="G1" s="3543" t="s">
        <v>2581</v>
      </c>
      <c r="H1" s="3543"/>
      <c r="I1" s="3543"/>
      <c r="J1" s="3543"/>
      <c r="K1" s="3543"/>
      <c r="L1" s="3543"/>
      <c r="N1" s="3543" t="s">
        <v>2582</v>
      </c>
      <c r="O1" s="3543"/>
      <c r="P1" s="3543"/>
      <c r="Q1" s="3543"/>
      <c r="R1" s="2678"/>
      <c r="S1" s="3543" t="s">
        <v>2583</v>
      </c>
      <c r="T1" s="3543"/>
      <c r="U1" s="3543"/>
      <c r="V1" s="3543"/>
      <c r="X1" s="3542" t="s">
        <v>2643</v>
      </c>
      <c r="Y1" s="3543"/>
      <c r="Z1" s="3543"/>
      <c r="AA1" s="3543"/>
      <c r="AB1" s="3543"/>
      <c r="AD1" s="3542" t="s">
        <v>2647</v>
      </c>
      <c r="AE1" s="3543"/>
      <c r="AF1" s="3543"/>
      <c r="AG1" s="3543"/>
      <c r="AH1" s="3543"/>
    </row>
    <row r="2" spans="1:34" s="2780" customFormat="1" ht="14.25" thickBot="1">
      <c r="B2" s="2788" t="s">
        <v>2584</v>
      </c>
      <c r="C2" s="2788" t="s">
        <v>2645</v>
      </c>
      <c r="D2" s="2781" t="s">
        <v>1645</v>
      </c>
      <c r="E2" s="2781" t="s">
        <v>1952</v>
      </c>
      <c r="F2" s="2788" t="s">
        <v>2646</v>
      </c>
      <c r="G2" s="2784"/>
      <c r="H2" s="2783"/>
      <c r="I2" s="2788" t="s">
        <v>2961</v>
      </c>
      <c r="J2" s="2781" t="s">
        <v>2963</v>
      </c>
      <c r="K2" s="2781" t="s">
        <v>2964</v>
      </c>
      <c r="L2" s="2788" t="s">
        <v>2965</v>
      </c>
      <c r="N2" s="2788" t="s">
        <v>2584</v>
      </c>
      <c r="O2" s="2781" t="s">
        <v>2962</v>
      </c>
      <c r="P2" s="2781" t="s">
        <v>1952</v>
      </c>
      <c r="Q2" s="2788" t="s">
        <v>2646</v>
      </c>
      <c r="R2" s="2782"/>
      <c r="S2" s="2788" t="s">
        <v>2584</v>
      </c>
      <c r="T2" s="2781" t="s">
        <v>2962</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2" customFormat="1" ht="14.25">
      <c r="A3" s="3174" t="s">
        <v>2974</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1.4274</v>
      </c>
      <c r="Y3" s="3168">
        <f>ROUND(SUMPRODUCT(PRODUCT(1+O3:O$21)),4)</f>
        <v>1.2685</v>
      </c>
      <c r="Z3" s="3168">
        <f t="shared" ref="Z3:Z19" si="0">Y3</f>
        <v>1.2685</v>
      </c>
      <c r="AA3" s="3168">
        <f>ROUND(SUMPRODUCT(PRODUCT(1+P3:P$21)),4)</f>
        <v>1.4825999999999999</v>
      </c>
      <c r="AB3" s="3168">
        <f>ROUND(SUMPRODUCT(PRODUCT(1+Q3:Q$21)),4)</f>
        <v>1.2309000000000001</v>
      </c>
      <c r="AD3" s="3169">
        <f>ROUND(AVERAGE(I3:I$22)/100,4)</f>
        <v>2.1899999999999999E-2</v>
      </c>
      <c r="AE3" s="3169">
        <f>ROUND(AVERAGE(J3:J$22)/100,4)</f>
        <v>1.47E-2</v>
      </c>
      <c r="AF3" s="3169">
        <f t="shared" ref="AF3:AF20" si="1">AE3</f>
        <v>1.47E-2</v>
      </c>
      <c r="AG3" s="3169">
        <f>ROUND(AVERAGE(K3:K$22)/100,4)</f>
        <v>2.4299999999999999E-2</v>
      </c>
      <c r="AH3" s="3169">
        <f>ROUND(AVERAGE(L3:L$22)/100,4)</f>
        <v>1.2500000000000001E-2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c r="A5" s="3139" t="s">
        <v>2981</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40">
        <v>2</v>
      </c>
      <c r="I5" s="3156">
        <v>0</v>
      </c>
      <c r="J5" s="3156">
        <v>0</v>
      </c>
      <c r="K5" s="3156">
        <v>0</v>
      </c>
      <c r="L5" s="3156">
        <v>0</v>
      </c>
      <c r="N5" s="2786">
        <f t="shared" ref="N5" si="6">I5/100</f>
        <v>0</v>
      </c>
      <c r="O5" s="2786">
        <f t="shared" ref="O5" si="7">J5/100</f>
        <v>0</v>
      </c>
      <c r="P5" s="2786">
        <f t="shared" ref="P5" si="8">K5/100</f>
        <v>0</v>
      </c>
      <c r="Q5" s="2786">
        <f t="shared" ref="Q5" si="9">L5/100</f>
        <v>0</v>
      </c>
      <c r="R5" s="3142"/>
      <c r="S5" s="3143"/>
      <c r="T5" s="3142"/>
      <c r="U5" s="3142"/>
      <c r="V5" s="3142"/>
      <c r="W5" s="3172" t="s">
        <v>2975</v>
      </c>
      <c r="X5" s="3144">
        <f>ROUND(SUMPRODUCT(PRODUCT(1+N5:N$21)),4)</f>
        <v>1.4274</v>
      </c>
      <c r="Y5" s="3144">
        <f>ROUND(SUMPRODUCT(PRODUCT(1+O5:O$21)),4)</f>
        <v>1.2685</v>
      </c>
      <c r="Z5" s="3144">
        <f t="shared" ref="Z5" si="10">Y5</f>
        <v>1.2685</v>
      </c>
      <c r="AA5" s="3144">
        <f>ROUND(SUMPRODUCT(PRODUCT(1+P5:P$21)),4)</f>
        <v>1.4825999999999999</v>
      </c>
      <c r="AB5" s="3144">
        <f>ROUND(SUMPRODUCT(PRODUCT(1+Q5:Q$21)),4)</f>
        <v>1.2309000000000001</v>
      </c>
      <c r="AD5" s="3145">
        <f>ROUND(AVERAGE(I5:I$22)/100,4)</f>
        <v>2.1700000000000001E-2</v>
      </c>
      <c r="AE5" s="3145">
        <f>ROUND(AVERAGE(J5:J$22)/100,4)</f>
        <v>1.46E-2</v>
      </c>
      <c r="AF5" s="3145">
        <f t="shared" ref="AF5" si="11">AE5</f>
        <v>1.46E-2</v>
      </c>
      <c r="AG5" s="3145">
        <f>ROUND(AVERAGE(K5:K$22)/100,4)</f>
        <v>2.41E-2</v>
      </c>
      <c r="AH5" s="3145">
        <f>ROUND(AVERAGE(L5:L$22)/100,4)</f>
        <v>1.24E-2</v>
      </c>
    </row>
    <row r="6" spans="1:34" s="2785" customFormat="1" ht="13.5" thickBot="1">
      <c r="A6" s="2679" t="s">
        <v>2982</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1">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2972</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9">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2976</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1"/>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2585</v>
      </c>
      <c r="B9" s="2693">
        <f t="shared" si="29"/>
        <v>419.31181600000002</v>
      </c>
      <c r="C9" s="2693">
        <f t="shared" si="29"/>
        <v>313.95436800000004</v>
      </c>
      <c r="D9" s="2693">
        <f t="shared" si="13"/>
        <v>313.95436800000004</v>
      </c>
      <c r="E9" s="2693">
        <f t="shared" si="30"/>
        <v>596.63028431999999</v>
      </c>
      <c r="F9" s="2693">
        <f t="shared" si="30"/>
        <v>274.74220703999998</v>
      </c>
      <c r="G9" s="3160"/>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2586</v>
      </c>
      <c r="B10" s="2693">
        <f t="shared" si="29"/>
        <v>405.524</v>
      </c>
      <c r="C10" s="2693">
        <f t="shared" si="29"/>
        <v>307.79840000000002</v>
      </c>
      <c r="D10" s="2693">
        <f t="shared" si="13"/>
        <v>307.79840000000002</v>
      </c>
      <c r="E10" s="2693">
        <f t="shared" si="30"/>
        <v>574.67759999999998</v>
      </c>
      <c r="F10" s="2693">
        <f t="shared" si="30"/>
        <v>270.20280000000002</v>
      </c>
      <c r="G10" s="3161"/>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41">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539"/>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8"/>
        <v>360.06949782209392</v>
      </c>
      <c r="C13" s="2693">
        <f t="shared" si="38"/>
        <v>289.84672674747821</v>
      </c>
      <c r="D13" s="2693">
        <f t="shared" si="39"/>
        <v>289.84672674747821</v>
      </c>
      <c r="E13" s="2693">
        <f t="shared" si="40"/>
        <v>501.06543001181495</v>
      </c>
      <c r="F13" s="2693">
        <f t="shared" si="40"/>
        <v>256.82882500744967</v>
      </c>
      <c r="G13" s="3539"/>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8"/>
        <v>346.720748986128</v>
      </c>
      <c r="C14" s="2693">
        <f t="shared" si="38"/>
        <v>284.30282172386285</v>
      </c>
      <c r="D14" s="2693">
        <f t="shared" si="39"/>
        <v>284.30282172386285</v>
      </c>
      <c r="E14" s="2693">
        <f t="shared" si="40"/>
        <v>479.58023546306947</v>
      </c>
      <c r="F14" s="2693">
        <f t="shared" si="40"/>
        <v>253.25788877571213</v>
      </c>
      <c r="G14" s="3540"/>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9"/>
        <v>277</v>
      </c>
      <c r="E15" s="2685">
        <v>459</v>
      </c>
      <c r="F15" s="2686">
        <v>249</v>
      </c>
      <c r="G15" s="3538">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539"/>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42"/>
        <v>322.34053690220776</v>
      </c>
      <c r="C17" s="2693">
        <f t="shared" si="42"/>
        <v>271.46160770422546</v>
      </c>
      <c r="D17" s="2693">
        <f t="shared" si="39"/>
        <v>271.46160770422546</v>
      </c>
      <c r="E17" s="2693">
        <f t="shared" si="43"/>
        <v>442.69434542172456</v>
      </c>
      <c r="F17" s="2693">
        <f t="shared" si="43"/>
        <v>241.34030753190925</v>
      </c>
      <c r="G17" s="3539"/>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42"/>
        <v>319.87748030386797</v>
      </c>
      <c r="C18" s="2693">
        <f t="shared" si="42"/>
        <v>269.60135833173649</v>
      </c>
      <c r="D18" s="2693">
        <f t="shared" si="39"/>
        <v>269.60135833173649</v>
      </c>
      <c r="E18" s="2693">
        <f t="shared" si="43"/>
        <v>439.18089823583784</v>
      </c>
      <c r="F18" s="2693">
        <f t="shared" si="43"/>
        <v>239.23503918706311</v>
      </c>
      <c r="G18" s="3540"/>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9"/>
        <v>268</v>
      </c>
      <c r="E19" s="2707">
        <v>437</v>
      </c>
      <c r="F19" s="2708">
        <v>237</v>
      </c>
      <c r="G19" s="3538">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539"/>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4"/>
        <v>314.72141172386546</v>
      </c>
      <c r="C21" s="2693">
        <f t="shared" si="44"/>
        <v>263.03901319069001</v>
      </c>
      <c r="D21" s="2693">
        <f t="shared" si="39"/>
        <v>263.03901319069001</v>
      </c>
      <c r="E21" s="2693">
        <f t="shared" si="45"/>
        <v>433.65745506782821</v>
      </c>
      <c r="F21" s="2693">
        <f t="shared" si="45"/>
        <v>233.23005080045735</v>
      </c>
      <c r="G21" s="3539"/>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961</v>
      </c>
      <c r="B22" s="2712">
        <f t="shared" si="44"/>
        <v>307.34512863658733</v>
      </c>
      <c r="C22" s="2712">
        <f t="shared" si="44"/>
        <v>257.80556031626975</v>
      </c>
      <c r="D22" s="2712">
        <f t="shared" si="39"/>
        <v>257.80556031626975</v>
      </c>
      <c r="E22" s="2712">
        <f t="shared" si="45"/>
        <v>422.70928459677179</v>
      </c>
      <c r="F22" s="2712">
        <f t="shared" si="45"/>
        <v>229.73803270336617</v>
      </c>
      <c r="G22" s="3540"/>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2644</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2587</v>
      </c>
      <c r="B23" s="2685">
        <v>299</v>
      </c>
      <c r="C23" s="2685">
        <v>252</v>
      </c>
      <c r="D23" s="2685">
        <f t="shared" si="39"/>
        <v>252</v>
      </c>
      <c r="E23" s="2685">
        <v>409</v>
      </c>
      <c r="F23" s="2686">
        <v>227</v>
      </c>
      <c r="G23" s="3545">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2588</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546"/>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2589</v>
      </c>
      <c r="B25" s="2693">
        <f t="shared" si="48"/>
        <v>288.2649053828776</v>
      </c>
      <c r="C25" s="2693">
        <f t="shared" si="48"/>
        <v>243.64564425013293</v>
      </c>
      <c r="D25" s="2693">
        <f t="shared" si="39"/>
        <v>243.64564425013293</v>
      </c>
      <c r="E25" s="2693">
        <f t="shared" si="49"/>
        <v>393.31080825986544</v>
      </c>
      <c r="F25" s="2693">
        <f t="shared" si="49"/>
        <v>223.07903790551154</v>
      </c>
      <c r="G25" s="3546"/>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2590</v>
      </c>
      <c r="B26" s="2693">
        <f t="shared" si="48"/>
        <v>282.50186729015837</v>
      </c>
      <c r="C26" s="2693">
        <f t="shared" si="48"/>
        <v>238.09796174155468</v>
      </c>
      <c r="D26" s="2693">
        <f t="shared" si="39"/>
        <v>238.09796174155468</v>
      </c>
      <c r="E26" s="2693">
        <f t="shared" si="49"/>
        <v>385.33438646014054</v>
      </c>
      <c r="F26" s="2693">
        <f t="shared" si="49"/>
        <v>221.55034055567739</v>
      </c>
      <c r="G26" s="3547"/>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2591</v>
      </c>
      <c r="B27" s="2723">
        <v>278</v>
      </c>
      <c r="C27" s="2723">
        <v>234</v>
      </c>
      <c r="D27" s="2723">
        <f t="shared" si="39"/>
        <v>234</v>
      </c>
      <c r="E27" s="2723">
        <v>379</v>
      </c>
      <c r="F27" s="2724">
        <v>220</v>
      </c>
      <c r="G27" s="3538">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2592</v>
      </c>
      <c r="B28" s="2693">
        <f>B27/(1+N27)</f>
        <v>275.49301357645425</v>
      </c>
      <c r="C28" s="2693">
        <f>C27/(1+O27)</f>
        <v>232.41954707985698</v>
      </c>
      <c r="D28" s="2693">
        <f t="shared" si="39"/>
        <v>232.41954707985698</v>
      </c>
      <c r="E28" s="2693">
        <f t="shared" ref="E28:F30" si="50">E27/(1+P27)</f>
        <v>375.32184591008121</v>
      </c>
      <c r="F28" s="2693">
        <f t="shared" si="50"/>
        <v>218.03766105054513</v>
      </c>
      <c r="G28" s="3539"/>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2593</v>
      </c>
      <c r="B29" s="2693">
        <f>B28/(1+N28)</f>
        <v>275.24529281292263</v>
      </c>
      <c r="C29" s="2693">
        <f>C28/(1+O28)</f>
        <v>231.74747938962707</v>
      </c>
      <c r="D29" s="2693">
        <f t="shared" si="39"/>
        <v>231.74747938962707</v>
      </c>
      <c r="E29" s="2693">
        <f t="shared" si="50"/>
        <v>375.35938184826603</v>
      </c>
      <c r="F29" s="2693">
        <f t="shared" si="50"/>
        <v>216.78033510692495</v>
      </c>
      <c r="G29" s="3539"/>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2594</v>
      </c>
      <c r="B30" s="2693">
        <f>B29/(1+N29)</f>
        <v>275.19025476197027</v>
      </c>
      <c r="C30" s="2725">
        <v>232</v>
      </c>
      <c r="D30" s="2725">
        <f t="shared" si="39"/>
        <v>232</v>
      </c>
      <c r="E30" s="2693">
        <f t="shared" si="50"/>
        <v>375.65990977608692</v>
      </c>
      <c r="F30" s="2693">
        <f t="shared" si="50"/>
        <v>214.12518283971252</v>
      </c>
      <c r="G30" s="3540"/>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2595</v>
      </c>
      <c r="B31" s="2685">
        <v>275</v>
      </c>
      <c r="C31" s="2685">
        <v>232</v>
      </c>
      <c r="D31" s="2685">
        <f t="shared" si="39"/>
        <v>232</v>
      </c>
      <c r="E31" s="2685">
        <v>376</v>
      </c>
      <c r="F31" s="2686">
        <v>213</v>
      </c>
      <c r="G31" s="3538">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2596</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539">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2597</v>
      </c>
      <c r="B33" s="2693">
        <f t="shared" si="51"/>
        <v>275.19335084830601</v>
      </c>
      <c r="C33" s="2693">
        <f t="shared" si="51"/>
        <v>230.18088050139744</v>
      </c>
      <c r="D33" s="2693">
        <f t="shared" si="39"/>
        <v>230.18088050139744</v>
      </c>
      <c r="E33" s="2693">
        <f t="shared" si="52"/>
        <v>377.58482925212331</v>
      </c>
      <c r="F33" s="2693">
        <f t="shared" si="52"/>
        <v>210.90687997847917</v>
      </c>
      <c r="G33" s="3539">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2598</v>
      </c>
      <c r="B34" s="2693">
        <f t="shared" si="51"/>
        <v>276.29854502841971</v>
      </c>
      <c r="C34" s="2693">
        <f t="shared" si="51"/>
        <v>229.79023709833027</v>
      </c>
      <c r="D34" s="2693">
        <f t="shared" si="39"/>
        <v>229.79023709833027</v>
      </c>
      <c r="E34" s="2693">
        <f t="shared" si="52"/>
        <v>379.78759731655936</v>
      </c>
      <c r="F34" s="2693">
        <f t="shared" si="52"/>
        <v>211.32953905659235</v>
      </c>
      <c r="G34" s="3540">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2599</v>
      </c>
      <c r="B35" s="2685">
        <v>269</v>
      </c>
      <c r="C35" s="2685">
        <v>221</v>
      </c>
      <c r="D35" s="2685">
        <f t="shared" si="39"/>
        <v>221</v>
      </c>
      <c r="E35" s="2685">
        <v>373</v>
      </c>
      <c r="F35" s="2686">
        <v>196</v>
      </c>
      <c r="G35" s="3538">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2600</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539">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2601</v>
      </c>
      <c r="B37" s="2693">
        <f t="shared" si="53"/>
        <v>242.95398227588385</v>
      </c>
      <c r="C37" s="2693">
        <f t="shared" si="53"/>
        <v>199.59137053614126</v>
      </c>
      <c r="D37" s="2693">
        <f t="shared" si="39"/>
        <v>199.59137053614126</v>
      </c>
      <c r="E37" s="2693">
        <f t="shared" si="54"/>
        <v>335.92189522342125</v>
      </c>
      <c r="F37" s="2693">
        <f t="shared" si="54"/>
        <v>183.10139991109489</v>
      </c>
      <c r="G37" s="3539">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2602</v>
      </c>
      <c r="B38" s="2693">
        <f t="shared" si="53"/>
        <v>232.06990378821649</v>
      </c>
      <c r="C38" s="2693">
        <f t="shared" si="53"/>
        <v>192.74878854286936</v>
      </c>
      <c r="D38" s="2693">
        <f t="shared" si="39"/>
        <v>192.74878854286936</v>
      </c>
      <c r="E38" s="2693">
        <f t="shared" si="54"/>
        <v>319.71247284992984</v>
      </c>
      <c r="F38" s="2693">
        <f t="shared" si="54"/>
        <v>175.67053622862409</v>
      </c>
      <c r="G38" s="3540">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2603</v>
      </c>
      <c r="B39" s="2685">
        <v>220</v>
      </c>
      <c r="C39" s="2685">
        <v>187</v>
      </c>
      <c r="D39" s="2685">
        <f t="shared" si="39"/>
        <v>187</v>
      </c>
      <c r="E39" s="2685">
        <v>301</v>
      </c>
      <c r="F39" s="2686">
        <v>168</v>
      </c>
      <c r="G39" s="3538">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2604</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539">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2605</v>
      </c>
      <c r="B41" s="2693">
        <f t="shared" si="55"/>
        <v>210.630522469011</v>
      </c>
      <c r="C41" s="2693">
        <f t="shared" si="55"/>
        <v>181.69567812247232</v>
      </c>
      <c r="D41" s="2693">
        <f t="shared" si="39"/>
        <v>181.69567812247232</v>
      </c>
      <c r="E41" s="2693">
        <f t="shared" si="56"/>
        <v>286.13517466736738</v>
      </c>
      <c r="F41" s="2693">
        <f t="shared" si="56"/>
        <v>165.47535084591149</v>
      </c>
      <c r="G41" s="3539">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2606</v>
      </c>
      <c r="B42" s="2693">
        <f t="shared" si="55"/>
        <v>208.83454537875372</v>
      </c>
      <c r="C42" s="2693">
        <f t="shared" si="55"/>
        <v>183.77230517090351</v>
      </c>
      <c r="D42" s="2693">
        <f t="shared" si="39"/>
        <v>183.77230517090351</v>
      </c>
      <c r="E42" s="2693">
        <f t="shared" si="56"/>
        <v>281.10342338870947</v>
      </c>
      <c r="F42" s="2693">
        <f t="shared" si="56"/>
        <v>168.97309388942256</v>
      </c>
      <c r="G42" s="3540">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2607</v>
      </c>
      <c r="B43" s="2723">
        <v>214</v>
      </c>
      <c r="C43" s="2723">
        <v>188</v>
      </c>
      <c r="D43" s="2723">
        <f t="shared" si="39"/>
        <v>188</v>
      </c>
      <c r="E43" s="2723">
        <v>289</v>
      </c>
      <c r="F43" s="2724">
        <v>166</v>
      </c>
      <c r="G43" s="3538">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2608</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539">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2609</v>
      </c>
      <c r="B45" s="2693">
        <f t="shared" si="57"/>
        <v>206.31694671589116</v>
      </c>
      <c r="C45" s="2693">
        <f t="shared" si="57"/>
        <v>183.61041121036101</v>
      </c>
      <c r="D45" s="2693">
        <f t="shared" si="39"/>
        <v>183.61041121036101</v>
      </c>
      <c r="E45" s="2693">
        <f t="shared" si="58"/>
        <v>276.66850301795557</v>
      </c>
      <c r="F45" s="2693">
        <f t="shared" si="58"/>
        <v>165.1360938278614</v>
      </c>
      <c r="G45" s="3539">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2610</v>
      </c>
      <c r="B46" s="2726">
        <f t="shared" si="57"/>
        <v>196.62341248059772</v>
      </c>
      <c r="C46" s="2726">
        <f t="shared" si="57"/>
        <v>170.99125648199012</v>
      </c>
      <c r="D46" s="2726">
        <f t="shared" si="39"/>
        <v>170.99125648199012</v>
      </c>
      <c r="E46" s="2726">
        <f t="shared" si="58"/>
        <v>266.07857570490052</v>
      </c>
      <c r="F46" s="2726">
        <f t="shared" si="58"/>
        <v>154.53499328828505</v>
      </c>
      <c r="G46" s="3540">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2611</v>
      </c>
      <c r="B47" s="2685">
        <v>188</v>
      </c>
      <c r="C47" s="2685">
        <v>165</v>
      </c>
      <c r="D47" s="2685">
        <f t="shared" si="39"/>
        <v>165</v>
      </c>
      <c r="E47" s="2685">
        <v>254</v>
      </c>
      <c r="F47" s="2686">
        <v>148</v>
      </c>
      <c r="G47" s="3538">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2612</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539">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2613</v>
      </c>
      <c r="B49" s="2693">
        <f t="shared" si="61"/>
        <v>168.82017748715555</v>
      </c>
      <c r="C49" s="2693">
        <f t="shared" si="61"/>
        <v>148.06267029972753</v>
      </c>
      <c r="D49" s="2693">
        <f t="shared" si="39"/>
        <v>148.06267029972753</v>
      </c>
      <c r="E49" s="2693">
        <f t="shared" si="62"/>
        <v>216.46288379323747</v>
      </c>
      <c r="F49" s="2693">
        <f t="shared" si="62"/>
        <v>134.23529411764704</v>
      </c>
      <c r="G49" s="3539">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2614</v>
      </c>
      <c r="B50" s="2693">
        <f t="shared" si="61"/>
        <v>163.84913591779542</v>
      </c>
      <c r="C50" s="2693">
        <f t="shared" si="61"/>
        <v>145.0283378746594</v>
      </c>
      <c r="D50" s="2693">
        <f t="shared" si="39"/>
        <v>145.0283378746594</v>
      </c>
      <c r="E50" s="2693">
        <f t="shared" si="62"/>
        <v>204.95180722891567</v>
      </c>
      <c r="F50" s="2693">
        <f t="shared" si="62"/>
        <v>125.95920303605313</v>
      </c>
      <c r="G50" s="3540">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2615</v>
      </c>
      <c r="B51" s="2707">
        <v>159</v>
      </c>
      <c r="C51" s="2707">
        <v>141</v>
      </c>
      <c r="D51" s="2707">
        <f t="shared" si="39"/>
        <v>141</v>
      </c>
      <c r="E51" s="2707">
        <v>195</v>
      </c>
      <c r="F51" s="2708">
        <v>122</v>
      </c>
      <c r="G51" s="3538">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2616</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539">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2617</v>
      </c>
      <c r="B53" s="2693">
        <f t="shared" si="65"/>
        <v>146.57412060301507</v>
      </c>
      <c r="C53" s="2693">
        <f t="shared" si="65"/>
        <v>136.46831955922866</v>
      </c>
      <c r="D53" s="2693">
        <f t="shared" si="39"/>
        <v>136.46831955922866</v>
      </c>
      <c r="E53" s="2693">
        <f t="shared" si="66"/>
        <v>166.73864894795128</v>
      </c>
      <c r="F53" s="2693">
        <f t="shared" si="66"/>
        <v>115.05882352941177</v>
      </c>
      <c r="G53" s="3539">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2618</v>
      </c>
      <c r="B54" s="2693">
        <f t="shared" si="65"/>
        <v>144.04145728643215</v>
      </c>
      <c r="C54" s="2693">
        <f t="shared" si="65"/>
        <v>136.12396694214877</v>
      </c>
      <c r="D54" s="2693">
        <f t="shared" si="39"/>
        <v>136.12396694214877</v>
      </c>
      <c r="E54" s="2693">
        <f t="shared" si="66"/>
        <v>158.32225913621264</v>
      </c>
      <c r="F54" s="2693">
        <f t="shared" si="66"/>
        <v>114.04278074866311</v>
      </c>
      <c r="G54" s="3540">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2619</v>
      </c>
      <c r="B55" s="2707">
        <v>138</v>
      </c>
      <c r="C55" s="2707">
        <v>131</v>
      </c>
      <c r="D55" s="2707">
        <f t="shared" si="39"/>
        <v>131</v>
      </c>
      <c r="E55" s="2707">
        <v>155</v>
      </c>
      <c r="F55" s="2708">
        <v>114</v>
      </c>
      <c r="G55" s="3538">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2620</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539">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2621</v>
      </c>
      <c r="B57" s="2693">
        <f t="shared" si="69"/>
        <v>124.29032258064517</v>
      </c>
      <c r="C57" s="2693">
        <f t="shared" si="69"/>
        <v>123.8968609865471</v>
      </c>
      <c r="D57" s="2693">
        <f t="shared" si="39"/>
        <v>123.8968609865471</v>
      </c>
      <c r="E57" s="2693">
        <f t="shared" si="70"/>
        <v>138.00507614213197</v>
      </c>
      <c r="F57" s="2693">
        <f t="shared" si="70"/>
        <v>107.96106557377048</v>
      </c>
      <c r="G57" s="3539">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2622</v>
      </c>
      <c r="B58" s="2693">
        <f t="shared" si="69"/>
        <v>122.57204301075269</v>
      </c>
      <c r="C58" s="2693">
        <f t="shared" si="69"/>
        <v>123.4932735426009</v>
      </c>
      <c r="D58" s="2693">
        <f t="shared" si="39"/>
        <v>123.4932735426009</v>
      </c>
      <c r="E58" s="2693">
        <f t="shared" si="70"/>
        <v>129.82233502538071</v>
      </c>
      <c r="F58" s="2693">
        <f t="shared" si="70"/>
        <v>107.39446721311475</v>
      </c>
      <c r="G58" s="3540">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2623</v>
      </c>
      <c r="B59" s="2723">
        <v>121</v>
      </c>
      <c r="C59" s="2723">
        <v>122</v>
      </c>
      <c r="D59" s="2723">
        <f t="shared" si="39"/>
        <v>122</v>
      </c>
      <c r="E59" s="2723">
        <v>124</v>
      </c>
      <c r="F59" s="2724">
        <v>107</v>
      </c>
      <c r="G59" s="3538">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2624</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539">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2625</v>
      </c>
      <c r="B61" s="2693">
        <f t="shared" si="73"/>
        <v>116.99099099099099</v>
      </c>
      <c r="C61" s="2693">
        <f t="shared" si="73"/>
        <v>118.84848484848486</v>
      </c>
      <c r="D61" s="2693">
        <f t="shared" si="39"/>
        <v>118.84848484848486</v>
      </c>
      <c r="E61" s="2693">
        <f t="shared" si="74"/>
        <v>117.60960960960961</v>
      </c>
      <c r="F61" s="2693">
        <f t="shared" si="74"/>
        <v>104</v>
      </c>
      <c r="G61" s="3539">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2626</v>
      </c>
      <c r="B62" s="2726">
        <f t="shared" si="73"/>
        <v>112.48648648648648</v>
      </c>
      <c r="C62" s="2726">
        <f t="shared" si="73"/>
        <v>115.21212121212122</v>
      </c>
      <c r="D62" s="2726">
        <f t="shared" si="39"/>
        <v>115.21212121212122</v>
      </c>
      <c r="E62" s="2726">
        <f t="shared" si="74"/>
        <v>110.4024024024024</v>
      </c>
      <c r="F62" s="2726">
        <f t="shared" si="74"/>
        <v>104</v>
      </c>
      <c r="G62" s="3540">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2627</v>
      </c>
      <c r="B63" s="2744">
        <v>111</v>
      </c>
      <c r="C63" s="2744">
        <v>114</v>
      </c>
      <c r="D63" s="2744">
        <f t="shared" si="39"/>
        <v>114</v>
      </c>
      <c r="E63" s="2744">
        <v>108</v>
      </c>
      <c r="F63" s="2745">
        <v>104</v>
      </c>
      <c r="G63" s="3538">
        <v>2003</v>
      </c>
      <c r="H63" s="2734">
        <v>4</v>
      </c>
      <c r="I63" s="2746"/>
      <c r="J63" s="2746"/>
      <c r="K63" s="2746"/>
      <c r="L63" s="2746"/>
      <c r="N63" s="2747"/>
      <c r="O63" s="2746"/>
      <c r="P63" s="2746"/>
      <c r="Q63" s="2746"/>
      <c r="S63" s="2747"/>
      <c r="T63" s="2746"/>
      <c r="U63" s="2746"/>
      <c r="V63" s="2746"/>
      <c r="X63" s="2738"/>
      <c r="Y63" s="2738"/>
      <c r="Z63" s="2738"/>
    </row>
    <row r="64" spans="1:26">
      <c r="A64" s="2679" t="s">
        <v>2628</v>
      </c>
      <c r="B64" s="2748">
        <f t="shared" ref="B64:C66" si="75">B65+(B$63-B$67)/4</f>
        <v>109.75</v>
      </c>
      <c r="C64" s="2748">
        <f t="shared" si="75"/>
        <v>112.25</v>
      </c>
      <c r="D64" s="2748">
        <f t="shared" si="39"/>
        <v>112.25</v>
      </c>
      <c r="E64" s="2748">
        <f t="shared" ref="E64:F66" si="76">E65+(E$63-E$67)/4</f>
        <v>107.25</v>
      </c>
      <c r="F64" s="2748">
        <f t="shared" si="76"/>
        <v>103.5</v>
      </c>
      <c r="G64" s="3539">
        <v>2003</v>
      </c>
      <c r="H64" s="2704">
        <v>3</v>
      </c>
      <c r="I64" s="2746"/>
      <c r="J64" s="2746"/>
      <c r="K64" s="2746"/>
      <c r="L64" s="2746"/>
      <c r="X64" s="2738"/>
      <c r="Y64" s="2738"/>
      <c r="Z64" s="2738"/>
    </row>
    <row r="65" spans="1:26">
      <c r="A65" s="2679" t="s">
        <v>2629</v>
      </c>
      <c r="B65" s="2748">
        <f t="shared" si="75"/>
        <v>108.5</v>
      </c>
      <c r="C65" s="2748">
        <f t="shared" si="75"/>
        <v>110.5</v>
      </c>
      <c r="D65" s="2748">
        <f t="shared" si="39"/>
        <v>110.5</v>
      </c>
      <c r="E65" s="2748">
        <f t="shared" si="76"/>
        <v>106.5</v>
      </c>
      <c r="F65" s="2748">
        <f t="shared" si="76"/>
        <v>103</v>
      </c>
      <c r="G65" s="3539">
        <v>2003</v>
      </c>
      <c r="H65" s="2684">
        <v>2</v>
      </c>
      <c r="I65" s="2746"/>
      <c r="J65" s="2746"/>
      <c r="K65" s="2746"/>
      <c r="L65" s="2746"/>
      <c r="X65" s="2738"/>
      <c r="Y65" s="2738"/>
      <c r="Z65" s="2738"/>
    </row>
    <row r="66" spans="1:26" ht="13.5" thickBot="1">
      <c r="A66" s="2679" t="s">
        <v>2630</v>
      </c>
      <c r="B66" s="2748">
        <f t="shared" si="75"/>
        <v>107.25</v>
      </c>
      <c r="C66" s="2748">
        <f t="shared" si="75"/>
        <v>108.75</v>
      </c>
      <c r="D66" s="2748">
        <f t="shared" si="39"/>
        <v>108.75</v>
      </c>
      <c r="E66" s="2748">
        <f t="shared" si="76"/>
        <v>105.75</v>
      </c>
      <c r="F66" s="2748">
        <f t="shared" si="76"/>
        <v>102.5</v>
      </c>
      <c r="G66" s="3540">
        <v>2003</v>
      </c>
      <c r="H66" s="2749">
        <v>1</v>
      </c>
      <c r="I66" s="2746"/>
      <c r="J66" s="2746"/>
      <c r="K66" s="2746"/>
      <c r="L66" s="2746"/>
      <c r="S66" s="2688"/>
      <c r="T66" s="2689"/>
      <c r="U66" s="2689"/>
      <c r="X66" s="2738"/>
      <c r="Y66" s="2738"/>
      <c r="Z66" s="2738"/>
    </row>
    <row r="67" spans="1:26" ht="13.5" thickBot="1">
      <c r="A67" s="2679" t="s">
        <v>2631</v>
      </c>
      <c r="B67" s="2750">
        <v>106</v>
      </c>
      <c r="C67" s="2750">
        <v>107</v>
      </c>
      <c r="D67" s="2750">
        <f t="shared" si="39"/>
        <v>107</v>
      </c>
      <c r="E67" s="2750">
        <v>105</v>
      </c>
      <c r="F67" s="2751">
        <v>102</v>
      </c>
      <c r="G67" s="3538">
        <v>2002</v>
      </c>
      <c r="H67" s="2699">
        <v>4</v>
      </c>
      <c r="I67" s="2746"/>
      <c r="J67" s="2746"/>
      <c r="K67" s="2746"/>
      <c r="L67" s="2746"/>
      <c r="N67" s="2747"/>
      <c r="O67" s="2746"/>
      <c r="P67" s="2746"/>
      <c r="Q67" s="2746"/>
      <c r="S67" s="2747"/>
      <c r="T67" s="2746"/>
      <c r="U67" s="2746"/>
      <c r="V67" s="2746"/>
      <c r="X67" s="2738"/>
      <c r="Y67" s="2738"/>
      <c r="Z67" s="2738"/>
    </row>
    <row r="68" spans="1:26">
      <c r="A68" s="2679" t="s">
        <v>2632</v>
      </c>
      <c r="B68" s="2748">
        <f t="shared" ref="B68:C70" si="77">B69+(B$67-B$71)/4</f>
        <v>105</v>
      </c>
      <c r="C68" s="2748">
        <f t="shared" si="77"/>
        <v>106</v>
      </c>
      <c r="D68" s="2748">
        <f t="shared" si="39"/>
        <v>106</v>
      </c>
      <c r="E68" s="2748">
        <f t="shared" ref="E68:F70" si="78">E69+(E$67-E$71)/4</f>
        <v>104.5</v>
      </c>
      <c r="F68" s="2748">
        <f t="shared" si="78"/>
        <v>101.5</v>
      </c>
      <c r="G68" s="3539">
        <v>2002</v>
      </c>
      <c r="H68" s="2704">
        <v>3</v>
      </c>
      <c r="I68" s="2746"/>
      <c r="J68" s="2746"/>
      <c r="K68" s="2746"/>
      <c r="L68" s="2746"/>
      <c r="X68" s="2738"/>
      <c r="Y68" s="2738"/>
      <c r="Z68" s="2738"/>
    </row>
    <row r="69" spans="1:26">
      <c r="A69" s="2679" t="s">
        <v>2633</v>
      </c>
      <c r="B69" s="2748">
        <f t="shared" si="77"/>
        <v>104</v>
      </c>
      <c r="C69" s="2748">
        <f t="shared" si="77"/>
        <v>105</v>
      </c>
      <c r="D69" s="2748">
        <f t="shared" si="39"/>
        <v>105</v>
      </c>
      <c r="E69" s="2748">
        <f t="shared" si="78"/>
        <v>104</v>
      </c>
      <c r="F69" s="2748">
        <f t="shared" si="78"/>
        <v>101</v>
      </c>
      <c r="G69" s="3539">
        <v>2002</v>
      </c>
      <c r="H69" s="2684">
        <v>2</v>
      </c>
      <c r="I69" s="2746"/>
      <c r="J69" s="2746"/>
      <c r="K69" s="2746"/>
      <c r="L69" s="2746"/>
      <c r="X69" s="2738"/>
      <c r="Y69" s="2738"/>
      <c r="Z69" s="2738"/>
    </row>
    <row r="70" spans="1:26" s="2715" customFormat="1" ht="13.5" thickBot="1">
      <c r="A70" s="2711" t="s">
        <v>2634</v>
      </c>
      <c r="B70" s="2752">
        <f t="shared" si="77"/>
        <v>103</v>
      </c>
      <c r="C70" s="2752">
        <f t="shared" si="77"/>
        <v>104</v>
      </c>
      <c r="D70" s="2752">
        <f t="shared" si="39"/>
        <v>104</v>
      </c>
      <c r="E70" s="2752">
        <f t="shared" si="78"/>
        <v>103.5</v>
      </c>
      <c r="F70" s="2752">
        <f t="shared" si="78"/>
        <v>100.5</v>
      </c>
      <c r="G70" s="3540">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2635</v>
      </c>
      <c r="G73" s="2762"/>
      <c r="N73" s="2762"/>
      <c r="S73" s="2762"/>
    </row>
    <row r="74" spans="1:26" s="2761" customFormat="1">
      <c r="A74" s="2761" t="s">
        <v>2636</v>
      </c>
      <c r="G74" s="2762"/>
      <c r="N74" s="2762"/>
      <c r="S74" s="2762"/>
    </row>
    <row r="75" spans="1:26" s="2761" customFormat="1">
      <c r="A75" s="2761" t="s">
        <v>2637</v>
      </c>
      <c r="G75" s="2762"/>
      <c r="I75" s="2763"/>
      <c r="J75" s="2763"/>
      <c r="K75" s="2763"/>
      <c r="L75" s="2763"/>
      <c r="N75" s="2764"/>
      <c r="O75" s="2763"/>
      <c r="P75" s="2763"/>
      <c r="Q75" s="2763"/>
      <c r="S75" s="2764"/>
      <c r="T75" s="2763"/>
      <c r="U75" s="2763"/>
      <c r="V75" s="2763"/>
    </row>
    <row r="76" spans="1:26" s="2761" customFormat="1">
      <c r="A76" s="2761" t="s">
        <v>2638</v>
      </c>
      <c r="G76" s="2762"/>
      <c r="N76" s="2762"/>
      <c r="S76" s="2762"/>
    </row>
    <row r="83" spans="7:22" ht="13.5" thickBot="1"/>
    <row r="84" spans="7:22">
      <c r="G84" s="2687"/>
      <c r="S84" s="2765" t="s">
        <v>2639</v>
      </c>
      <c r="T84" s="2766" t="s">
        <v>2640</v>
      </c>
      <c r="U84" s="2766" t="s">
        <v>2641</v>
      </c>
      <c r="V84" s="2766" t="s">
        <v>2642</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国有建设用地使用权。根据《国有土地使用证》[]，估价对象（分摊）国有建设用地使用权面积为80775.5平方米。根据《建设工程规划许可证》[]、《出让合同》[]，估价对象规划建筑面积为177705.36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2029</v>
      </c>
    </row>
    <row r="11" spans="1:4" ht="18.75">
      <c r="A11" s="1780" t="str">
        <f>TEXT(项目基本情况!D3,"yyyy年m月d日;;")&amp;IF(项目基本情况!B3=项目基本情况!D3,"（评估专业人员勘察现场之日）","")</f>
        <v>2018年4月19日（评估专业人员勘察现场之日）</v>
      </c>
    </row>
    <row r="12" spans="1:4" ht="18.75">
      <c r="A12" s="1797" t="s">
        <v>2028</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根据《国有土地使用证》[]，估价对象（分摊）出让国有建设用地使用权面积为80775.5平方米。根据《建设工程规划许可证》[]、《出让合同》[]，估价对象规划建筑面积为177705.36平方米。</v>
      </c>
    </row>
    <row r="21" spans="1:1" ht="18.75">
      <c r="A21" s="1791" t="s">
        <v>2077</v>
      </c>
    </row>
    <row r="22" spans="1:1" ht="18.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1" t="str">
        <f>IF(项目基本情况!B16="出让","本次评估设定估价对象剩余土地使用年限为"&amp;项目基本情况!D20&amp;"。","")</f>
        <v/>
      </c>
    </row>
    <row r="24" spans="1:1" ht="18.75">
      <c r="A24" s="1791" t="s">
        <v>2078</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4月19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1"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6" sqref="C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c r="D1" s="3153"/>
      <c r="E1" s="2411" t="s">
        <v>2378</v>
      </c>
      <c r="F1" s="2412" t="b">
        <f>J53</f>
        <v>0</v>
      </c>
      <c r="G1" s="773">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1727</v>
      </c>
      <c r="B2" s="774" t="e">
        <f ca="1">C40+J29+L46</f>
        <v>#DIV/0!</v>
      </c>
      <c r="C2" s="2057"/>
      <c r="D2" s="2055"/>
      <c r="E2" s="2056"/>
      <c r="F2" s="2056"/>
      <c r="G2" s="1589"/>
      <c r="H2" s="2057"/>
      <c r="I2" s="2057"/>
      <c r="J2" s="2057"/>
      <c r="K2" s="2058"/>
      <c r="L2" s="2057"/>
      <c r="M2" s="2057"/>
    </row>
    <row r="3" spans="1:33" ht="18" customHeight="1" thickBot="1">
      <c r="A3" s="832" t="s">
        <v>1728</v>
      </c>
      <c r="B3" s="833">
        <f ca="1">IF(ISERROR(B2*10000/F43),0,ROUND(B2*10000/F43,0))</f>
        <v>0</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2462</v>
      </c>
      <c r="C5" s="55">
        <f ca="1">C6+C10+C12</f>
        <v>0</v>
      </c>
      <c r="D5" s="2520" t="s">
        <v>2465</v>
      </c>
      <c r="E5" s="2514"/>
      <c r="F5" s="2515"/>
      <c r="G5" s="1591"/>
      <c r="H5" s="780">
        <v>1</v>
      </c>
      <c r="I5" s="781" t="s">
        <v>2462</v>
      </c>
      <c r="J5" s="55">
        <f ca="1">J6+J10+J12</f>
        <v>0</v>
      </c>
      <c r="K5" s="2520" t="s">
        <v>2465</v>
      </c>
      <c r="L5" s="2514"/>
      <c r="M5" s="2515"/>
    </row>
    <row r="6" spans="1:33" ht="18" customHeight="1">
      <c r="A6" s="1830" t="s">
        <v>1825</v>
      </c>
      <c r="B6" s="3532" t="s">
        <v>2467</v>
      </c>
      <c r="C6" s="782">
        <f ca="1">ROUND(F6*F8*F7*(1-F9)/10000,0)</f>
        <v>0</v>
      </c>
      <c r="D6" s="2521" t="s">
        <v>2466</v>
      </c>
      <c r="E6" s="783" t="s">
        <v>1739</v>
      </c>
      <c r="F6" s="784">
        <f ca="1">INDIRECT("'数据-取费表'!u"&amp;$G$1)</f>
        <v>0</v>
      </c>
      <c r="G6" s="1591"/>
      <c r="H6" s="2528" t="s">
        <v>2472</v>
      </c>
      <c r="I6" s="3532" t="s">
        <v>2467</v>
      </c>
      <c r="J6" s="782">
        <f ca="1">ROUND(M6*M8*M7*(1-M9)/10000,0)</f>
        <v>0</v>
      </c>
      <c r="K6" s="340" t="s">
        <v>1738</v>
      </c>
      <c r="L6" s="783" t="s">
        <v>1739</v>
      </c>
      <c r="M6" s="784">
        <f ca="1">INDIRECT("'数据-取费表'!z"&amp;$G$1)</f>
        <v>0</v>
      </c>
    </row>
    <row r="7" spans="1:33" ht="18" customHeight="1">
      <c r="A7" s="2524"/>
      <c r="B7" s="3533"/>
      <c r="C7" s="787"/>
      <c r="D7" s="788"/>
      <c r="E7" s="783" t="s">
        <v>1740</v>
      </c>
      <c r="F7" s="784">
        <f ca="1">IF(INDIRECT("'数据-取费表'!ah"&amp;$G$1)="",INDIRECT("'数据-取费表'!k"&amp;$G$1),INDIRECT("'数据-取费表'!ah"&amp;$G$1))</f>
        <v>0</v>
      </c>
      <c r="G7" s="1591"/>
      <c r="H7" s="2513"/>
      <c r="I7" s="3533"/>
      <c r="J7" s="787"/>
      <c r="K7" s="788"/>
      <c r="L7" s="783" t="s">
        <v>1740</v>
      </c>
      <c r="M7" s="784">
        <f ca="1">F7</f>
        <v>0</v>
      </c>
    </row>
    <row r="8" spans="1:33" ht="18" customHeight="1">
      <c r="A8" s="2517"/>
      <c r="B8" s="3534"/>
      <c r="C8" s="787"/>
      <c r="D8" s="788"/>
      <c r="E8" s="783" t="s">
        <v>1741</v>
      </c>
      <c r="F8" s="784">
        <f ca="1">INDIRECT("'数据-取费表'!ai"&amp;$G$1)</f>
        <v>0</v>
      </c>
      <c r="G8" s="1591"/>
      <c r="H8" s="2513"/>
      <c r="I8" s="3534"/>
      <c r="J8" s="787"/>
      <c r="K8" s="788"/>
      <c r="L8" s="783" t="s">
        <v>1741</v>
      </c>
      <c r="M8" s="784">
        <f ca="1">INDIRECT("'数据-取费表'!ai"&amp;$G$1)</f>
        <v>0</v>
      </c>
    </row>
    <row r="9" spans="1:33" ht="18" customHeight="1">
      <c r="A9" s="785"/>
      <c r="B9" s="3535"/>
      <c r="C9" s="787"/>
      <c r="D9" s="788"/>
      <c r="E9" s="783" t="s">
        <v>1742</v>
      </c>
      <c r="F9" s="793">
        <f ca="1">INDIRECT("'数据-取费表'!w"&amp;$G$1)</f>
        <v>0</v>
      </c>
      <c r="G9" s="1591"/>
      <c r="H9" s="2529"/>
      <c r="I9" s="3534"/>
      <c r="J9" s="787"/>
      <c r="K9" s="788"/>
      <c r="L9" s="794" t="s">
        <v>1742</v>
      </c>
      <c r="M9" s="795">
        <f ca="1">INDIRECT("'数据-取费表'!ab"&amp;$G$1)</f>
        <v>0</v>
      </c>
    </row>
    <row r="10" spans="1:33" ht="18" customHeight="1">
      <c r="A10" s="1830" t="s">
        <v>2470</v>
      </c>
      <c r="B10" s="2518" t="s">
        <v>2463</v>
      </c>
      <c r="C10" s="798">
        <f ca="1">ROUND(IF(F10="押一",C6/12*F11,IF(F10="押二",C6/12*2*F11,IF(F10="押三",C6/12*3*F11,C11*F11))),0)</f>
        <v>0</v>
      </c>
      <c r="D10" s="2525" t="s">
        <v>2979</v>
      </c>
      <c r="E10" s="2522" t="s">
        <v>2468</v>
      </c>
      <c r="F10" s="2645"/>
      <c r="G10" s="1591"/>
      <c r="H10" s="2585" t="s">
        <v>2473</v>
      </c>
      <c r="I10" s="2590" t="s">
        <v>2463</v>
      </c>
      <c r="J10" s="782">
        <f ca="1">ROUND(IF(M10="押一",J6/12*M11,IF(M10="押二",J6/12*2*M11,IF(M10="押三",J6/12*3*M11,J11*M11))),0)</f>
        <v>0</v>
      </c>
      <c r="K10" s="2525" t="s">
        <v>2979</v>
      </c>
      <c r="L10" s="2522" t="s">
        <v>2468</v>
      </c>
      <c r="M10" s="2645"/>
    </row>
    <row r="11" spans="1:33" ht="18" customHeight="1">
      <c r="A11" s="789"/>
      <c r="B11" s="2519" t="s">
        <v>2577</v>
      </c>
      <c r="C11" s="2523"/>
      <c r="D11" s="788"/>
      <c r="E11" s="2522" t="s">
        <v>2469</v>
      </c>
      <c r="F11" s="795">
        <f ca="1">'数据-取费表'!B39</f>
        <v>1.4999999999999999E-2</v>
      </c>
      <c r="G11" s="1591"/>
      <c r="H11" s="2586"/>
      <c r="I11" s="2519" t="s">
        <v>2577</v>
      </c>
      <c r="J11" s="2523"/>
      <c r="K11" s="2587"/>
      <c r="L11" s="2522" t="s">
        <v>2469</v>
      </c>
      <c r="M11" s="2516">
        <f ca="1">'数据-取费表'!B39</f>
        <v>1.4999999999999999E-2</v>
      </c>
    </row>
    <row r="12" spans="1:33" ht="18" customHeight="1" thickBot="1">
      <c r="A12" s="2561" t="s">
        <v>2471</v>
      </c>
      <c r="B12" s="2562" t="s">
        <v>2464</v>
      </c>
      <c r="C12" s="2563"/>
      <c r="D12" s="2564"/>
      <c r="E12" s="2565"/>
      <c r="F12" s="2566"/>
      <c r="G12" s="1591"/>
      <c r="H12" s="2575" t="s">
        <v>2474</v>
      </c>
      <c r="I12" s="2588" t="s">
        <v>2464</v>
      </c>
      <c r="J12" s="2589"/>
      <c r="K12" s="2564"/>
      <c r="L12" s="2565"/>
      <c r="M12" s="2578"/>
    </row>
    <row r="13" spans="1:33" ht="18" customHeight="1" thickTop="1">
      <c r="A13" s="1829">
        <v>2</v>
      </c>
      <c r="B13" s="1827" t="s">
        <v>1743</v>
      </c>
      <c r="C13" s="791">
        <f ca="1">ROUND(C29*F13,0)</f>
        <v>0</v>
      </c>
      <c r="D13" s="1834" t="s">
        <v>2300</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3" t="s">
        <v>645</v>
      </c>
      <c r="C14" s="803">
        <f ca="1">INDIRECT("'数据-取费表'!m"&amp;$G$1)+INDIRECT("'数据-取费表'!t"&amp;$G$1)</f>
        <v>0</v>
      </c>
      <c r="D14" s="1979" t="s">
        <v>1746</v>
      </c>
      <c r="E14" s="1980"/>
      <c r="F14" s="804"/>
      <c r="G14" s="1591"/>
      <c r="H14" s="1648" t="s">
        <v>1831</v>
      </c>
      <c r="I14" s="2231" t="s">
        <v>2830</v>
      </c>
      <c r="J14" s="53">
        <f ca="1">C29</f>
        <v>0</v>
      </c>
      <c r="K14" s="26"/>
      <c r="L14" s="800"/>
      <c r="M14" s="801"/>
    </row>
    <row r="15" spans="1:33" s="2064" customFormat="1" ht="18" customHeight="1" thickBot="1">
      <c r="A15" s="1647" t="s">
        <v>1886</v>
      </c>
      <c r="B15" s="783" t="s">
        <v>647</v>
      </c>
      <c r="C15" s="53">
        <f ca="1">ROUND(C14*F15,0)</f>
        <v>0</v>
      </c>
      <c r="D15" s="805" t="s">
        <v>1747</v>
      </c>
      <c r="E15" s="805" t="s">
        <v>1748</v>
      </c>
      <c r="F15" s="806">
        <f>'数据-取费表'!B33</f>
        <v>0.05</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0</v>
      </c>
      <c r="K16" s="1821" t="s">
        <v>1751</v>
      </c>
      <c r="L16" s="2510"/>
      <c r="M16" s="2515"/>
    </row>
    <row r="17" spans="1:33" s="2064" customFormat="1" ht="18" customHeight="1">
      <c r="A17" s="1647" t="s">
        <v>1888</v>
      </c>
      <c r="B17" s="783" t="s">
        <v>653</v>
      </c>
      <c r="C17" s="53">
        <f ca="1">ROUND(F17*(F43+INDIRECT("'数据-取费表'!S"&amp;$G$1))/10000,0)</f>
        <v>0</v>
      </c>
      <c r="D17" s="783" t="s">
        <v>1752</v>
      </c>
      <c r="E17" s="783" t="s">
        <v>1753</v>
      </c>
      <c r="F17" s="56">
        <f>'数据-取费表'!B35</f>
        <v>200</v>
      </c>
      <c r="G17" s="1592"/>
      <c r="H17" s="1648" t="s">
        <v>1831</v>
      </c>
      <c r="I17" s="783" t="s">
        <v>656</v>
      </c>
      <c r="J17" s="53">
        <f ca="1">ROUND(IF(项目基本情况!B11="自然人",J5*M17,J18+J19+J20),0)</f>
        <v>0</v>
      </c>
      <c r="K17" s="2509" t="s">
        <v>1754</v>
      </c>
      <c r="L17" s="2508" t="s">
        <v>1755</v>
      </c>
      <c r="M17" s="809">
        <f ca="1">IF(项目基本情况!B11="企业","",IF(INDIRECT("'数据-取费表'!c"&amp;$G$1)="住宅",5%,IF(M6*M7*M8/12/(1+'数据-取费表'!C42)&gt;20000,12%,7%)))</f>
        <v>7.0000000000000007E-2</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0</v>
      </c>
      <c r="D18" s="783" t="s">
        <v>1747</v>
      </c>
      <c r="E18" s="783" t="s">
        <v>1748</v>
      </c>
      <c r="F18" s="808">
        <f>'数据-取费表'!B36</f>
        <v>1.4999999999999999E-2</v>
      </c>
      <c r="G18" s="1592"/>
      <c r="H18" s="1647" t="s">
        <v>1885</v>
      </c>
      <c r="I18" s="783" t="s">
        <v>1756</v>
      </c>
      <c r="J18" s="53">
        <f ca="1">ROUND(J5*M18/1.05,1)</f>
        <v>0</v>
      </c>
      <c r="K18" s="2508" t="s">
        <v>1757</v>
      </c>
      <c r="L18" s="783" t="s">
        <v>1748</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0</v>
      </c>
      <c r="D19" s="260" t="s">
        <v>1758</v>
      </c>
      <c r="E19" s="1982"/>
      <c r="F19" s="56"/>
      <c r="G19" s="1591"/>
      <c r="H19" s="1647" t="s">
        <v>1886</v>
      </c>
      <c r="I19" s="783" t="s">
        <v>1759</v>
      </c>
      <c r="J19" s="53">
        <f ca="1">IF(K19="按租金收入计税",ROUND(J5*M19,1),ROUND(C29*F33*0.7,1))</f>
        <v>0</v>
      </c>
      <c r="K19" s="810" t="s">
        <v>665</v>
      </c>
      <c r="L19" s="783" t="s">
        <v>1748</v>
      </c>
      <c r="M19" s="808">
        <f>IF(K19="按租金收入计税",'数据-取费表'!B51,'数据-取费表'!B50)</f>
        <v>1.2E-2</v>
      </c>
    </row>
    <row r="20" spans="1:33" s="2064" customFormat="1" ht="18" customHeight="1">
      <c r="A20" s="1648" t="s">
        <v>1890</v>
      </c>
      <c r="B20" s="783" t="s">
        <v>666</v>
      </c>
      <c r="C20" s="53">
        <f ca="1">ROUND(C19*F20,0)</f>
        <v>0</v>
      </c>
      <c r="D20" s="811" t="s">
        <v>1760</v>
      </c>
      <c r="E20" s="783" t="s">
        <v>1748</v>
      </c>
      <c r="F20" s="808">
        <f>'数据-取费表'!B37</f>
        <v>0.02</v>
      </c>
      <c r="G20" s="1592"/>
      <c r="H20" s="1650" t="s">
        <v>1881</v>
      </c>
      <c r="I20" s="340" t="s">
        <v>1761</v>
      </c>
      <c r="J20" s="54">
        <f ca="1">ROUND(M20*M21/10000,0)</f>
        <v>0</v>
      </c>
      <c r="K20" s="813" t="s">
        <v>1762</v>
      </c>
      <c r="L20" s="783" t="s">
        <v>1763</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2301</v>
      </c>
      <c r="E21" s="783" t="s">
        <v>1766</v>
      </c>
      <c r="F21" s="808">
        <f>'数据-取费表'!B38</f>
        <v>0.02</v>
      </c>
      <c r="G21" s="1592"/>
      <c r="H21" s="2530"/>
      <c r="I21" s="792"/>
      <c r="J21" s="69"/>
      <c r="K21" s="815"/>
      <c r="L21" s="783" t="s">
        <v>1767</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96"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0</v>
      </c>
      <c r="K22" s="2508" t="s">
        <v>1770</v>
      </c>
      <c r="L22" s="783" t="s">
        <v>1748</v>
      </c>
      <c r="M22" s="816">
        <f ca="1">INDIRECT("'数据-取费表'!Ak"&amp;$G$1)</f>
        <v>0</v>
      </c>
    </row>
    <row r="23" spans="1:33" s="2064" customFormat="1" ht="18" customHeight="1">
      <c r="A23" s="1647" t="s">
        <v>1832</v>
      </c>
      <c r="B23" s="783" t="s">
        <v>2539</v>
      </c>
      <c r="C23" s="53">
        <f ca="1">ROUND(IF('数据-取费表'!B22&lt;=1,(C19+C20)*F24*F23/2,(C19+C20)*(POWER((1+F24),F23/2)-1)),0)</f>
        <v>0</v>
      </c>
      <c r="D23" s="2595"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508" t="s">
        <v>1772</v>
      </c>
      <c r="L23" s="783" t="s">
        <v>1748</v>
      </c>
      <c r="M23" s="817">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1E-3</v>
      </c>
      <c r="D24" s="2595" t="str">
        <f>IF(F23&lt;=1,"销售费用×利率×(建设周期÷2)","销售费用×((1+利率)^(建设周期÷2)-1)")</f>
        <v>销售费用×((1+利率)^(建设周期÷2)-1)</v>
      </c>
      <c r="E24" s="783" t="s">
        <v>1774</v>
      </c>
      <c r="F24" s="818">
        <f ca="1">'数据-取费表'!B40</f>
        <v>4.7500000000000001E-2</v>
      </c>
      <c r="G24" s="1592"/>
      <c r="H24" s="2575" t="s">
        <v>1892</v>
      </c>
      <c r="I24" s="2570" t="s">
        <v>666</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33" t="s">
        <v>2826</v>
      </c>
      <c r="J25" s="791">
        <f ca="1">J5-J16</f>
        <v>0</v>
      </c>
      <c r="K25" s="2572" t="s">
        <v>1778</v>
      </c>
      <c r="L25" s="2573"/>
      <c r="M25" s="2574"/>
    </row>
    <row r="26" spans="1:33" ht="18" customHeight="1">
      <c r="A26" s="1647" t="s">
        <v>1832</v>
      </c>
      <c r="B26" s="783" t="s">
        <v>2442</v>
      </c>
      <c r="C26" s="53">
        <f ca="1">ROUND((C19+C20)*F26,0)</f>
        <v>0</v>
      </c>
      <c r="D26" s="811" t="s">
        <v>1779</v>
      </c>
      <c r="E26" s="794" t="s">
        <v>1780</v>
      </c>
      <c r="F26" s="793">
        <f ca="1">INDIRECT("'数据-取费表'!q"&amp;$G$1)</f>
        <v>0</v>
      </c>
      <c r="G26" s="1591"/>
      <c r="H26" s="2526" t="s">
        <v>1781</v>
      </c>
      <c r="I26" s="2232" t="s">
        <v>2831</v>
      </c>
      <c r="J26" s="782">
        <f ca="1">IF(J5&lt;&gt;0,ROUND(J25*(1-((1+M28)/(1+M26))^M27)/(M26-M28),0),0)</f>
        <v>0</v>
      </c>
      <c r="K26" s="813" t="s">
        <v>1782</v>
      </c>
      <c r="L26" s="783" t="s">
        <v>2423</v>
      </c>
      <c r="M26" s="793">
        <f ca="1">INDIRECT("'数据-取费表'!I"&amp;$G$1)</f>
        <v>0</v>
      </c>
    </row>
    <row r="27" spans="1:33" ht="18" customHeight="1">
      <c r="A27" s="1647" t="s">
        <v>1833</v>
      </c>
      <c r="B27" s="783" t="s">
        <v>686</v>
      </c>
      <c r="C27" s="53">
        <f ca="1">ROUND(F21*F26,4)</f>
        <v>0</v>
      </c>
      <c r="D27" s="811" t="s">
        <v>1783</v>
      </c>
      <c r="E27" s="805"/>
      <c r="F27" s="806"/>
      <c r="G27" s="1591"/>
      <c r="H27" s="2527"/>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2302</v>
      </c>
      <c r="E28" s="783" t="s">
        <v>1786</v>
      </c>
      <c r="F28" s="808">
        <f>'数据-取费表'!B41</f>
        <v>5.6000000000000001E-2</v>
      </c>
      <c r="G28" s="1592"/>
      <c r="H28" s="1829"/>
      <c r="I28" s="790"/>
      <c r="J28" s="791"/>
      <c r="K28" s="815"/>
      <c r="L28" s="783" t="s">
        <v>1787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0</v>
      </c>
      <c r="D29" s="2569"/>
      <c r="E29" s="2570"/>
      <c r="F29" s="2571"/>
      <c r="G29" s="1592"/>
      <c r="H29" s="822" t="s">
        <v>1788</v>
      </c>
      <c r="I29" s="823" t="s">
        <v>1789</v>
      </c>
      <c r="J29" s="824">
        <f ca="1">ROUND(J26/(1+F40)^F41,0)</f>
        <v>0</v>
      </c>
      <c r="K29" s="825" t="s">
        <v>1790</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0</v>
      </c>
      <c r="D30" s="1821" t="s">
        <v>1792</v>
      </c>
      <c r="E30" s="2510"/>
      <c r="F30" s="2515"/>
      <c r="G30" s="2062"/>
      <c r="H30" s="2065"/>
      <c r="I30" s="2066"/>
      <c r="J30" s="2067"/>
      <c r="K30" s="2068"/>
      <c r="L30" s="2069"/>
      <c r="M30" s="2070"/>
    </row>
    <row r="31" spans="1:33" ht="18" customHeight="1">
      <c r="A31" s="1648" t="s">
        <v>1831</v>
      </c>
      <c r="B31" s="783" t="s">
        <v>656</v>
      </c>
      <c r="C31" s="53">
        <f ca="1">ROUND(IF(项目基本情况!B11="自然人",C5*F31,C32+C33+C34),1)</f>
        <v>0</v>
      </c>
      <c r="D31" s="1979" t="s">
        <v>1793</v>
      </c>
      <c r="E31" s="1977" t="s">
        <v>1794</v>
      </c>
      <c r="F31" s="809">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7" t="s">
        <v>1832</v>
      </c>
      <c r="B32" s="783" t="s">
        <v>1795</v>
      </c>
      <c r="C32" s="53">
        <f ca="1">ROUND(C5*F32/1.05,1)</f>
        <v>0</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0</v>
      </c>
      <c r="D33" s="810" t="s">
        <v>1681</v>
      </c>
      <c r="E33" s="783" t="s">
        <v>1797</v>
      </c>
      <c r="F33" s="808">
        <f>IF(D33="按租金收入计税",'数据-取费表'!B51,'数据-取费表'!B50)</f>
        <v>1.2E-2</v>
      </c>
      <c r="G33" s="2062"/>
      <c r="H33" s="2077"/>
      <c r="I33" s="2077"/>
      <c r="J33" s="2077"/>
      <c r="K33" s="2078"/>
      <c r="L33" s="2077"/>
      <c r="M33" s="2077"/>
    </row>
    <row r="34" spans="1:18" ht="18" customHeight="1">
      <c r="A34" s="1650" t="s">
        <v>1834</v>
      </c>
      <c r="B34" s="340" t="s">
        <v>1799</v>
      </c>
      <c r="C34" s="54">
        <f ca="1">ROUND(F34*F35/10000,1)</f>
        <v>0</v>
      </c>
      <c r="D34" s="813" t="s">
        <v>1800</v>
      </c>
      <c r="E34" s="783" t="s">
        <v>1801</v>
      </c>
      <c r="F34" s="639">
        <f>'数据-取费表'!B52</f>
        <v>30</v>
      </c>
      <c r="G34" s="2062"/>
      <c r="H34" s="2065"/>
      <c r="I34" s="834" t="s">
        <v>1814</v>
      </c>
      <c r="J34" s="835"/>
      <c r="K34" s="2080"/>
      <c r="L34" s="2079"/>
      <c r="M34" s="2079"/>
    </row>
    <row r="35" spans="1:18" ht="18" customHeight="1">
      <c r="A35" s="814"/>
      <c r="B35" s="792"/>
      <c r="C35" s="69"/>
      <c r="D35" s="815"/>
      <c r="E35" s="783" t="s">
        <v>1802</v>
      </c>
      <c r="F35" s="784">
        <f ca="1">INDIRECT("'数据-取费表'!r"&amp;$G$1)</f>
        <v>0</v>
      </c>
      <c r="G35" s="2062"/>
      <c r="H35" s="2065"/>
      <c r="I35" s="836" t="s">
        <v>1815</v>
      </c>
      <c r="J35" s="837">
        <f ca="1">ROUND(C13*J36,0)</f>
        <v>0</v>
      </c>
      <c r="K35" s="2078"/>
      <c r="L35" s="2077"/>
      <c r="M35" s="2077"/>
    </row>
    <row r="36" spans="1:18" ht="18" customHeight="1">
      <c r="A36" s="1648" t="s">
        <v>1890</v>
      </c>
      <c r="B36" s="783" t="s">
        <v>1803</v>
      </c>
      <c r="C36" s="53">
        <f ca="1">ROUND(C29*F36,1)</f>
        <v>0</v>
      </c>
      <c r="D36" s="1977" t="s">
        <v>1804</v>
      </c>
      <c r="E36" s="783" t="s">
        <v>1797</v>
      </c>
      <c r="F36" s="816">
        <f ca="1">INDIRECT("'数据-取费表'!Ak"&amp;$G$1)</f>
        <v>0</v>
      </c>
      <c r="G36" s="2062"/>
      <c r="H36" s="2077"/>
      <c r="I36" s="838" t="s">
        <v>1816</v>
      </c>
      <c r="J36" s="839">
        <f ca="1">INDIRECT("'数据-取费表'!j"&amp;$G$1)</f>
        <v>0</v>
      </c>
      <c r="K36" s="2082"/>
      <c r="L36" s="2077"/>
      <c r="M36" s="2077"/>
    </row>
    <row r="37" spans="1:18" ht="18" customHeight="1">
      <c r="A37" s="1648" t="s">
        <v>1891</v>
      </c>
      <c r="B37" s="783" t="s">
        <v>679</v>
      </c>
      <c r="C37" s="53">
        <f ca="1">ROUND(C13*F37,1)</f>
        <v>0</v>
      </c>
      <c r="D37" s="1977" t="s">
        <v>1805</v>
      </c>
      <c r="E37" s="783" t="s">
        <v>1797</v>
      </c>
      <c r="F37" s="817">
        <f ca="1">INDIRECT("'数据-取费表'!Al"&amp;$G$1)</f>
        <v>0</v>
      </c>
      <c r="G37" s="2062"/>
      <c r="H37" s="2077"/>
      <c r="I37" s="840" t="s">
        <v>1817</v>
      </c>
      <c r="J37" s="841"/>
      <c r="K37" s="2082"/>
      <c r="L37" s="2077"/>
      <c r="M37" s="2077"/>
    </row>
    <row r="38" spans="1:18" ht="18" customHeight="1" thickBot="1">
      <c r="A38" s="2575" t="s">
        <v>1892</v>
      </c>
      <c r="B38" s="2570" t="s">
        <v>666</v>
      </c>
      <c r="C38" s="2568">
        <f ca="1">ROUND(C5*F38,1)</f>
        <v>0</v>
      </c>
      <c r="D38" s="2569" t="s">
        <v>1806</v>
      </c>
      <c r="E38" s="2570" t="s">
        <v>1797</v>
      </c>
      <c r="F38" s="2566">
        <f ca="1">INDIRECT("'数据-取费表'!Am"&amp;$G$1)</f>
        <v>0</v>
      </c>
      <c r="G38" s="2062"/>
      <c r="H38" s="2077"/>
      <c r="I38" s="842" t="s">
        <v>1818</v>
      </c>
      <c r="J38" s="843"/>
      <c r="K38" s="2083"/>
      <c r="L38" s="2077"/>
      <c r="M38" s="2077"/>
    </row>
    <row r="39" spans="1:18" ht="24.6" customHeight="1" thickTop="1">
      <c r="A39" s="1829" t="s">
        <v>1895</v>
      </c>
      <c r="B39" s="3033" t="s">
        <v>2826</v>
      </c>
      <c r="C39" s="791">
        <f ca="1">C5-C30</f>
        <v>0</v>
      </c>
      <c r="D39" s="2572" t="s">
        <v>1807</v>
      </c>
      <c r="E39" s="2573"/>
      <c r="F39" s="2574"/>
      <c r="G39" s="2062"/>
      <c r="H39" s="2077"/>
      <c r="I39" s="836" t="s">
        <v>1819</v>
      </c>
      <c r="J39" s="844" t="e">
        <f ca="1">ROUND(J35/C39,3)</f>
        <v>#DIV/0!</v>
      </c>
      <c r="K39" s="2083"/>
      <c r="L39" s="2077"/>
      <c r="M39" s="2077"/>
    </row>
    <row r="40" spans="1:18" ht="18" customHeight="1">
      <c r="A40" s="780" t="s">
        <v>1896</v>
      </c>
      <c r="B40" s="2232" t="s">
        <v>2304</v>
      </c>
      <c r="C40" s="782" t="e">
        <f ca="1">ROUND(C39*(1-((1+F42)/(1+F40))^F41)/(F40-F42),0)</f>
        <v>#DIV/0!</v>
      </c>
      <c r="D40" s="813" t="s">
        <v>1808</v>
      </c>
      <c r="E40" s="783" t="s">
        <v>2423</v>
      </c>
      <c r="F40" s="793">
        <f ca="1">INDIRECT("'数据-取费表'!I"&amp;$G$1)</f>
        <v>0</v>
      </c>
      <c r="G40" s="2062"/>
      <c r="H40" s="2062"/>
      <c r="I40" s="836" t="s">
        <v>1820</v>
      </c>
      <c r="J40" s="844" t="e">
        <f ca="1">1-J39</f>
        <v>#DIV/0!</v>
      </c>
      <c r="K40" s="2083"/>
      <c r="L40" s="2062"/>
      <c r="M40" s="2062"/>
    </row>
    <row r="41" spans="1:18" ht="18" customHeight="1">
      <c r="A41" s="785"/>
      <c r="B41" s="786"/>
      <c r="C41" s="787"/>
      <c r="D41" s="820" t="s">
        <v>1809</v>
      </c>
      <c r="E41" s="783" t="s">
        <v>2969</v>
      </c>
      <c r="F41" s="821">
        <f ca="1">IF(INDIRECT("'数据-取费表'!af"&amp;$G$1)=0,INDIRECT("'数据-取费表'!ae"&amp;$G$1),INDIRECT("'数据-取费表'!af"&amp;$G$1))</f>
        <v>0</v>
      </c>
      <c r="G41" s="2062"/>
      <c r="H41" s="1988"/>
      <c r="I41" s="842" t="s">
        <v>1821</v>
      </c>
      <c r="J41" s="845"/>
      <c r="K41" s="2082"/>
      <c r="L41" s="1988"/>
      <c r="M41" s="1988"/>
    </row>
    <row r="42" spans="1:18" ht="18" customHeight="1">
      <c r="A42" s="789"/>
      <c r="B42" s="790"/>
      <c r="C42" s="791"/>
      <c r="D42" s="815"/>
      <c r="E42" s="783" t="s">
        <v>1810</v>
      </c>
      <c r="F42" s="793">
        <f ca="1">INDIRECT("'数据-取费表'!v"&amp;$G$1)</f>
        <v>0</v>
      </c>
      <c r="G42" s="2062"/>
      <c r="H42" s="1988"/>
      <c r="I42" s="846" t="s">
        <v>1822</v>
      </c>
      <c r="J42" s="844" t="e">
        <f ca="1">ROUND(C13/C40,3)</f>
        <v>#DIV/0!</v>
      </c>
      <c r="K42" s="2082"/>
      <c r="L42" s="1988"/>
      <c r="M42" s="1988"/>
    </row>
    <row r="43" spans="1:18" ht="18" customHeight="1" thickBot="1">
      <c r="A43" s="822" t="s">
        <v>1788</v>
      </c>
      <c r="B43" s="823" t="s">
        <v>1811</v>
      </c>
      <c r="C43" s="824" t="e">
        <f ca="1">ROUND(C40*10000/F43,0)</f>
        <v>#DIV/0!</v>
      </c>
      <c r="D43" s="825" t="s">
        <v>1812</v>
      </c>
      <c r="E43" s="826" t="s">
        <v>1813</v>
      </c>
      <c r="F43" s="827">
        <f ca="1">INDIRECT("'数据-取费表'!k"&amp;$G$1)</f>
        <v>0</v>
      </c>
      <c r="G43" s="2062"/>
      <c r="H43" s="1988"/>
      <c r="I43" s="846" t="s">
        <v>1823</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t="e">
        <f ca="1">C67-C40</f>
        <v>#DIV/0!</v>
      </c>
      <c r="D46" s="2085"/>
      <c r="E46" s="2085"/>
      <c r="F46" s="2085"/>
      <c r="I46" s="2378" t="s">
        <v>2346</v>
      </c>
      <c r="J46" s="2379"/>
      <c r="K46" s="2380"/>
      <c r="L46" s="2381" t="str">
        <f ca="1">IF(M47="住宅",0,IF(L48&gt;J51,L60,J60))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c r="K47" s="2388" t="s">
        <v>2353</v>
      </c>
      <c r="L47" s="2389">
        <f ca="1">INDIRECT("'数据-取费表'!d"&amp;$G$1)</f>
        <v>0</v>
      </c>
      <c r="M47" s="1603" t="str">
        <f>IF(ISNUMBER(FIND("住宅",C1)),"住宅","非住宅")</f>
        <v>非住宅</v>
      </c>
      <c r="O47" s="2419" t="s">
        <v>2379</v>
      </c>
      <c r="P47" s="2420" t="s">
        <v>2380</v>
      </c>
      <c r="Q47" s="2421" t="s">
        <v>2381</v>
      </c>
      <c r="R47" s="2420" t="s">
        <v>2382</v>
      </c>
    </row>
    <row r="48" spans="1:18" s="2059" customFormat="1" ht="18" customHeight="1" thickBot="1">
      <c r="A48" s="2666" t="s">
        <v>2541</v>
      </c>
      <c r="B48" s="2667" t="s">
        <v>2542</v>
      </c>
      <c r="C48" s="2374">
        <f ca="1">ROUND(F48*F50*F49*(1-F51)/10000,0)</f>
        <v>0</v>
      </c>
      <c r="D48" s="2375" t="s">
        <v>636</v>
      </c>
      <c r="E48" s="2376" t="s">
        <v>2299</v>
      </c>
      <c r="F48" s="2377"/>
      <c r="G48" s="2090"/>
      <c r="I48" s="2383" t="s">
        <v>2348</v>
      </c>
      <c r="J48" s="2390"/>
      <c r="K48" s="2391" t="s">
        <v>2355</v>
      </c>
      <c r="L48" s="2392">
        <f ca="1">INDIRECT("'数据-取费表'!f"&amp;$G$1)</f>
        <v>0</v>
      </c>
      <c r="O48" s="2422" t="s">
        <v>2383</v>
      </c>
      <c r="P48" s="2423" t="s">
        <v>2409</v>
      </c>
      <c r="Q48" s="2424" t="e">
        <f ca="1">C40+J29</f>
        <v>#DIV/0!</v>
      </c>
      <c r="R48" s="2423" t="s">
        <v>2384</v>
      </c>
    </row>
    <row r="49" spans="1:18" s="2059" customFormat="1" ht="18" customHeight="1" thickBot="1">
      <c r="A49" s="785"/>
      <c r="B49" s="786"/>
      <c r="C49" s="787"/>
      <c r="D49" s="788"/>
      <c r="E49" s="783" t="s">
        <v>1740</v>
      </c>
      <c r="F49" s="784">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5"/>
      <c r="B50" s="786"/>
      <c r="C50" s="787"/>
      <c r="D50" s="788"/>
      <c r="E50" s="783" t="s">
        <v>1741</v>
      </c>
      <c r="F50" s="784">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5"/>
      <c r="B51" s="786"/>
      <c r="C51" s="787"/>
      <c r="D51" s="788"/>
      <c r="E51" s="783"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80" t="s">
        <v>2540</v>
      </c>
      <c r="B52" s="2518" t="s">
        <v>2463</v>
      </c>
      <c r="C52" s="798">
        <f ca="1">ROUND(IF(F52="押一",C48/12*F11,IF(F52="押二",C48/12*2*F11,IF(F52="押三",C48/12*3*F11,C53*F11))),0)</f>
        <v>0</v>
      </c>
      <c r="D52" s="2525" t="s">
        <v>2980</v>
      </c>
      <c r="E52" s="2522" t="s">
        <v>2468</v>
      </c>
      <c r="F52" s="2645"/>
      <c r="I52" s="2385" t="s">
        <v>2425</v>
      </c>
      <c r="J52" s="2399"/>
      <c r="K52" s="2385" t="s">
        <v>2424</v>
      </c>
      <c r="L52" s="2399"/>
      <c r="O52" s="2425" t="s">
        <v>2390</v>
      </c>
      <c r="P52" s="2423" t="s">
        <v>2391</v>
      </c>
      <c r="Q52" s="2426">
        <f>J52</f>
        <v>0</v>
      </c>
      <c r="R52" s="2427"/>
    </row>
    <row r="53" spans="1:18" s="2059" customFormat="1" ht="39.75" customHeight="1" thickBot="1">
      <c r="A53" s="785"/>
      <c r="B53" s="2519" t="s">
        <v>2577</v>
      </c>
      <c r="C53" s="2523"/>
      <c r="D53" s="2525"/>
      <c r="E53" s="2522"/>
      <c r="F53" s="799"/>
      <c r="I53" s="2386" t="s">
        <v>2352</v>
      </c>
      <c r="J53" s="2400" t="b">
        <f>IF(M47="住宅",J51,IF(D1="——",MIN(J51,L48),IF(D1="土地（套用方法）",MIN(J51,L48-'数据-取费表'!B20))))</f>
        <v>0</v>
      </c>
      <c r="K53" s="3548" t="s">
        <v>2971</v>
      </c>
      <c r="L53" s="3549"/>
      <c r="O53" s="2425" t="s">
        <v>2392</v>
      </c>
      <c r="P53" s="2423" t="s">
        <v>2393</v>
      </c>
      <c r="Q53" s="2424" t="b">
        <f>J53</f>
        <v>0</v>
      </c>
      <c r="R53" s="2423" t="s">
        <v>2394</v>
      </c>
    </row>
    <row r="54" spans="1:18" s="2059" customFormat="1" ht="18" customHeight="1" thickBot="1">
      <c r="A54" s="2561" t="s">
        <v>2471</v>
      </c>
      <c r="B54" s="2562" t="s">
        <v>2464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6">
        <v>2</v>
      </c>
      <c r="B55" s="797" t="s">
        <v>644</v>
      </c>
      <c r="C55" s="798">
        <f ca="1">C13</f>
        <v>0</v>
      </c>
      <c r="D55" s="794"/>
      <c r="E55" s="794"/>
      <c r="F55" s="799"/>
      <c r="I55" s="3124" t="s">
        <v>2359</v>
      </c>
      <c r="J55" s="3123" t="e">
        <f ca="1">ROUND(IF(J47="钢混",J57/J50,1-(1-2%)*(J50-J57)/J50),3)</f>
        <v>#VALUE!</v>
      </c>
      <c r="K55" s="2401" t="s">
        <v>2360</v>
      </c>
      <c r="L55" s="2402"/>
      <c r="O55" s="2428" t="s">
        <v>2415</v>
      </c>
      <c r="P55" s="1591"/>
      <c r="Q55" s="1603"/>
      <c r="R55" s="1591"/>
    </row>
    <row r="56" spans="1:18" s="2059" customFormat="1" ht="42.75" customHeight="1" thickBot="1">
      <c r="A56" s="1649"/>
      <c r="B56" s="2231" t="s">
        <v>2305</v>
      </c>
      <c r="C56" s="53">
        <f ca="1">C29</f>
        <v>0</v>
      </c>
      <c r="D56" s="2663"/>
      <c r="E56" s="783"/>
      <c r="F56" s="808"/>
      <c r="I56" s="2403" t="s">
        <v>2361</v>
      </c>
      <c r="J56" s="3147" t="s">
        <v>1679</v>
      </c>
      <c r="K56" s="2383" t="s">
        <v>2366</v>
      </c>
      <c r="L56" s="2392">
        <f ca="1">IF(L48&lt;J51,"——",L48-J51)</f>
        <v>0</v>
      </c>
      <c r="O56" s="2419" t="s">
        <v>2379</v>
      </c>
      <c r="P56" s="2420" t="s">
        <v>2380</v>
      </c>
      <c r="Q56" s="2421" t="s">
        <v>2381</v>
      </c>
      <c r="R56" s="2420" t="s">
        <v>2382</v>
      </c>
    </row>
    <row r="57" spans="1:18" s="2059" customFormat="1" ht="28.5" customHeight="1" thickBot="1">
      <c r="A57" s="796" t="s">
        <v>1749</v>
      </c>
      <c r="B57" s="797" t="s">
        <v>651</v>
      </c>
      <c r="C57" s="798">
        <f ca="1">ROUND(C58+C63+C64+C65,0)</f>
        <v>0</v>
      </c>
      <c r="D57" s="26" t="s">
        <v>1751</v>
      </c>
      <c r="E57" s="2664"/>
      <c r="F57" s="56"/>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3" t="s">
        <v>656</v>
      </c>
      <c r="C58" s="53">
        <f ca="1">ROUND(IF(项目基本情况!B11="自然人",C47*F58,C59+C60+C61),1)</f>
        <v>0</v>
      </c>
      <c r="D58" s="2662" t="s">
        <v>657</v>
      </c>
      <c r="E58" s="2663" t="s">
        <v>690</v>
      </c>
      <c r="F58" s="809">
        <f ca="1">IF(项目基本情况!B11="企业","",IF(INDIRECT("'数据-取费表'!c"&amp;$G$1)="住宅",5%,IF(F48*F49*F50/12/(1+'数据-取费表'!C42)&gt;20000,12%,7%)))</f>
        <v>7.0000000000000007E-2</v>
      </c>
      <c r="I58" s="2404" t="s">
        <v>2363</v>
      </c>
      <c r="J58" s="3125"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3" t="s">
        <v>660</v>
      </c>
      <c r="C59" s="53">
        <f ca="1">ROUND(C47*F59/1.05,1)</f>
        <v>0</v>
      </c>
      <c r="D59" s="2663" t="s">
        <v>1757</v>
      </c>
      <c r="E59" s="783" t="s">
        <v>1748</v>
      </c>
      <c r="F59" s="808">
        <f t="shared" ref="F59:F65" si="0">F32</f>
        <v>5.6000000000000001E-2</v>
      </c>
      <c r="I59" s="2404" t="s">
        <v>2364</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3" t="s">
        <v>1759</v>
      </c>
      <c r="C60" s="53">
        <f ca="1">IF(D60="按租金收入计税",ROUND(C47*F60,1),IF(D60="按房产原值计税",ROUND(C56*F60*0.7,1),INDIRECT("'数据-取费表'!Aj"&amp;$G$1)))</f>
        <v>0</v>
      </c>
      <c r="D60" s="2663" t="str">
        <f>D33</f>
        <v>按房产原值计税</v>
      </c>
      <c r="E60" s="783" t="s">
        <v>1748</v>
      </c>
      <c r="F60" s="808">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40" t="s">
        <v>668</v>
      </c>
      <c r="C61" s="54">
        <f ca="1">ROUND(F61*F62/10000,1)</f>
        <v>0</v>
      </c>
      <c r="D61" s="813" t="s">
        <v>669</v>
      </c>
      <c r="E61" s="783" t="s">
        <v>670</v>
      </c>
      <c r="F61" s="639">
        <f t="shared" si="0"/>
        <v>30</v>
      </c>
      <c r="K61" s="2086"/>
      <c r="O61" s="2425" t="s">
        <v>2390</v>
      </c>
      <c r="P61" s="2423" t="s">
        <v>2398</v>
      </c>
      <c r="Q61" s="2424" t="e">
        <f ca="1">L58</f>
        <v>#DIV/0!</v>
      </c>
      <c r="R61" s="2427" t="s">
        <v>2399</v>
      </c>
    </row>
    <row r="62" spans="1:18" s="2059" customFormat="1" ht="15.75" thickBot="1">
      <c r="A62" s="814"/>
      <c r="B62" s="792"/>
      <c r="C62" s="69"/>
      <c r="D62" s="815"/>
      <c r="E62" s="783" t="s">
        <v>674</v>
      </c>
      <c r="F62" s="784">
        <f t="shared" ca="1" si="0"/>
        <v>0</v>
      </c>
      <c r="I62" s="2409" t="s">
        <v>2371</v>
      </c>
      <c r="J62" s="2410" t="s">
        <v>2372</v>
      </c>
      <c r="K62" s="2410" t="s">
        <v>2373</v>
      </c>
      <c r="L62" s="2410" t="s">
        <v>2354</v>
      </c>
      <c r="M62" s="3126" t="s">
        <v>2946</v>
      </c>
      <c r="O62" s="2425" t="s">
        <v>2392</v>
      </c>
      <c r="P62" s="2423" t="str">
        <f>K59</f>
        <v>建设期及建筑物耐用年限下的土地年期修正系数Kn</v>
      </c>
      <c r="Q62" s="2424" t="e">
        <f ca="1">L59</f>
        <v>#DIV/0!</v>
      </c>
      <c r="R62" s="2427" t="s">
        <v>2401</v>
      </c>
    </row>
    <row r="63" spans="1:18" s="2059" customFormat="1" ht="15.75" thickBot="1">
      <c r="A63" s="1648" t="s">
        <v>1890</v>
      </c>
      <c r="B63" s="783" t="s">
        <v>676</v>
      </c>
      <c r="C63" s="53">
        <f ca="1">ROUND(C56*F63,1)</f>
        <v>0</v>
      </c>
      <c r="D63" s="2663" t="s">
        <v>1804</v>
      </c>
      <c r="E63" s="783" t="s">
        <v>1748</v>
      </c>
      <c r="F63" s="816">
        <f t="shared" ca="1" si="0"/>
        <v>0</v>
      </c>
      <c r="I63" s="2409" t="s">
        <v>2374</v>
      </c>
      <c r="J63" s="2410">
        <v>70</v>
      </c>
      <c r="K63" s="2410">
        <v>50</v>
      </c>
      <c r="L63" s="2410">
        <v>80</v>
      </c>
      <c r="M63" s="3127">
        <v>0.02</v>
      </c>
      <c r="O63" s="2422" t="s">
        <v>2395</v>
      </c>
      <c r="P63" s="2423" t="s">
        <v>2412</v>
      </c>
      <c r="Q63" s="2424" t="e">
        <f ca="1">Q57+Q58</f>
        <v>#DIV/0!</v>
      </c>
      <c r="R63" s="2427" t="s">
        <v>2396</v>
      </c>
    </row>
    <row r="64" spans="1:18" s="2059" customFormat="1" ht="16.5" thickBot="1">
      <c r="A64" s="1648" t="s">
        <v>1891</v>
      </c>
      <c r="B64" s="783" t="s">
        <v>679</v>
      </c>
      <c r="C64" s="53">
        <f ca="1">ROUND(C55*F64,1)</f>
        <v>0</v>
      </c>
      <c r="D64" s="2663" t="s">
        <v>680</v>
      </c>
      <c r="E64" s="783" t="s">
        <v>1748</v>
      </c>
      <c r="F64" s="817">
        <f t="shared" ca="1" si="0"/>
        <v>0</v>
      </c>
      <c r="I64" s="2409" t="s">
        <v>2375</v>
      </c>
      <c r="J64" s="2410">
        <v>50</v>
      </c>
      <c r="K64" s="2410">
        <v>35</v>
      </c>
      <c r="L64" s="2410">
        <v>60</v>
      </c>
      <c r="M64" s="3128">
        <v>0</v>
      </c>
      <c r="O64" s="2428" t="s">
        <v>2419</v>
      </c>
      <c r="P64" s="1591"/>
      <c r="Q64" s="1603"/>
      <c r="R64" s="1591"/>
    </row>
    <row r="65" spans="1:18" s="2059" customFormat="1" ht="15.75" thickBot="1">
      <c r="A65" s="1648" t="s">
        <v>1892</v>
      </c>
      <c r="B65" s="783" t="s">
        <v>666</v>
      </c>
      <c r="C65" s="53">
        <f ca="1">ROUND(C47*F65,1)</f>
        <v>0</v>
      </c>
      <c r="D65" s="2663" t="s">
        <v>683</v>
      </c>
      <c r="E65" s="783" t="s">
        <v>1748</v>
      </c>
      <c r="F65" s="793">
        <f t="shared" ca="1" si="0"/>
        <v>0</v>
      </c>
      <c r="I65" s="2409" t="s">
        <v>2376</v>
      </c>
      <c r="J65" s="2410">
        <v>40</v>
      </c>
      <c r="K65" s="2410">
        <v>30</v>
      </c>
      <c r="L65" s="2410">
        <v>50</v>
      </c>
      <c r="M65" s="3127">
        <v>0.02</v>
      </c>
      <c r="O65" s="2419" t="s">
        <v>2379</v>
      </c>
      <c r="P65" s="2420" t="s">
        <v>2380</v>
      </c>
      <c r="Q65" s="2421" t="s">
        <v>2381</v>
      </c>
      <c r="R65" s="2420" t="s">
        <v>2382</v>
      </c>
    </row>
    <row r="66" spans="1:18" s="2059" customFormat="1" ht="24.75" thickBot="1">
      <c r="A66" s="796" t="s">
        <v>1777</v>
      </c>
      <c r="B66" s="3034" t="s">
        <v>2826</v>
      </c>
      <c r="C66" s="798">
        <f ca="1">C47-C57</f>
        <v>0</v>
      </c>
      <c r="D66" s="2662" t="s">
        <v>700</v>
      </c>
      <c r="E66" s="2661"/>
      <c r="F66" s="819"/>
      <c r="K66" s="2086"/>
      <c r="O66" s="2422" t="s">
        <v>2383</v>
      </c>
      <c r="P66" s="2423" t="s">
        <v>2413</v>
      </c>
      <c r="Q66" s="2424" t="e">
        <f ca="1">C40+J29</f>
        <v>#DIV/0!</v>
      </c>
      <c r="R66" s="2423" t="s">
        <v>2384</v>
      </c>
    </row>
    <row r="67" spans="1:18" s="2059" customFormat="1" ht="20.25" thickBot="1">
      <c r="A67" s="780" t="s">
        <v>1781</v>
      </c>
      <c r="B67" s="2232" t="s">
        <v>2304</v>
      </c>
      <c r="C67" s="782" t="e">
        <f ca="1">ROUND(C66*(1-((1+F69)/(1+F67))^F68)/(F67-F69),0)</f>
        <v>#DIV/0!</v>
      </c>
      <c r="D67" s="813" t="s">
        <v>704</v>
      </c>
      <c r="E67" s="783" t="s">
        <v>705</v>
      </c>
      <c r="F67" s="793">
        <f ca="1">F40</f>
        <v>0</v>
      </c>
      <c r="K67" s="2086"/>
      <c r="O67" s="2422" t="s">
        <v>2385</v>
      </c>
      <c r="P67" s="2423" t="s">
        <v>2416</v>
      </c>
      <c r="Q67" s="2424" t="e">
        <f ca="1">L60</f>
        <v>#DIV/0!</v>
      </c>
      <c r="R67" s="2427" t="s">
        <v>2418</v>
      </c>
    </row>
    <row r="68" spans="1:18" ht="21.75" thickBot="1">
      <c r="A68" s="785"/>
      <c r="B68" s="786"/>
      <c r="C68" s="787"/>
      <c r="D68" s="820" t="s">
        <v>1809</v>
      </c>
      <c r="E68" s="783" t="s">
        <v>1785</v>
      </c>
      <c r="F68" s="821">
        <f ca="1">F41</f>
        <v>0</v>
      </c>
      <c r="O68" s="2425" t="s">
        <v>2387</v>
      </c>
      <c r="P68" s="2423" t="s">
        <v>2417</v>
      </c>
      <c r="Q68" s="2429">
        <f ca="1">L51</f>
        <v>0</v>
      </c>
      <c r="R68" s="2430" t="s">
        <v>2420</v>
      </c>
    </row>
    <row r="69" spans="1:18" ht="20.25" thickBot="1">
      <c r="A69" s="789"/>
      <c r="B69" s="790"/>
      <c r="C69" s="791"/>
      <c r="D69" s="815"/>
      <c r="E69" s="783" t="s">
        <v>710</v>
      </c>
      <c r="F69" s="2371"/>
      <c r="O69" s="2425" t="s">
        <v>2388</v>
      </c>
      <c r="P69" s="2431" t="s">
        <v>2402</v>
      </c>
      <c r="Q69" s="2424">
        <f ca="1">ROUND(Q70-Q71*Q72,0)</f>
        <v>0</v>
      </c>
      <c r="R69" s="2427"/>
    </row>
    <row r="70" spans="1:18" ht="15.75" thickBot="1">
      <c r="A70" s="822" t="s">
        <v>1788</v>
      </c>
      <c r="B70" s="823" t="s">
        <v>1811</v>
      </c>
      <c r="C70" s="824" t="e">
        <f ca="1">ROUND(C67*10000/F70,0)</f>
        <v>#DIV/0!</v>
      </c>
      <c r="D70" s="825" t="s">
        <v>1812</v>
      </c>
      <c r="E70" s="826" t="s">
        <v>1813</v>
      </c>
      <c r="F70" s="827">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建设期及建筑物耐用年限下的土地年期修正系数Kn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50" t="s">
        <v>2475</v>
      </c>
      <c r="B1" s="3551"/>
      <c r="C1" s="3552"/>
      <c r="D1" s="3553">
        <f>SUM(I10,I15,I20,I21,I23)</f>
        <v>0</v>
      </c>
      <c r="E1" s="3553"/>
      <c r="F1" s="3553"/>
      <c r="G1" s="3553"/>
      <c r="H1" s="3553"/>
      <c r="I1" s="3554"/>
    </row>
    <row r="2" spans="1:9">
      <c r="A2" s="3555" t="s">
        <v>2476</v>
      </c>
      <c r="B2" s="3556" t="s">
        <v>2477</v>
      </c>
      <c r="C2" s="3556"/>
      <c r="D2" s="2531" t="s">
        <v>2478</v>
      </c>
      <c r="E2" s="2531" t="s">
        <v>2479</v>
      </c>
      <c r="F2" s="2531" t="s">
        <v>2480</v>
      </c>
      <c r="G2" s="2531" t="s">
        <v>2481</v>
      </c>
      <c r="H2" s="2531" t="s">
        <v>2482</v>
      </c>
      <c r="I2" s="2532" t="s">
        <v>2483</v>
      </c>
    </row>
    <row r="3" spans="1:9">
      <c r="A3" s="3555"/>
      <c r="B3" s="3556" t="s">
        <v>2484</v>
      </c>
      <c r="C3" s="3556"/>
      <c r="D3" s="2533"/>
      <c r="E3" s="2531"/>
      <c r="F3" s="2534"/>
      <c r="G3" s="2534"/>
      <c r="H3" s="2535"/>
      <c r="I3" s="2536">
        <f>ROUND(D3*E3*F3*G3*H3/10000,0)</f>
        <v>0</v>
      </c>
    </row>
    <row r="4" spans="1:9">
      <c r="A4" s="3555"/>
      <c r="B4" s="3556" t="s">
        <v>2485</v>
      </c>
      <c r="C4" s="3556"/>
      <c r="D4" s="2533"/>
      <c r="E4" s="2531"/>
      <c r="F4" s="2534"/>
      <c r="G4" s="2534"/>
      <c r="H4" s="2535"/>
      <c r="I4" s="2536">
        <f t="shared" ref="I4:I9" si="0">ROUND(D4*E4*F4*G4*H4/10000,0)</f>
        <v>0</v>
      </c>
    </row>
    <row r="5" spans="1:9">
      <c r="A5" s="3555"/>
      <c r="B5" s="3556" t="s">
        <v>2486</v>
      </c>
      <c r="C5" s="3556"/>
      <c r="D5" s="2533"/>
      <c r="E5" s="2531"/>
      <c r="F5" s="2534"/>
      <c r="G5" s="2534"/>
      <c r="H5" s="2535"/>
      <c r="I5" s="2536">
        <f t="shared" si="0"/>
        <v>0</v>
      </c>
    </row>
    <row r="6" spans="1:9">
      <c r="A6" s="3555"/>
      <c r="B6" s="3556" t="s">
        <v>2487</v>
      </c>
      <c r="C6" s="3556"/>
      <c r="D6" s="2533"/>
      <c r="E6" s="2531"/>
      <c r="F6" s="2534"/>
      <c r="G6" s="2534"/>
      <c r="H6" s="2535"/>
      <c r="I6" s="2536">
        <f t="shared" si="0"/>
        <v>0</v>
      </c>
    </row>
    <row r="7" spans="1:9">
      <c r="A7" s="3555"/>
      <c r="B7" s="3556" t="s">
        <v>2488</v>
      </c>
      <c r="C7" s="3556"/>
      <c r="D7" s="2533"/>
      <c r="E7" s="2531"/>
      <c r="F7" s="2534"/>
      <c r="G7" s="2534"/>
      <c r="H7" s="2535"/>
      <c r="I7" s="2536">
        <f t="shared" si="0"/>
        <v>0</v>
      </c>
    </row>
    <row r="8" spans="1:9">
      <c r="A8" s="3555"/>
      <c r="B8" s="3556" t="s">
        <v>2489</v>
      </c>
      <c r="C8" s="3556"/>
      <c r="D8" s="2533"/>
      <c r="E8" s="2531"/>
      <c r="F8" s="2534"/>
      <c r="G8" s="2534"/>
      <c r="H8" s="2535"/>
      <c r="I8" s="2536">
        <f t="shared" si="0"/>
        <v>0</v>
      </c>
    </row>
    <row r="9" spans="1:9">
      <c r="A9" s="3555"/>
      <c r="B9" s="3556" t="s">
        <v>2490</v>
      </c>
      <c r="C9" s="3556"/>
      <c r="D9" s="2533"/>
      <c r="E9" s="2531"/>
      <c r="F9" s="2534"/>
      <c r="G9" s="2534"/>
      <c r="H9" s="2535"/>
      <c r="I9" s="2536">
        <f t="shared" si="0"/>
        <v>0</v>
      </c>
    </row>
    <row r="10" spans="1:9">
      <c r="A10" s="3555"/>
      <c r="B10" s="3557" t="s">
        <v>2491</v>
      </c>
      <c r="C10" s="3557"/>
      <c r="D10" s="2537">
        <v>527</v>
      </c>
      <c r="E10" s="2537" t="e">
        <f>ROUND(D1*10000/D10/H9,0)</f>
        <v>#DIV/0!</v>
      </c>
      <c r="F10" s="2538"/>
      <c r="G10" s="2538"/>
      <c r="H10" s="2539"/>
      <c r="I10" s="2540">
        <f>SUM(I3:I9)</f>
        <v>0</v>
      </c>
    </row>
    <row r="11" spans="1:9" ht="14.25">
      <c r="A11" s="3555" t="s">
        <v>2492</v>
      </c>
      <c r="B11" s="3556" t="s">
        <v>2493</v>
      </c>
      <c r="C11" s="3556"/>
      <c r="D11" s="2533" t="s">
        <v>2494</v>
      </c>
      <c r="E11" s="2533" t="s">
        <v>2495</v>
      </c>
      <c r="F11" s="2534" t="s">
        <v>2496</v>
      </c>
      <c r="G11" s="2534" t="s">
        <v>2497</v>
      </c>
      <c r="H11" s="2541" t="s">
        <v>2498</v>
      </c>
      <c r="I11" s="2532" t="s">
        <v>2499</v>
      </c>
    </row>
    <row r="12" spans="1:9">
      <c r="A12" s="3555"/>
      <c r="B12" s="3556" t="s">
        <v>2500</v>
      </c>
      <c r="C12" s="3556"/>
      <c r="D12" s="2533"/>
      <c r="E12" s="2533"/>
      <c r="F12" s="2534"/>
      <c r="G12" s="2535"/>
      <c r="H12" s="2542"/>
      <c r="I12" s="2532">
        <f>ROUND(D12*E12*F12*G12/10000,0)</f>
        <v>0</v>
      </c>
    </row>
    <row r="13" spans="1:9">
      <c r="A13" s="3555"/>
      <c r="B13" s="3556" t="s">
        <v>2501</v>
      </c>
      <c r="C13" s="3556"/>
      <c r="D13" s="2533"/>
      <c r="E13" s="2533"/>
      <c r="F13" s="2534"/>
      <c r="G13" s="2535"/>
      <c r="H13" s="2542"/>
      <c r="I13" s="2532">
        <f>ROUND(D13*E13*F13*G13/10000,0)</f>
        <v>0</v>
      </c>
    </row>
    <row r="14" spans="1:9">
      <c r="A14" s="3555"/>
      <c r="B14" s="3556" t="s">
        <v>2502</v>
      </c>
      <c r="C14" s="3556"/>
      <c r="D14" s="2533"/>
      <c r="E14" s="2533"/>
      <c r="F14" s="2534"/>
      <c r="G14" s="2535"/>
      <c r="H14" s="2542"/>
      <c r="I14" s="2532">
        <f>ROUND(D14*E14*F14*G14/10000,0)</f>
        <v>0</v>
      </c>
    </row>
    <row r="15" spans="1:9">
      <c r="A15" s="3555"/>
      <c r="B15" s="3557" t="s">
        <v>2491</v>
      </c>
      <c r="C15" s="3557"/>
      <c r="D15" s="2537"/>
      <c r="E15" s="2537">
        <f>SUM(E12:E14)</f>
        <v>0</v>
      </c>
      <c r="F15" s="2538"/>
      <c r="G15" s="2535"/>
      <c r="H15" s="2542"/>
      <c r="I15" s="2543">
        <f>SUM(I12:I14)</f>
        <v>0</v>
      </c>
    </row>
    <row r="16" spans="1:9" ht="24">
      <c r="A16" s="3555" t="s">
        <v>2503</v>
      </c>
      <c r="B16" s="3556" t="s">
        <v>2504</v>
      </c>
      <c r="C16" s="3556"/>
      <c r="D16" s="2533" t="s">
        <v>2505</v>
      </c>
      <c r="E16" s="2544" t="s">
        <v>2506</v>
      </c>
      <c r="F16" s="2534" t="s">
        <v>2507</v>
      </c>
      <c r="G16" s="2535" t="s">
        <v>2497</v>
      </c>
      <c r="H16" s="2541" t="s">
        <v>2498</v>
      </c>
      <c r="I16" s="2532" t="s">
        <v>2499</v>
      </c>
    </row>
    <row r="17" spans="1:9" ht="14.25">
      <c r="A17" s="3555"/>
      <c r="B17" s="3556" t="s">
        <v>2508</v>
      </c>
      <c r="C17" s="3556"/>
      <c r="D17" s="2533"/>
      <c r="E17" s="2533"/>
      <c r="F17" s="2534"/>
      <c r="G17" s="2535"/>
      <c r="H17" s="2545"/>
      <c r="I17" s="2546">
        <f>ROUND(D17*E17*F17*G17/10000,0)</f>
        <v>0</v>
      </c>
    </row>
    <row r="18" spans="1:9" ht="14.25">
      <c r="A18" s="3555"/>
      <c r="B18" s="3556" t="s">
        <v>2509</v>
      </c>
      <c r="C18" s="3556"/>
      <c r="D18" s="2533"/>
      <c r="E18" s="2533"/>
      <c r="F18" s="2534"/>
      <c r="G18" s="2535"/>
      <c r="H18" s="2545"/>
      <c r="I18" s="2546">
        <f>ROUND(D18*E18*F18*G18/10000,0)</f>
        <v>0</v>
      </c>
    </row>
    <row r="19" spans="1:9" ht="14.25">
      <c r="A19" s="3555"/>
      <c r="B19" s="3556" t="s">
        <v>2510</v>
      </c>
      <c r="C19" s="3556"/>
      <c r="D19" s="2533"/>
      <c r="E19" s="2533"/>
      <c r="F19" s="2534"/>
      <c r="G19" s="2535"/>
      <c r="H19" s="2545"/>
      <c r="I19" s="2546">
        <f>ROUND(D19*E19*F19*G19/10000,0)</f>
        <v>0</v>
      </c>
    </row>
    <row r="20" spans="1:9">
      <c r="A20" s="3555"/>
      <c r="B20" s="3557" t="s">
        <v>2491</v>
      </c>
      <c r="C20" s="3557"/>
      <c r="D20" s="2537">
        <f>SUM(D17:D19)</f>
        <v>0</v>
      </c>
      <c r="E20" s="2537"/>
      <c r="F20" s="2538"/>
      <c r="G20" s="2535"/>
      <c r="H20" s="2542"/>
      <c r="I20" s="2543">
        <f>SUM(I17:I19)</f>
        <v>0</v>
      </c>
    </row>
    <row r="21" spans="1:9">
      <c r="A21" s="3555" t="s">
        <v>2511</v>
      </c>
      <c r="B21" s="3559"/>
      <c r="C21" s="3559"/>
      <c r="D21" s="3559"/>
      <c r="E21" s="3559"/>
      <c r="F21" s="3559"/>
      <c r="G21" s="3559"/>
      <c r="H21" s="2547">
        <v>0.1</v>
      </c>
      <c r="I21" s="2540">
        <f>ROUND(I10*H21,0)</f>
        <v>0</v>
      </c>
    </row>
    <row r="22" spans="1:9" ht="14.25">
      <c r="A22" s="3560" t="s">
        <v>2512</v>
      </c>
      <c r="B22" s="3561"/>
      <c r="C22" s="3562"/>
      <c r="D22" s="2548" t="s">
        <v>2513</v>
      </c>
      <c r="E22" s="2548" t="s">
        <v>2514</v>
      </c>
      <c r="F22" s="2549" t="s">
        <v>2515</v>
      </c>
      <c r="G22" s="2549" t="s">
        <v>2516</v>
      </c>
      <c r="H22" s="2541" t="s">
        <v>2517</v>
      </c>
      <c r="I22" s="2532" t="s">
        <v>2518</v>
      </c>
    </row>
    <row r="23" spans="1:9" ht="14.25" thickBot="1">
      <c r="A23" s="3563"/>
      <c r="B23" s="3564"/>
      <c r="C23" s="3565"/>
      <c r="D23" s="2550"/>
      <c r="E23" s="2550"/>
      <c r="F23" s="2550"/>
      <c r="G23" s="2551"/>
      <c r="H23" s="2552"/>
      <c r="I23" s="2553">
        <f>ROUND(E23*D23*F23*(1-G23)/10000,0)</f>
        <v>0</v>
      </c>
    </row>
    <row r="26" spans="1:9">
      <c r="A26" s="2554" t="s">
        <v>2519</v>
      </c>
      <c r="B26" s="2554"/>
      <c r="C26" s="2554"/>
      <c r="D26" s="2554"/>
      <c r="E26" s="3566">
        <f>C27-C30-C31-C32</f>
        <v>0</v>
      </c>
      <c r="F26" s="3566"/>
      <c r="G26" s="3566"/>
      <c r="H26" s="3067" t="s">
        <v>2847</v>
      </c>
    </row>
    <row r="27" spans="1:9">
      <c r="A27" s="2555">
        <v>1</v>
      </c>
      <c r="B27" s="2556" t="s">
        <v>2520</v>
      </c>
      <c r="C27" s="2556"/>
      <c r="D27" s="2556"/>
      <c r="E27" s="3567"/>
      <c r="F27" s="3567"/>
      <c r="G27" s="3567"/>
    </row>
    <row r="28" spans="1:9">
      <c r="A28" s="2557" t="s">
        <v>2521</v>
      </c>
      <c r="B28" s="2556" t="s">
        <v>2522</v>
      </c>
      <c r="C28" s="2556"/>
      <c r="D28" s="2556"/>
      <c r="E28" s="3567"/>
      <c r="F28" s="3567"/>
      <c r="G28" s="3567"/>
    </row>
    <row r="29" spans="1:9">
      <c r="A29" s="2557" t="s">
        <v>2523</v>
      </c>
      <c r="B29" s="2556" t="s">
        <v>2464</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558"/>
      <c r="F32" s="3558"/>
      <c r="G32" s="3558"/>
    </row>
    <row r="33" spans="1:7" hidden="1">
      <c r="A33" s="3568" t="s">
        <v>2530</v>
      </c>
      <c r="B33" s="3569"/>
      <c r="C33" s="3569"/>
      <c r="D33" s="3570"/>
      <c r="E33" s="3566"/>
      <c r="F33" s="3566"/>
      <c r="G33" s="3566"/>
    </row>
    <row r="34" spans="1:7" hidden="1">
      <c r="A34" s="2559">
        <v>1</v>
      </c>
      <c r="B34" s="2556" t="s">
        <v>2531</v>
      </c>
      <c r="C34" s="2556"/>
      <c r="D34" s="2556"/>
      <c r="E34" s="3567"/>
      <c r="F34" s="3567"/>
      <c r="G34" s="3567"/>
    </row>
    <row r="35" spans="1:7" hidden="1">
      <c r="A35" s="2559">
        <v>2</v>
      </c>
      <c r="B35" s="2556" t="s">
        <v>2532</v>
      </c>
      <c r="C35" s="2556"/>
      <c r="D35" s="2556"/>
      <c r="E35" s="3567"/>
      <c r="F35" s="3567"/>
      <c r="G35" s="3567"/>
    </row>
    <row r="36" spans="1:7" hidden="1">
      <c r="A36" s="2559">
        <v>3</v>
      </c>
      <c r="B36" s="2556" t="s">
        <v>2533</v>
      </c>
      <c r="C36" s="2556"/>
      <c r="D36" s="2556"/>
      <c r="E36" s="3567"/>
      <c r="F36" s="3567"/>
      <c r="G36" s="3567"/>
    </row>
    <row r="37" spans="1:7" hidden="1">
      <c r="A37" s="2559">
        <v>4</v>
      </c>
      <c r="B37" s="2556" t="s">
        <v>2534</v>
      </c>
      <c r="C37" s="2556"/>
      <c r="D37" s="2556"/>
      <c r="E37" s="3567"/>
      <c r="F37" s="3567"/>
      <c r="G37" s="3567"/>
    </row>
    <row r="38" spans="1:7" hidden="1">
      <c r="A38" s="3568" t="s">
        <v>2535</v>
      </c>
      <c r="B38" s="3569"/>
      <c r="C38" s="3569"/>
      <c r="D38" s="3570"/>
      <c r="E38" s="3566"/>
      <c r="F38" s="3566"/>
      <c r="G38" s="35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3725</v>
      </c>
      <c r="C2" s="2108"/>
      <c r="D2" s="2108"/>
      <c r="E2" s="2108"/>
      <c r="F2" s="2108"/>
      <c r="G2" s="2108"/>
    </row>
    <row r="3" spans="1:25" s="2059" customFormat="1" ht="18" customHeight="1">
      <c r="A3" s="1378" t="s">
        <v>1686</v>
      </c>
      <c r="B3" s="424">
        <f ca="1">ROUND(B2*10000/'数据-汇总表'!E3,0)</f>
        <v>210</v>
      </c>
      <c r="C3" s="2108"/>
      <c r="D3" s="2108"/>
      <c r="E3" s="2108"/>
      <c r="F3" s="2108"/>
      <c r="G3" s="2108"/>
    </row>
    <row r="4" spans="1:25" s="2059" customFormat="1" ht="18" customHeight="1">
      <c r="A4" s="425" t="s">
        <v>468</v>
      </c>
      <c r="B4" s="426">
        <f ca="1">ROUND(B2*10000/'数据-汇总表'!D3,0)</f>
        <v>461</v>
      </c>
      <c r="C4" s="2061"/>
      <c r="D4" s="2108"/>
      <c r="E4" s="2108"/>
      <c r="F4" s="2108"/>
      <c r="G4" s="2108"/>
    </row>
    <row r="5" spans="1:25" s="2059" customFormat="1" ht="18" customHeight="1" thickBot="1">
      <c r="A5" s="428"/>
      <c r="B5" s="429">
        <f ca="1">ROUND(B2/('数据-汇总表'!D3/666.67),0)</f>
        <v>31</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2444</v>
      </c>
      <c r="B8" s="2496" t="s">
        <v>2446</v>
      </c>
      <c r="C8" s="2497"/>
      <c r="D8" s="748"/>
      <c r="E8" s="749"/>
      <c r="F8" s="749"/>
      <c r="G8" s="750"/>
    </row>
    <row r="9" spans="1:25" s="2183" customFormat="1" ht="13.5" customHeight="1">
      <c r="A9" s="2493" t="s">
        <v>2445</v>
      </c>
      <c r="B9" s="2496" t="s">
        <v>2447</v>
      </c>
      <c r="C9" s="2497"/>
      <c r="D9" s="748"/>
      <c r="E9" s="749"/>
      <c r="F9" s="749"/>
      <c r="G9" s="750"/>
    </row>
    <row r="10" spans="1:25" s="2183" customFormat="1" ht="36">
      <c r="A10" s="2493">
        <v>2</v>
      </c>
      <c r="B10" s="747" t="s">
        <v>613</v>
      </c>
      <c r="C10" s="748">
        <f>C11+C14+C15</f>
        <v>3554</v>
      </c>
      <c r="D10" s="759">
        <f>'数据-汇总表'!E3</f>
        <v>177705.36</v>
      </c>
      <c r="E10" s="748">
        <f>'数据-取费表'!B31</f>
        <v>0</v>
      </c>
      <c r="F10" s="760"/>
      <c r="G10" s="758" t="s">
        <v>614</v>
      </c>
    </row>
    <row r="11" spans="1:25" s="2183" customFormat="1" ht="13.5" customHeight="1">
      <c r="A11" s="2493" t="s">
        <v>2444</v>
      </c>
      <c r="B11" s="751" t="s">
        <v>610</v>
      </c>
      <c r="C11" s="752">
        <f>'数据-取费表'!B29</f>
        <v>3554</v>
      </c>
      <c r="D11" s="753"/>
      <c r="E11" s="752"/>
      <c r="F11" s="754"/>
      <c r="G11" s="2502" t="s">
        <v>2455</v>
      </c>
    </row>
    <row r="12" spans="1:25" s="2183" customFormat="1" ht="13.5" customHeight="1">
      <c r="A12" s="2500" t="s">
        <v>2452</v>
      </c>
      <c r="B12" s="755" t="s">
        <v>611</v>
      </c>
      <c r="C12" s="756">
        <f>ROUND(D12*E12/10000,0)</f>
        <v>3485</v>
      </c>
      <c r="D12" s="757">
        <f>'数据-汇总表'!E5</f>
        <v>174234</v>
      </c>
      <c r="E12" s="756">
        <f>'数据-取费表'!B27</f>
        <v>200</v>
      </c>
      <c r="F12" s="754"/>
      <c r="G12" s="758"/>
    </row>
    <row r="13" spans="1:25" s="2183" customFormat="1" ht="13.5" customHeight="1">
      <c r="A13" s="2500" t="s">
        <v>2451</v>
      </c>
      <c r="B13" s="755" t="s">
        <v>612</v>
      </c>
      <c r="C13" s="756">
        <f>ROUND(D13*E13/10000,0)</f>
        <v>0</v>
      </c>
      <c r="D13" s="757">
        <f>'数据-汇总表'!E6</f>
        <v>3471.359999999986</v>
      </c>
      <c r="E13" s="756">
        <f>'数据-取费表'!B28</f>
        <v>0</v>
      </c>
      <c r="F13" s="754"/>
      <c r="G13" s="758"/>
    </row>
    <row r="14" spans="1:25" s="2183" customFormat="1" ht="13.5" customHeight="1">
      <c r="A14" s="2493" t="s">
        <v>2445</v>
      </c>
      <c r="B14" s="2499" t="s">
        <v>2448</v>
      </c>
      <c r="C14" s="2497"/>
      <c r="D14" s="757"/>
      <c r="E14" s="756"/>
      <c r="F14" s="2498"/>
      <c r="G14" s="2501" t="s">
        <v>2453</v>
      </c>
    </row>
    <row r="15" spans="1:25" s="2183" customFormat="1" ht="13.5" customHeight="1">
      <c r="A15" s="2493" t="s">
        <v>2450</v>
      </c>
      <c r="B15" s="2499" t="s">
        <v>2449</v>
      </c>
      <c r="C15" s="2497"/>
      <c r="D15" s="757"/>
      <c r="E15" s="756"/>
      <c r="F15" s="2498"/>
      <c r="G15" s="2501" t="s">
        <v>2454</v>
      </c>
    </row>
    <row r="16" spans="1:25" s="2184" customFormat="1" ht="48">
      <c r="A16" s="2493">
        <v>3</v>
      </c>
      <c r="B16" s="747" t="s">
        <v>615</v>
      </c>
      <c r="C16" s="2497"/>
      <c r="D16" s="759"/>
      <c r="E16" s="748"/>
      <c r="F16" s="760"/>
      <c r="G16" s="758"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426</v>
      </c>
      <c r="D18" s="761"/>
      <c r="E18" s="762"/>
      <c r="F18" s="760">
        <f>'数据-取费表'!Q16</f>
        <v>0.12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3980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3980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3725</v>
      </c>
      <c r="D22" s="759"/>
      <c r="E22" s="748"/>
      <c r="F22" s="765">
        <f>'数据-取费表'!AP16</f>
        <v>0.93600000000000005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3725</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c r="E1" s="2650"/>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63" t="s">
        <v>522</v>
      </c>
      <c r="D4" s="3464"/>
      <c r="E4" s="3499" t="s">
        <v>523</v>
      </c>
      <c r="F4" s="3500"/>
      <c r="G4" s="3463" t="s">
        <v>524</v>
      </c>
      <c r="H4" s="3464"/>
      <c r="I4" s="3463" t="s">
        <v>525</v>
      </c>
      <c r="J4" s="3464"/>
      <c r="K4" s="852" t="s">
        <v>526</v>
      </c>
      <c r="L4" s="2133"/>
      <c r="M4" s="2134"/>
      <c r="N4" s="2134"/>
      <c r="O4" s="2134"/>
      <c r="P4" s="3465" t="s">
        <v>527</v>
      </c>
      <c r="Q4" s="3466"/>
      <c r="R4" s="3471" t="s">
        <v>523</v>
      </c>
      <c r="S4" s="3472"/>
      <c r="T4" s="3471" t="s">
        <v>524</v>
      </c>
      <c r="U4" s="3472"/>
      <c r="V4" s="3458" t="s">
        <v>525</v>
      </c>
      <c r="W4" s="3458"/>
      <c r="X4" s="1566"/>
      <c r="Y4" s="3471" t="s">
        <v>527</v>
      </c>
      <c r="Z4" s="3472"/>
      <c r="AA4" s="3460" t="s">
        <v>523</v>
      </c>
      <c r="AB4" s="3460" t="s">
        <v>524</v>
      </c>
      <c r="AC4" s="3460" t="s">
        <v>525</v>
      </c>
    </row>
    <row r="5" spans="1:29" ht="15">
      <c r="A5" s="514"/>
      <c r="B5" s="515"/>
      <c r="C5" s="3479" t="s">
        <v>2931</v>
      </c>
      <c r="D5" s="3480"/>
      <c r="E5" s="3501" t="s">
        <v>2932</v>
      </c>
      <c r="F5" s="3502"/>
      <c r="G5" s="3479" t="s">
        <v>2933</v>
      </c>
      <c r="H5" s="3480"/>
      <c r="I5" s="3479" t="s">
        <v>2934</v>
      </c>
      <c r="J5" s="3480"/>
      <c r="K5" s="853"/>
      <c r="L5" s="2133"/>
      <c r="M5" s="2134"/>
      <c r="N5" s="2134"/>
      <c r="O5" s="2134"/>
      <c r="P5" s="3467"/>
      <c r="Q5" s="3468"/>
      <c r="R5" s="3473"/>
      <c r="S5" s="3474"/>
      <c r="T5" s="3473"/>
      <c r="U5" s="3474"/>
      <c r="V5" s="3458"/>
      <c r="W5" s="3458"/>
      <c r="X5" s="1566"/>
      <c r="Y5" s="3473"/>
      <c r="Z5" s="3474"/>
      <c r="AA5" s="3461"/>
      <c r="AB5" s="3461"/>
      <c r="AC5" s="3461"/>
    </row>
    <row r="6" spans="1:29" ht="15.75" thickBot="1">
      <c r="A6" s="516"/>
      <c r="B6" s="517"/>
      <c r="C6" s="3495" t="s">
        <v>2935</v>
      </c>
      <c r="D6" s="3496"/>
      <c r="E6" s="3497" t="s">
        <v>2935</v>
      </c>
      <c r="F6" s="3498"/>
      <c r="G6" s="3495" t="s">
        <v>2935</v>
      </c>
      <c r="H6" s="3496"/>
      <c r="I6" s="3495" t="s">
        <v>2935</v>
      </c>
      <c r="J6" s="3496"/>
      <c r="K6" s="853" t="s">
        <v>528</v>
      </c>
      <c r="L6" s="2133"/>
      <c r="M6" s="2134"/>
      <c r="N6" s="2134"/>
      <c r="O6" s="2134"/>
      <c r="P6" s="3469"/>
      <c r="Q6" s="3470"/>
      <c r="R6" s="3473"/>
      <c r="S6" s="3474"/>
      <c r="T6" s="3475"/>
      <c r="U6" s="3476"/>
      <c r="V6" s="3458"/>
      <c r="W6" s="3458"/>
      <c r="X6" s="1566"/>
      <c r="Y6" s="3475"/>
      <c r="Z6" s="3476"/>
      <c r="AA6" s="3462"/>
      <c r="AB6" s="3462"/>
      <c r="AC6" s="3462"/>
    </row>
    <row r="7" spans="1:29" s="1219" customFormat="1" ht="15.75" thickBot="1">
      <c r="A7" s="2935"/>
      <c r="B7" s="2942" t="s">
        <v>529</v>
      </c>
      <c r="C7" s="518">
        <f>'数据-取费表'!B2</f>
        <v>43209</v>
      </c>
      <c r="D7" s="519">
        <v>100</v>
      </c>
      <c r="E7" s="520"/>
      <c r="F7" s="521">
        <f>SUMIF(58:58,YEAR(E7)&amp;"-"&amp;MONTH(E7),59:59)</f>
        <v>0</v>
      </c>
      <c r="G7" s="522"/>
      <c r="H7" s="519">
        <f>SUMIF(58:58,YEAR(G7)&amp;"-"&amp;MONTH(G7),59:59)</f>
        <v>0</v>
      </c>
      <c r="I7" s="522"/>
      <c r="J7" s="519">
        <f>SUMIF(58:58,YEAR(I7)&amp;"-"&amp;MONTH(I7),59:59)</f>
        <v>0</v>
      </c>
      <c r="K7" s="854"/>
      <c r="L7" s="2135"/>
      <c r="M7" s="2136"/>
      <c r="N7" s="2136"/>
      <c r="O7" s="2136"/>
      <c r="P7" s="3488" t="s">
        <v>530</v>
      </c>
      <c r="Q7" s="3490"/>
      <c r="R7" s="1567" t="s">
        <v>13</v>
      </c>
      <c r="S7" s="1568">
        <f t="shared" ref="S7:S15" si="0">F7</f>
        <v>0</v>
      </c>
      <c r="T7" s="1567" t="s">
        <v>13</v>
      </c>
      <c r="U7" s="1568">
        <f t="shared" ref="U7:U15" si="1">H7</f>
        <v>0</v>
      </c>
      <c r="V7" s="1567" t="s">
        <v>13</v>
      </c>
      <c r="W7" s="1568">
        <f t="shared" ref="W7:W15" si="2">J7</f>
        <v>0</v>
      </c>
      <c r="X7" s="1569"/>
      <c r="Y7" s="3488" t="s">
        <v>530</v>
      </c>
      <c r="Z7" s="3489"/>
      <c r="AA7" s="1570" t="e">
        <f>D7/F7</f>
        <v>#DIV/0!</v>
      </c>
      <c r="AB7" s="1570" t="e">
        <f>D7/H7</f>
        <v>#DIV/0!</v>
      </c>
      <c r="AC7" s="1570" t="e">
        <f>D7/J7</f>
        <v>#DIV/0!</v>
      </c>
    </row>
    <row r="8" spans="1:29" s="1219" customFormat="1" ht="15.75" thickBot="1">
      <c r="A8" s="2936"/>
      <c r="B8" s="2943"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488" t="s">
        <v>533</v>
      </c>
      <c r="Q8" s="3489"/>
      <c r="R8" s="1567" t="s">
        <v>13</v>
      </c>
      <c r="S8" s="1568">
        <f t="shared" si="0"/>
        <v>0</v>
      </c>
      <c r="T8" s="1567" t="s">
        <v>13</v>
      </c>
      <c r="U8" s="1568">
        <f t="shared" si="1"/>
        <v>0</v>
      </c>
      <c r="V8" s="1567" t="s">
        <v>13</v>
      </c>
      <c r="W8" s="1568">
        <f t="shared" si="2"/>
        <v>0</v>
      </c>
      <c r="X8" s="1569"/>
      <c r="Y8" s="3488" t="s">
        <v>533</v>
      </c>
      <c r="Z8" s="3489"/>
      <c r="AA8" s="1570" t="e">
        <f t="shared" ref="AA8:AA46" si="3">D8/F8</f>
        <v>#DIV/0!</v>
      </c>
      <c r="AB8" s="1570" t="e">
        <f t="shared" ref="AB8:AB46" si="4">D8/H8</f>
        <v>#DIV/0!</v>
      </c>
      <c r="AC8" s="1570" t="e">
        <f t="shared" ref="AC8:AC46" si="5">D8/J8</f>
        <v>#DIV/0!</v>
      </c>
    </row>
    <row r="9" spans="1:29" s="1219" customFormat="1" ht="15">
      <c r="A9" s="2937"/>
      <c r="B9" s="2944" t="s">
        <v>2760</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457" t="s">
        <v>535</v>
      </c>
      <c r="Q9" s="1150" t="str">
        <f t="shared" ref="Q9:Q15" si="6">B9</f>
        <v>用途</v>
      </c>
      <c r="R9" s="1567" t="s">
        <v>8</v>
      </c>
      <c r="S9" s="1568">
        <f t="shared" si="0"/>
        <v>100</v>
      </c>
      <c r="T9" s="1567" t="s">
        <v>8</v>
      </c>
      <c r="U9" s="1568">
        <f t="shared" si="1"/>
        <v>100</v>
      </c>
      <c r="V9" s="1567" t="s">
        <v>8</v>
      </c>
      <c r="W9" s="1568">
        <f t="shared" si="2"/>
        <v>100</v>
      </c>
      <c r="X9" s="1569"/>
      <c r="Y9" s="3403" t="s">
        <v>536</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457"/>
      <c r="Q10" s="1150" t="str">
        <f t="shared" si="6"/>
        <v>土地使用年限（年）</v>
      </c>
      <c r="R10" s="1567" t="s">
        <v>8</v>
      </c>
      <c r="S10" s="1568">
        <f t="shared" si="0"/>
        <v>100</v>
      </c>
      <c r="T10" s="1567" t="s">
        <v>8</v>
      </c>
      <c r="U10" s="1568">
        <f t="shared" si="1"/>
        <v>100</v>
      </c>
      <c r="V10" s="1567" t="s">
        <v>8</v>
      </c>
      <c r="W10" s="1568">
        <f t="shared" si="2"/>
        <v>100</v>
      </c>
      <c r="X10" s="1569"/>
      <c r="Y10" s="3403"/>
      <c r="Z10" s="1149" t="str">
        <f t="shared" si="7"/>
        <v>土地使用年限（年）</v>
      </c>
      <c r="AA10" s="1570">
        <f t="shared" si="3"/>
        <v>1</v>
      </c>
      <c r="AB10" s="1570">
        <f t="shared" si="4"/>
        <v>1</v>
      </c>
      <c r="AC10" s="1570">
        <f t="shared" si="5"/>
        <v>1</v>
      </c>
    </row>
    <row r="11" spans="1:29" ht="15">
      <c r="A11" s="2939"/>
      <c r="B11" s="2943" t="s">
        <v>2762</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457"/>
      <c r="Q11" s="1150" t="str">
        <f t="shared" si="6"/>
        <v>容积率</v>
      </c>
      <c r="R11" s="1567" t="s">
        <v>11</v>
      </c>
      <c r="S11" s="1568" t="e">
        <f t="shared" si="0"/>
        <v>#N/A</v>
      </c>
      <c r="T11" s="1567" t="s">
        <v>11</v>
      </c>
      <c r="U11" s="1568" t="e">
        <f t="shared" si="1"/>
        <v>#N/A</v>
      </c>
      <c r="V11" s="1567" t="s">
        <v>11</v>
      </c>
      <c r="W11" s="1568" t="e">
        <f t="shared" si="2"/>
        <v>#N/A</v>
      </c>
      <c r="X11" s="1569"/>
      <c r="Y11" s="3403"/>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57"/>
      <c r="Q12" s="1150">
        <f t="shared" si="6"/>
        <v>111</v>
      </c>
      <c r="R12" s="1567" t="s">
        <v>11</v>
      </c>
      <c r="S12" s="1568">
        <f t="shared" si="0"/>
        <v>100</v>
      </c>
      <c r="T12" s="1567" t="s">
        <v>11</v>
      </c>
      <c r="U12" s="1568">
        <f t="shared" si="1"/>
        <v>100</v>
      </c>
      <c r="V12" s="1567" t="s">
        <v>11</v>
      </c>
      <c r="W12" s="1568">
        <f t="shared" si="2"/>
        <v>100</v>
      </c>
      <c r="X12" s="1569"/>
      <c r="Y12" s="3403"/>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57"/>
      <c r="Q13" s="1150">
        <f t="shared" si="6"/>
        <v>111</v>
      </c>
      <c r="R13" s="1567" t="s">
        <v>11</v>
      </c>
      <c r="S13" s="1568">
        <f t="shared" si="0"/>
        <v>100</v>
      </c>
      <c r="T13" s="1567" t="s">
        <v>11</v>
      </c>
      <c r="U13" s="1568">
        <f t="shared" si="1"/>
        <v>100</v>
      </c>
      <c r="V13" s="1567" t="s">
        <v>11</v>
      </c>
      <c r="W13" s="1568">
        <f t="shared" si="2"/>
        <v>100</v>
      </c>
      <c r="X13" s="1569"/>
      <c r="Y13" s="3403"/>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57"/>
      <c r="Q14" s="1150">
        <f t="shared" si="6"/>
        <v>111</v>
      </c>
      <c r="R14" s="1567" t="s">
        <v>11</v>
      </c>
      <c r="S14" s="1568">
        <f t="shared" si="0"/>
        <v>100</v>
      </c>
      <c r="T14" s="1567" t="s">
        <v>11</v>
      </c>
      <c r="U14" s="1568">
        <f t="shared" si="1"/>
        <v>100</v>
      </c>
      <c r="V14" s="1567" t="s">
        <v>11</v>
      </c>
      <c r="W14" s="1568">
        <f t="shared" si="2"/>
        <v>100</v>
      </c>
      <c r="X14" s="1569"/>
      <c r="Y14" s="3403"/>
      <c r="Z14" s="1149">
        <f t="shared" si="7"/>
        <v>111</v>
      </c>
      <c r="AA14" s="1570">
        <f t="shared" si="3"/>
        <v>1</v>
      </c>
      <c r="AB14" s="1570">
        <f t="shared" si="4"/>
        <v>1</v>
      </c>
      <c r="AC14" s="1570">
        <f t="shared" si="5"/>
        <v>1</v>
      </c>
    </row>
    <row r="15" spans="1:29" ht="15">
      <c r="A15" s="2933" t="s">
        <v>2758</v>
      </c>
      <c r="B15" s="165"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491" t="s">
        <v>540</v>
      </c>
      <c r="Q15" s="1571" t="str">
        <f t="shared" si="6"/>
        <v>居住社区成熟度</v>
      </c>
      <c r="R15" s="1572" t="s">
        <v>11</v>
      </c>
      <c r="S15" s="1573">
        <f t="shared" si="0"/>
        <v>100</v>
      </c>
      <c r="T15" s="1572" t="s">
        <v>11</v>
      </c>
      <c r="U15" s="1573">
        <f t="shared" si="1"/>
        <v>100</v>
      </c>
      <c r="V15" s="1572" t="s">
        <v>11</v>
      </c>
      <c r="W15" s="1573">
        <f t="shared" si="2"/>
        <v>100</v>
      </c>
      <c r="X15" s="1566"/>
      <c r="Y15" s="3491"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492"/>
      <c r="Q16" s="1571"/>
      <c r="R16" s="1572"/>
      <c r="S16" s="1573"/>
      <c r="T16" s="1572"/>
      <c r="U16" s="1573"/>
      <c r="V16" s="1572"/>
      <c r="W16" s="1573"/>
      <c r="X16" s="1566"/>
      <c r="Y16" s="3492"/>
      <c r="Z16" s="1574"/>
      <c r="AA16" s="1575">
        <v>1</v>
      </c>
      <c r="AB16" s="1575">
        <v>1</v>
      </c>
      <c r="AC16" s="1575">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492"/>
      <c r="Q17" s="1571" t="str">
        <f>B17</f>
        <v>交通便捷度</v>
      </c>
      <c r="R17" s="1572" t="s">
        <v>11</v>
      </c>
      <c r="S17" s="1573">
        <f>F17</f>
        <v>100</v>
      </c>
      <c r="T17" s="1572" t="s">
        <v>11</v>
      </c>
      <c r="U17" s="1573">
        <f>H17</f>
        <v>100</v>
      </c>
      <c r="V17" s="1572" t="s">
        <v>11</v>
      </c>
      <c r="W17" s="1573">
        <f>J17</f>
        <v>100</v>
      </c>
      <c r="X17" s="1566"/>
      <c r="Y17" s="34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492"/>
      <c r="Q18" s="1571"/>
      <c r="R18" s="1572"/>
      <c r="S18" s="1573"/>
      <c r="T18" s="1572"/>
      <c r="U18" s="1573"/>
      <c r="V18" s="1572"/>
      <c r="W18" s="1573"/>
      <c r="X18" s="1566"/>
      <c r="Y18" s="3492"/>
      <c r="Z18" s="1574"/>
      <c r="AA18" s="1575">
        <v>1</v>
      </c>
      <c r="AB18" s="1575">
        <v>1</v>
      </c>
      <c r="AC18" s="1575">
        <v>1</v>
      </c>
    </row>
    <row r="19" spans="1:29" ht="15">
      <c r="A19" s="531"/>
      <c r="B19" s="2624" t="s">
        <v>2550</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492"/>
      <c r="Q19" s="1571" t="str">
        <f>B19</f>
        <v>公共配套设施</v>
      </c>
      <c r="R19" s="1572" t="s">
        <v>11</v>
      </c>
      <c r="S19" s="1573">
        <f>F19</f>
        <v>100</v>
      </c>
      <c r="T19" s="1572" t="s">
        <v>11</v>
      </c>
      <c r="U19" s="1573">
        <f>H19</f>
        <v>100</v>
      </c>
      <c r="V19" s="1572" t="s">
        <v>11</v>
      </c>
      <c r="W19" s="1573">
        <f>J19</f>
        <v>100</v>
      </c>
      <c r="X19" s="1566"/>
      <c r="Y19" s="349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492"/>
      <c r="Q20" s="1571"/>
      <c r="R20" s="1572"/>
      <c r="S20" s="1573"/>
      <c r="T20" s="1572"/>
      <c r="U20" s="1573"/>
      <c r="V20" s="1572"/>
      <c r="W20" s="1573"/>
      <c r="X20" s="1566"/>
      <c r="Y20" s="3492"/>
      <c r="Z20" s="1574"/>
      <c r="AA20" s="1575">
        <v>1</v>
      </c>
      <c r="AB20" s="1575">
        <v>1</v>
      </c>
      <c r="AC20" s="1575">
        <v>1</v>
      </c>
    </row>
    <row r="21" spans="1:29" ht="15">
      <c r="A21" s="531"/>
      <c r="B21" s="2617" t="s">
        <v>2562</v>
      </c>
      <c r="C21" s="871" t="str">
        <f>估价对象房地状况!C8</f>
        <v>较好</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92"/>
      <c r="Q21" s="2603" t="str">
        <f>B21</f>
        <v>基础设施水平</v>
      </c>
      <c r="R21" s="1572" t="s">
        <v>11</v>
      </c>
      <c r="S21" s="1573">
        <f>F21</f>
        <v>100</v>
      </c>
      <c r="T21" s="1572" t="s">
        <v>11</v>
      </c>
      <c r="U21" s="1573">
        <f>H21</f>
        <v>100</v>
      </c>
      <c r="V21" s="1572" t="s">
        <v>11</v>
      </c>
      <c r="W21" s="1573">
        <f>J21</f>
        <v>100</v>
      </c>
      <c r="X21" s="2605"/>
      <c r="Y21" s="3492"/>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3"/>
      <c r="L22" s="2142"/>
      <c r="M22" s="2134"/>
      <c r="N22" s="2134"/>
      <c r="O22" s="2141"/>
      <c r="P22" s="3492"/>
      <c r="Q22" s="2603"/>
      <c r="R22" s="1572"/>
      <c r="S22" s="1573"/>
      <c r="T22" s="1572"/>
      <c r="U22" s="1573"/>
      <c r="V22" s="1572"/>
      <c r="W22" s="1573"/>
      <c r="X22" s="2605"/>
      <c r="Y22" s="3492"/>
      <c r="Z22" s="2604"/>
      <c r="AA22" s="1575">
        <v>1</v>
      </c>
      <c r="AB22" s="1575">
        <v>1</v>
      </c>
      <c r="AC22" s="1575">
        <v>1</v>
      </c>
    </row>
    <row r="23" spans="1:29" ht="15">
      <c r="A23" s="531"/>
      <c r="B23" s="870" t="s">
        <v>297</v>
      </c>
      <c r="C23" s="871"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492"/>
      <c r="Q23" s="1571" t="str">
        <f>B23</f>
        <v>自然及人文环境</v>
      </c>
      <c r="R23" s="1572" t="s">
        <v>11</v>
      </c>
      <c r="S23" s="1573">
        <f>F23</f>
        <v>100</v>
      </c>
      <c r="T23" s="1572" t="s">
        <v>11</v>
      </c>
      <c r="U23" s="1573">
        <f>H23</f>
        <v>100</v>
      </c>
      <c r="V23" s="1572" t="s">
        <v>11</v>
      </c>
      <c r="W23" s="1573">
        <f>J23</f>
        <v>100</v>
      </c>
      <c r="X23" s="1566"/>
      <c r="Y23" s="349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492"/>
      <c r="Q24" s="1571"/>
      <c r="R24" s="1572"/>
      <c r="S24" s="1573"/>
      <c r="T24" s="1572"/>
      <c r="U24" s="1573"/>
      <c r="V24" s="1572"/>
      <c r="W24" s="1573"/>
      <c r="X24" s="1566"/>
      <c r="Y24" s="3492"/>
      <c r="Z24" s="1574"/>
      <c r="AA24" s="1575">
        <v>1</v>
      </c>
      <c r="AB24" s="1575">
        <v>1</v>
      </c>
      <c r="AC24" s="1575">
        <v>1</v>
      </c>
    </row>
    <row r="25" spans="1:29" ht="15">
      <c r="A25" s="531"/>
      <c r="B25" s="1895" t="s">
        <v>2259</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92"/>
      <c r="Q25" s="1571" t="str">
        <f t="shared" ref="Q25:Q46" si="11">B25</f>
        <v>楼层-1</v>
      </c>
      <c r="R25" s="1572" t="s">
        <v>11</v>
      </c>
      <c r="S25" s="1573">
        <f>F25</f>
        <v>100</v>
      </c>
      <c r="T25" s="1572" t="s">
        <v>11</v>
      </c>
      <c r="U25" s="1573">
        <f>H25</f>
        <v>100</v>
      </c>
      <c r="V25" s="1572" t="s">
        <v>11</v>
      </c>
      <c r="W25" s="1573">
        <f>J25</f>
        <v>100</v>
      </c>
      <c r="X25" s="1566"/>
      <c r="Y25" s="3492"/>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92"/>
      <c r="Q26" s="1571" t="str">
        <f t="shared" si="11"/>
        <v>朝向</v>
      </c>
      <c r="R26" s="1572" t="s">
        <v>11</v>
      </c>
      <c r="S26" s="1573">
        <f>F26</f>
        <v>100</v>
      </c>
      <c r="T26" s="1572" t="s">
        <v>11</v>
      </c>
      <c r="U26" s="1573">
        <f>H26</f>
        <v>100</v>
      </c>
      <c r="V26" s="1572" t="s">
        <v>11</v>
      </c>
      <c r="W26" s="1573">
        <f>J26</f>
        <v>100</v>
      </c>
      <c r="X26" s="1566"/>
      <c r="Y26" s="3492"/>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92"/>
      <c r="Q27" s="1150" t="str">
        <f t="shared" si="11"/>
        <v>道路级别</v>
      </c>
      <c r="R27" s="1567" t="s">
        <v>11</v>
      </c>
      <c r="S27" s="1568">
        <f>F27</f>
        <v>100</v>
      </c>
      <c r="T27" s="1567" t="s">
        <v>11</v>
      </c>
      <c r="U27" s="1568">
        <f>H27</f>
        <v>100</v>
      </c>
      <c r="V27" s="1567" t="s">
        <v>11</v>
      </c>
      <c r="W27" s="1568">
        <f>J27</f>
        <v>100</v>
      </c>
      <c r="X27" s="1569"/>
      <c r="Y27" s="3492"/>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92"/>
      <c r="Q28" s="1571">
        <f t="shared" si="11"/>
        <v>111</v>
      </c>
      <c r="R28" s="1572" t="s">
        <v>11</v>
      </c>
      <c r="S28" s="1573">
        <f t="shared" ref="S28:S46" si="12">F28</f>
        <v>100</v>
      </c>
      <c r="T28" s="1572" t="s">
        <v>11</v>
      </c>
      <c r="U28" s="1573">
        <f t="shared" ref="U28:U46" si="13">H28</f>
        <v>100</v>
      </c>
      <c r="V28" s="1572" t="s">
        <v>11</v>
      </c>
      <c r="W28" s="1573">
        <f t="shared" ref="W28:W46" si="14">J28</f>
        <v>100</v>
      </c>
      <c r="X28" s="1566"/>
      <c r="Y28" s="3492"/>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92"/>
      <c r="Q29" s="1571">
        <f t="shared" si="11"/>
        <v>111</v>
      </c>
      <c r="R29" s="1572" t="s">
        <v>11</v>
      </c>
      <c r="S29" s="1573">
        <f t="shared" si="12"/>
        <v>100</v>
      </c>
      <c r="T29" s="1572" t="s">
        <v>11</v>
      </c>
      <c r="U29" s="1573">
        <f t="shared" si="13"/>
        <v>100</v>
      </c>
      <c r="V29" s="1572" t="s">
        <v>11</v>
      </c>
      <c r="W29" s="1573">
        <f t="shared" si="14"/>
        <v>100</v>
      </c>
      <c r="X29" s="1566"/>
      <c r="Y29" s="349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92"/>
      <c r="Q30" s="1571">
        <f t="shared" si="11"/>
        <v>111</v>
      </c>
      <c r="R30" s="1572" t="s">
        <v>11</v>
      </c>
      <c r="S30" s="1573">
        <f t="shared" si="12"/>
        <v>100</v>
      </c>
      <c r="T30" s="1572" t="s">
        <v>11</v>
      </c>
      <c r="U30" s="1573">
        <f t="shared" si="13"/>
        <v>100</v>
      </c>
      <c r="V30" s="1572" t="s">
        <v>11</v>
      </c>
      <c r="W30" s="1573">
        <f t="shared" si="14"/>
        <v>100</v>
      </c>
      <c r="X30" s="1566"/>
      <c r="Y30" s="3492"/>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92"/>
      <c r="Q31" s="1571">
        <f t="shared" si="11"/>
        <v>111</v>
      </c>
      <c r="R31" s="1572" t="s">
        <v>11</v>
      </c>
      <c r="S31" s="1573">
        <f t="shared" si="12"/>
        <v>100</v>
      </c>
      <c r="T31" s="1572" t="s">
        <v>11</v>
      </c>
      <c r="U31" s="1573">
        <f t="shared" si="13"/>
        <v>100</v>
      </c>
      <c r="V31" s="1572" t="s">
        <v>11</v>
      </c>
      <c r="W31" s="1573">
        <f t="shared" si="14"/>
        <v>100</v>
      </c>
      <c r="X31" s="1566"/>
      <c r="Y31" s="3492"/>
      <c r="Z31" s="1574">
        <f t="shared" si="15"/>
        <v>111</v>
      </c>
      <c r="AA31" s="1575">
        <f t="shared" si="3"/>
        <v>1</v>
      </c>
      <c r="AB31" s="1575">
        <f t="shared" si="4"/>
        <v>1</v>
      </c>
      <c r="AC31" s="1575">
        <f t="shared" si="5"/>
        <v>1</v>
      </c>
    </row>
    <row r="32" spans="1:29" ht="15">
      <c r="A32" s="2931" t="s">
        <v>2759</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493" t="s">
        <v>550</v>
      </c>
      <c r="Q32" s="1571" t="str">
        <f t="shared" si="11"/>
        <v>建筑类型</v>
      </c>
      <c r="R32" s="1572" t="s">
        <v>11</v>
      </c>
      <c r="S32" s="1573">
        <f t="shared" si="12"/>
        <v>100</v>
      </c>
      <c r="T32" s="1572" t="s">
        <v>11</v>
      </c>
      <c r="U32" s="1573">
        <f t="shared" si="13"/>
        <v>100</v>
      </c>
      <c r="V32" s="1572" t="s">
        <v>11</v>
      </c>
      <c r="W32" s="1573">
        <f t="shared" si="14"/>
        <v>100</v>
      </c>
      <c r="X32" s="1566"/>
      <c r="Y32" s="3494"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494"/>
      <c r="Q33" s="1604" t="str">
        <f t="shared" si="11"/>
        <v>项目建筑规模</v>
      </c>
      <c r="R33" s="1576" t="s">
        <v>11</v>
      </c>
      <c r="S33" s="1577" t="e">
        <f t="shared" si="12"/>
        <v>#N/A</v>
      </c>
      <c r="T33" s="1576" t="s">
        <v>11</v>
      </c>
      <c r="U33" s="1577" t="e">
        <f t="shared" si="13"/>
        <v>#N/A</v>
      </c>
      <c r="V33" s="1576" t="s">
        <v>11</v>
      </c>
      <c r="W33" s="1577" t="e">
        <f t="shared" si="14"/>
        <v>#N/A</v>
      </c>
      <c r="X33" s="1578"/>
      <c r="Y33" s="349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494"/>
      <c r="Q34" s="1571" t="str">
        <f t="shared" si="11"/>
        <v>建筑结构</v>
      </c>
      <c r="R34" s="1572" t="s">
        <v>11</v>
      </c>
      <c r="S34" s="1573">
        <f t="shared" si="12"/>
        <v>100</v>
      </c>
      <c r="T34" s="1572" t="s">
        <v>11</v>
      </c>
      <c r="U34" s="1573">
        <f t="shared" si="13"/>
        <v>100</v>
      </c>
      <c r="V34" s="1572" t="s">
        <v>11</v>
      </c>
      <c r="W34" s="1573">
        <f t="shared" si="14"/>
        <v>100</v>
      </c>
      <c r="X34" s="1566"/>
      <c r="Y34" s="3494"/>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494"/>
      <c r="Q35" s="1571" t="str">
        <f t="shared" si="11"/>
        <v>建筑品质</v>
      </c>
      <c r="R35" s="1572" t="s">
        <v>11</v>
      </c>
      <c r="S35" s="1573">
        <f t="shared" si="12"/>
        <v>100</v>
      </c>
      <c r="T35" s="1572" t="s">
        <v>11</v>
      </c>
      <c r="U35" s="1573">
        <f t="shared" si="13"/>
        <v>100</v>
      </c>
      <c r="V35" s="1572" t="s">
        <v>11</v>
      </c>
      <c r="W35" s="1573">
        <f t="shared" si="14"/>
        <v>100</v>
      </c>
      <c r="X35" s="1566"/>
      <c r="Y35" s="3494"/>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494"/>
      <c r="Q36" s="1571" t="str">
        <f t="shared" si="11"/>
        <v>公共部分装修</v>
      </c>
      <c r="R36" s="1572" t="s">
        <v>11</v>
      </c>
      <c r="S36" s="1573">
        <f t="shared" si="12"/>
        <v>100</v>
      </c>
      <c r="T36" s="1572" t="s">
        <v>11</v>
      </c>
      <c r="U36" s="1573">
        <f t="shared" si="13"/>
        <v>100</v>
      </c>
      <c r="V36" s="1572" t="s">
        <v>11</v>
      </c>
      <c r="W36" s="1573">
        <f t="shared" si="14"/>
        <v>100</v>
      </c>
      <c r="X36" s="1566"/>
      <c r="Y36" s="3494"/>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494"/>
      <c r="Q37" s="1150" t="str">
        <f t="shared" si="11"/>
        <v>成新度</v>
      </c>
      <c r="R37" s="1567" t="s">
        <v>11</v>
      </c>
      <c r="S37" s="1568" t="e">
        <f t="shared" si="12"/>
        <v>#N/A</v>
      </c>
      <c r="T37" s="1567" t="s">
        <v>11</v>
      </c>
      <c r="U37" s="1568" t="e">
        <f t="shared" si="13"/>
        <v>#N/A</v>
      </c>
      <c r="V37" s="1567" t="s">
        <v>11</v>
      </c>
      <c r="W37" s="1568" t="e">
        <f t="shared" si="14"/>
        <v>#N/A</v>
      </c>
      <c r="X37" s="1569"/>
      <c r="Y37" s="3494"/>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494" t="s">
        <v>550</v>
      </c>
      <c r="Q38" s="1571" t="str">
        <f t="shared" si="11"/>
        <v>物业管理</v>
      </c>
      <c r="R38" s="1572" t="s">
        <v>11</v>
      </c>
      <c r="S38" s="1573">
        <f t="shared" si="12"/>
        <v>100</v>
      </c>
      <c r="T38" s="1572" t="s">
        <v>11</v>
      </c>
      <c r="U38" s="1573">
        <f t="shared" si="13"/>
        <v>100</v>
      </c>
      <c r="V38" s="1572" t="s">
        <v>11</v>
      </c>
      <c r="W38" s="1573">
        <f t="shared" si="14"/>
        <v>100</v>
      </c>
      <c r="X38" s="1566"/>
      <c r="Y38" s="3494" t="s">
        <v>550</v>
      </c>
      <c r="Z38" s="1574" t="str">
        <f t="shared" si="15"/>
        <v>物业管理</v>
      </c>
      <c r="AA38" s="1575">
        <f t="shared" si="3"/>
        <v>1</v>
      </c>
      <c r="AB38" s="1575">
        <f t="shared" si="4"/>
        <v>1</v>
      </c>
      <c r="AC38" s="1575">
        <f t="shared" si="5"/>
        <v>1</v>
      </c>
    </row>
    <row r="39" spans="1:29" ht="15">
      <c r="A39" s="593"/>
      <c r="B39" s="1895" t="s">
        <v>2568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494"/>
      <c r="Q39" s="1571" t="str">
        <f t="shared" si="11"/>
        <v>市政基础设施</v>
      </c>
      <c r="R39" s="1572" t="s">
        <v>11</v>
      </c>
      <c r="S39" s="1573">
        <f t="shared" si="12"/>
        <v>100</v>
      </c>
      <c r="T39" s="1572" t="s">
        <v>11</v>
      </c>
      <c r="U39" s="1573">
        <f t="shared" si="13"/>
        <v>100</v>
      </c>
      <c r="V39" s="1572" t="s">
        <v>11</v>
      </c>
      <c r="W39" s="1573">
        <f t="shared" si="14"/>
        <v>100</v>
      </c>
      <c r="X39" s="1566"/>
      <c r="Y39" s="3494"/>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94"/>
      <c r="Q40" s="1571" t="str">
        <f t="shared" si="11"/>
        <v>房型</v>
      </c>
      <c r="R40" s="1572" t="s">
        <v>11</v>
      </c>
      <c r="S40" s="1573">
        <f t="shared" si="12"/>
        <v>100</v>
      </c>
      <c r="T40" s="1572" t="s">
        <v>11</v>
      </c>
      <c r="U40" s="1573">
        <f t="shared" si="13"/>
        <v>100</v>
      </c>
      <c r="V40" s="1572" t="s">
        <v>11</v>
      </c>
      <c r="W40" s="1573">
        <f t="shared" si="14"/>
        <v>100</v>
      </c>
      <c r="X40" s="1566"/>
      <c r="Y40" s="3494"/>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94"/>
      <c r="Q41" s="1604" t="str">
        <f t="shared" si="11"/>
        <v>单套/主力户型建筑面积</v>
      </c>
      <c r="R41" s="1576" t="s">
        <v>11</v>
      </c>
      <c r="S41" s="1577">
        <f t="shared" si="12"/>
        <v>100</v>
      </c>
      <c r="T41" s="1576" t="s">
        <v>11</v>
      </c>
      <c r="U41" s="1577">
        <f t="shared" si="13"/>
        <v>100</v>
      </c>
      <c r="V41" s="1576" t="s">
        <v>11</v>
      </c>
      <c r="W41" s="1577">
        <f t="shared" si="14"/>
        <v>100</v>
      </c>
      <c r="X41" s="1578"/>
      <c r="Y41" s="3494"/>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494"/>
      <c r="Q42" s="1571" t="str">
        <f t="shared" si="11"/>
        <v>内部装修</v>
      </c>
      <c r="R42" s="1572" t="s">
        <v>11</v>
      </c>
      <c r="S42" s="1573">
        <f t="shared" si="12"/>
        <v>100</v>
      </c>
      <c r="T42" s="1572" t="s">
        <v>11</v>
      </c>
      <c r="U42" s="1573">
        <f t="shared" si="13"/>
        <v>100</v>
      </c>
      <c r="V42" s="1572" t="s">
        <v>11</v>
      </c>
      <c r="W42" s="1573">
        <f t="shared" si="14"/>
        <v>100</v>
      </c>
      <c r="X42" s="1566"/>
      <c r="Y42" s="3494"/>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94"/>
      <c r="Q43" s="1571" t="str">
        <f t="shared" si="11"/>
        <v>内部装修维护情况</v>
      </c>
      <c r="R43" s="1572" t="s">
        <v>11</v>
      </c>
      <c r="S43" s="1573">
        <f t="shared" si="12"/>
        <v>100</v>
      </c>
      <c r="T43" s="1572" t="s">
        <v>11</v>
      </c>
      <c r="U43" s="1573">
        <f t="shared" si="13"/>
        <v>100</v>
      </c>
      <c r="V43" s="1572" t="s">
        <v>11</v>
      </c>
      <c r="W43" s="1573">
        <f t="shared" si="14"/>
        <v>100</v>
      </c>
      <c r="X43" s="1566"/>
      <c r="Y43" s="349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94"/>
      <c r="Q44" s="1150">
        <f t="shared" si="11"/>
        <v>111</v>
      </c>
      <c r="R44" s="1567" t="s">
        <v>11</v>
      </c>
      <c r="S44" s="1568">
        <f t="shared" si="12"/>
        <v>100</v>
      </c>
      <c r="T44" s="1567" t="s">
        <v>11</v>
      </c>
      <c r="U44" s="1568">
        <f t="shared" si="13"/>
        <v>100</v>
      </c>
      <c r="V44" s="1567" t="s">
        <v>11</v>
      </c>
      <c r="W44" s="1568">
        <f t="shared" si="14"/>
        <v>100</v>
      </c>
      <c r="X44" s="1569"/>
      <c r="Y44" s="349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94"/>
      <c r="Q45" s="1571">
        <f t="shared" si="11"/>
        <v>111</v>
      </c>
      <c r="R45" s="1572" t="s">
        <v>11</v>
      </c>
      <c r="S45" s="1573">
        <f t="shared" si="12"/>
        <v>100</v>
      </c>
      <c r="T45" s="1572" t="s">
        <v>11</v>
      </c>
      <c r="U45" s="1573">
        <f t="shared" si="13"/>
        <v>100</v>
      </c>
      <c r="V45" s="1572" t="s">
        <v>11</v>
      </c>
      <c r="W45" s="1573">
        <f t="shared" si="14"/>
        <v>100</v>
      </c>
      <c r="X45" s="1566"/>
      <c r="Y45" s="3494"/>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73"/>
      <c r="Q46" s="1571">
        <f t="shared" si="11"/>
        <v>111</v>
      </c>
      <c r="R46" s="1572" t="s">
        <v>10</v>
      </c>
      <c r="S46" s="1573">
        <f t="shared" si="12"/>
        <v>100</v>
      </c>
      <c r="T46" s="1572" t="s">
        <v>10</v>
      </c>
      <c r="U46" s="1573">
        <f t="shared" si="13"/>
        <v>100</v>
      </c>
      <c r="V46" s="1572" t="s">
        <v>10</v>
      </c>
      <c r="W46" s="1573">
        <f t="shared" si="14"/>
        <v>100</v>
      </c>
      <c r="X46" s="1566"/>
      <c r="Y46" s="3573"/>
      <c r="Z46" s="1574">
        <f t="shared" si="15"/>
        <v>111</v>
      </c>
      <c r="AA46" s="1575">
        <f t="shared" si="3"/>
        <v>1</v>
      </c>
      <c r="AB46" s="1575">
        <f t="shared" si="4"/>
        <v>1</v>
      </c>
      <c r="AC46" s="1575">
        <f t="shared" si="5"/>
        <v>1</v>
      </c>
    </row>
    <row r="47" spans="1:29" ht="15">
      <c r="A47" s="606" t="s">
        <v>736</v>
      </c>
      <c r="B47" s="886"/>
      <c r="C47" s="2651" t="s">
        <v>9</v>
      </c>
      <c r="D47" s="2652"/>
      <c r="E47" s="2653"/>
      <c r="F47" s="2654"/>
      <c r="G47" s="2655"/>
      <c r="H47" s="2656"/>
      <c r="I47" s="2653"/>
      <c r="J47" s="2656"/>
      <c r="K47" s="1605"/>
      <c r="L47" s="2144"/>
      <c r="M47" s="2145"/>
      <c r="N47" s="2134"/>
      <c r="O47" s="2145"/>
      <c r="P47" s="3457" t="str">
        <f>A47</f>
        <v>成交单价（元/平方米）</v>
      </c>
      <c r="Q47" s="3457"/>
      <c r="R47" s="3572">
        <f>E47</f>
        <v>0</v>
      </c>
      <c r="S47" s="3572"/>
      <c r="T47" s="3572">
        <f>G47</f>
        <v>0</v>
      </c>
      <c r="U47" s="3572"/>
      <c r="V47" s="3572">
        <f>I47</f>
        <v>0</v>
      </c>
      <c r="W47" s="3572"/>
      <c r="X47" s="1558"/>
      <c r="Y47" s="1580"/>
      <c r="Z47" s="1558"/>
      <c r="AA47" s="1558"/>
      <c r="AB47" s="1558"/>
      <c r="AC47" s="1558"/>
    </row>
    <row r="48" spans="1:29" ht="15.75" thickBot="1">
      <c r="A48" s="614" t="s">
        <v>2764</v>
      </c>
      <c r="B48" s="887"/>
      <c r="C48" s="2657" t="e">
        <f>R49</f>
        <v>#DIV/0!</v>
      </c>
      <c r="D48" s="2658"/>
      <c r="E48" s="2659" t="e">
        <f>R48</f>
        <v>#DIV/0!</v>
      </c>
      <c r="F48" s="2659"/>
      <c r="G48" s="2657" t="e">
        <f>T48</f>
        <v>#DIV/0!</v>
      </c>
      <c r="H48" s="2658"/>
      <c r="I48" s="2659" t="e">
        <f>V48</f>
        <v>#DIV/0!</v>
      </c>
      <c r="J48" s="2658"/>
      <c r="K48" s="1606"/>
      <c r="L48" s="2144"/>
      <c r="M48" s="2145"/>
      <c r="N48" s="2145"/>
      <c r="O48" s="2145"/>
      <c r="P48" s="3457" t="str">
        <f>A48</f>
        <v>比较价格（元/平方米）</v>
      </c>
      <c r="Q48" s="3457"/>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58"/>
      <c r="Y48" s="1558"/>
      <c r="Z48" s="1558"/>
      <c r="AA48" s="1558"/>
      <c r="AB48" s="1558"/>
      <c r="AC48" s="1558"/>
    </row>
    <row r="49" spans="1:29" ht="15.75" thickBot="1">
      <c r="A49" s="620" t="s">
        <v>2937</v>
      </c>
      <c r="B49" s="621"/>
      <c r="C49" s="2660" t="e">
        <f>R49</f>
        <v>#DIV/0!</v>
      </c>
      <c r="D49" s="2660"/>
      <c r="E49" s="2660"/>
      <c r="F49" s="2660"/>
      <c r="G49" s="2660"/>
      <c r="H49" s="2660"/>
      <c r="I49" s="2660"/>
      <c r="J49" s="2660"/>
      <c r="K49" s="1607"/>
      <c r="L49" s="2144"/>
      <c r="M49" s="2145"/>
      <c r="N49" s="2145"/>
      <c r="O49" s="2145"/>
      <c r="P49" s="3454" t="str">
        <f>A49</f>
        <v>估价对象XX用房的比较价格（楼面单价，元/平方米）</v>
      </c>
      <c r="Q49" s="3455"/>
      <c r="R49" s="3571" t="e">
        <f>IF(F1="售价",ROUND(AVERAGE(R48:V48),0),ROUND(AVERAGE(R48:V48),1))</f>
        <v>#DIV/0!</v>
      </c>
      <c r="S49" s="3571"/>
      <c r="T49" s="3571"/>
      <c r="U49" s="3571"/>
      <c r="V49" s="3571"/>
      <c r="W49" s="357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2260</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2560</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63" t="s">
        <v>522</v>
      </c>
      <c r="D4" s="3464"/>
      <c r="E4" s="3499" t="s">
        <v>523</v>
      </c>
      <c r="F4" s="3500"/>
      <c r="G4" s="3463" t="s">
        <v>524</v>
      </c>
      <c r="H4" s="3464"/>
      <c r="I4" s="3463" t="s">
        <v>525</v>
      </c>
      <c r="J4" s="3464"/>
      <c r="K4" s="513" t="s">
        <v>526</v>
      </c>
      <c r="L4" s="2133"/>
      <c r="M4" s="2134"/>
      <c r="N4" s="2134"/>
      <c r="O4" s="2134"/>
      <c r="P4" s="3465" t="s">
        <v>527</v>
      </c>
      <c r="Q4" s="3466"/>
      <c r="R4" s="3471" t="s">
        <v>523</v>
      </c>
      <c r="S4" s="3472"/>
      <c r="T4" s="3471" t="s">
        <v>524</v>
      </c>
      <c r="U4" s="3472"/>
      <c r="V4" s="3458" t="s">
        <v>525</v>
      </c>
      <c r="W4" s="3458"/>
      <c r="X4" s="1566"/>
      <c r="Y4" s="3471" t="s">
        <v>527</v>
      </c>
      <c r="Z4" s="3472"/>
      <c r="AA4" s="3460" t="s">
        <v>523</v>
      </c>
      <c r="AB4" s="3458" t="s">
        <v>524</v>
      </c>
      <c r="AC4" s="3460" t="s">
        <v>525</v>
      </c>
    </row>
    <row r="5" spans="1:29" ht="15">
      <c r="A5" s="514"/>
      <c r="B5" s="515"/>
      <c r="C5" s="3479" t="s">
        <v>2931</v>
      </c>
      <c r="D5" s="3480"/>
      <c r="E5" s="3501" t="s">
        <v>2932</v>
      </c>
      <c r="F5" s="3502"/>
      <c r="G5" s="3479" t="s">
        <v>2933</v>
      </c>
      <c r="H5" s="3480"/>
      <c r="I5" s="3479" t="s">
        <v>2934</v>
      </c>
      <c r="J5" s="3480"/>
      <c r="K5" s="513"/>
      <c r="L5" s="2133"/>
      <c r="M5" s="2134"/>
      <c r="N5" s="2134"/>
      <c r="O5" s="2134"/>
      <c r="P5" s="3467"/>
      <c r="Q5" s="3468"/>
      <c r="R5" s="3473"/>
      <c r="S5" s="3474"/>
      <c r="T5" s="3473"/>
      <c r="U5" s="3474"/>
      <c r="V5" s="3458"/>
      <c r="W5" s="3458"/>
      <c r="X5" s="1566"/>
      <c r="Y5" s="3473"/>
      <c r="Z5" s="3474"/>
      <c r="AA5" s="3461"/>
      <c r="AB5" s="3458"/>
      <c r="AC5" s="3461"/>
    </row>
    <row r="6" spans="1:29" ht="15.75" thickBot="1">
      <c r="A6" s="516"/>
      <c r="B6" s="517"/>
      <c r="C6" s="3495" t="s">
        <v>2935</v>
      </c>
      <c r="D6" s="3496"/>
      <c r="E6" s="3497" t="s">
        <v>2935</v>
      </c>
      <c r="F6" s="3498"/>
      <c r="G6" s="3495" t="s">
        <v>2935</v>
      </c>
      <c r="H6" s="3496"/>
      <c r="I6" s="3495" t="s">
        <v>2935</v>
      </c>
      <c r="J6" s="3496"/>
      <c r="K6" s="513" t="s">
        <v>528</v>
      </c>
      <c r="L6" s="2133"/>
      <c r="M6" s="2134"/>
      <c r="N6" s="2134"/>
      <c r="O6" s="2134"/>
      <c r="P6" s="3469"/>
      <c r="Q6" s="3470"/>
      <c r="R6" s="3473"/>
      <c r="S6" s="3474"/>
      <c r="T6" s="3475"/>
      <c r="U6" s="3476"/>
      <c r="V6" s="3458"/>
      <c r="W6" s="3458"/>
      <c r="X6" s="1566"/>
      <c r="Y6" s="3475"/>
      <c r="Z6" s="3476"/>
      <c r="AA6" s="3462"/>
      <c r="AB6" s="3458"/>
      <c r="AC6" s="3462"/>
    </row>
    <row r="7" spans="1:29" s="1219" customFormat="1" ht="15.75" thickBot="1">
      <c r="A7" s="2935"/>
      <c r="B7" s="2942" t="s">
        <v>529</v>
      </c>
      <c r="C7" s="518">
        <f>'数据-取费表'!B2</f>
        <v>43209</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88" t="s">
        <v>530</v>
      </c>
      <c r="Q7" s="3490"/>
      <c r="R7" s="1567" t="s">
        <v>8</v>
      </c>
      <c r="S7" s="1568">
        <f t="shared" ref="S7:S15" si="0">F7</f>
        <v>0</v>
      </c>
      <c r="T7" s="1567" t="s">
        <v>8</v>
      </c>
      <c r="U7" s="1568">
        <f t="shared" ref="U7:U15" si="1">H7</f>
        <v>0</v>
      </c>
      <c r="V7" s="1567" t="s">
        <v>8</v>
      </c>
      <c r="W7" s="1568">
        <f t="shared" ref="W7:W15" si="2">J7</f>
        <v>0</v>
      </c>
      <c r="X7" s="1569"/>
      <c r="Y7" s="3488" t="s">
        <v>530</v>
      </c>
      <c r="Z7" s="3489"/>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88" t="s">
        <v>533</v>
      </c>
      <c r="Q8" s="3489"/>
      <c r="R8" s="1567" t="s">
        <v>8</v>
      </c>
      <c r="S8" s="1568">
        <f t="shared" si="0"/>
        <v>0</v>
      </c>
      <c r="T8" s="1567" t="s">
        <v>8</v>
      </c>
      <c r="U8" s="1568">
        <f t="shared" si="1"/>
        <v>0</v>
      </c>
      <c r="V8" s="1567" t="s">
        <v>8</v>
      </c>
      <c r="W8" s="1568">
        <f t="shared" si="2"/>
        <v>0</v>
      </c>
      <c r="X8" s="1569"/>
      <c r="Y8" s="3488" t="s">
        <v>533</v>
      </c>
      <c r="Z8" s="3489"/>
      <c r="AA8" s="1570" t="e">
        <f t="shared" ref="AA8:AA46" si="3">D8/F8</f>
        <v>#DIV/0!</v>
      </c>
      <c r="AB8" s="1570" t="e">
        <f t="shared" ref="AB8:AB46" si="4">D8/H8</f>
        <v>#DIV/0!</v>
      </c>
      <c r="AC8" s="1570" t="e">
        <f t="shared" ref="AC8:AC46" si="5">D8/J8</f>
        <v>#DIV/0!</v>
      </c>
    </row>
    <row r="9" spans="1:29" s="1219" customFormat="1" ht="15">
      <c r="A9" s="2937"/>
      <c r="B9" s="2944" t="s">
        <v>2760</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57" t="s">
        <v>535</v>
      </c>
      <c r="Q9" s="1150" t="str">
        <f t="shared" ref="Q9:Q15" si="6">B9</f>
        <v>用途</v>
      </c>
      <c r="R9" s="1567" t="s">
        <v>8</v>
      </c>
      <c r="S9" s="1568">
        <f t="shared" si="0"/>
        <v>100</v>
      </c>
      <c r="T9" s="1567" t="s">
        <v>8</v>
      </c>
      <c r="U9" s="1568">
        <f t="shared" si="1"/>
        <v>100</v>
      </c>
      <c r="V9" s="1567" t="s">
        <v>8</v>
      </c>
      <c r="W9" s="1568">
        <f t="shared" si="2"/>
        <v>100</v>
      </c>
      <c r="X9" s="1569"/>
      <c r="Y9" s="3403" t="s">
        <v>536</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57"/>
      <c r="Q10" s="1150" t="str">
        <f t="shared" si="6"/>
        <v>土地使用年限（年）</v>
      </c>
      <c r="R10" s="1567" t="s">
        <v>8</v>
      </c>
      <c r="S10" s="1568">
        <f t="shared" si="0"/>
        <v>100</v>
      </c>
      <c r="T10" s="1567" t="s">
        <v>8</v>
      </c>
      <c r="U10" s="1568">
        <f t="shared" si="1"/>
        <v>100</v>
      </c>
      <c r="V10" s="1567" t="s">
        <v>8</v>
      </c>
      <c r="W10" s="1568">
        <f t="shared" si="2"/>
        <v>100</v>
      </c>
      <c r="X10" s="1569"/>
      <c r="Y10" s="3403"/>
      <c r="Z10" s="1149"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57"/>
      <c r="Q11" s="1150" t="str">
        <f t="shared" si="6"/>
        <v>容积率</v>
      </c>
      <c r="R11" s="1567" t="s">
        <v>8</v>
      </c>
      <c r="S11" s="1568" t="e">
        <f t="shared" si="0"/>
        <v>#N/A</v>
      </c>
      <c r="T11" s="1567" t="s">
        <v>8</v>
      </c>
      <c r="U11" s="1568" t="e">
        <f t="shared" si="1"/>
        <v>#N/A</v>
      </c>
      <c r="V11" s="1567" t="s">
        <v>8</v>
      </c>
      <c r="W11" s="1568" t="e">
        <f t="shared" si="2"/>
        <v>#N/A</v>
      </c>
      <c r="X11" s="1569"/>
      <c r="Y11" s="3403"/>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57"/>
      <c r="Q12" s="1150">
        <f t="shared" si="6"/>
        <v>111</v>
      </c>
      <c r="R12" s="1567" t="s">
        <v>8</v>
      </c>
      <c r="S12" s="1568">
        <f t="shared" si="0"/>
        <v>100</v>
      </c>
      <c r="T12" s="1567" t="s">
        <v>8</v>
      </c>
      <c r="U12" s="1568">
        <f t="shared" si="1"/>
        <v>100</v>
      </c>
      <c r="V12" s="1567" t="s">
        <v>8</v>
      </c>
      <c r="W12" s="1568">
        <f t="shared" si="2"/>
        <v>100</v>
      </c>
      <c r="X12" s="1569"/>
      <c r="Y12" s="3403"/>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57"/>
      <c r="Q13" s="1150">
        <f t="shared" si="6"/>
        <v>111</v>
      </c>
      <c r="R13" s="1567" t="s">
        <v>8</v>
      </c>
      <c r="S13" s="1568">
        <f t="shared" si="0"/>
        <v>100</v>
      </c>
      <c r="T13" s="1567" t="s">
        <v>8</v>
      </c>
      <c r="U13" s="1568">
        <f t="shared" si="1"/>
        <v>100</v>
      </c>
      <c r="V13" s="1567" t="s">
        <v>8</v>
      </c>
      <c r="W13" s="1568">
        <f t="shared" si="2"/>
        <v>100</v>
      </c>
      <c r="X13" s="1569"/>
      <c r="Y13" s="3403"/>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57"/>
      <c r="Q14" s="1150">
        <f t="shared" si="6"/>
        <v>111</v>
      </c>
      <c r="R14" s="1567" t="s">
        <v>8</v>
      </c>
      <c r="S14" s="1568">
        <f t="shared" si="0"/>
        <v>100</v>
      </c>
      <c r="T14" s="1567" t="s">
        <v>8</v>
      </c>
      <c r="U14" s="1568">
        <f t="shared" si="1"/>
        <v>100</v>
      </c>
      <c r="V14" s="1567" t="s">
        <v>8</v>
      </c>
      <c r="W14" s="1568">
        <f t="shared" si="2"/>
        <v>100</v>
      </c>
      <c r="X14" s="1569"/>
      <c r="Y14" s="3403"/>
      <c r="Z14" s="1149">
        <f t="shared" si="7"/>
        <v>111</v>
      </c>
      <c r="AA14" s="1570">
        <f t="shared" si="3"/>
        <v>1</v>
      </c>
      <c r="AB14" s="1570">
        <f t="shared" si="4"/>
        <v>1</v>
      </c>
      <c r="AC14" s="1570">
        <f t="shared" si="5"/>
        <v>1</v>
      </c>
    </row>
    <row r="15" spans="1:29" ht="15">
      <c r="A15" s="2933" t="s">
        <v>2758</v>
      </c>
      <c r="B15" s="165" t="s">
        <v>541</v>
      </c>
      <c r="C15" s="866" t="str">
        <f>估价对象房地状况!C4</f>
        <v xml:space="preserve"> </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91" t="s">
        <v>540</v>
      </c>
      <c r="Q15" s="1571" t="str">
        <f t="shared" si="6"/>
        <v>商业繁华度</v>
      </c>
      <c r="R15" s="1572" t="s">
        <v>8</v>
      </c>
      <c r="S15" s="1573">
        <f t="shared" si="0"/>
        <v>100</v>
      </c>
      <c r="T15" s="1572" t="s">
        <v>8</v>
      </c>
      <c r="U15" s="1573">
        <f t="shared" si="1"/>
        <v>100</v>
      </c>
      <c r="V15" s="1572" t="s">
        <v>8</v>
      </c>
      <c r="W15" s="1573">
        <f t="shared" si="2"/>
        <v>100</v>
      </c>
      <c r="X15" s="1566"/>
      <c r="Y15" s="3491"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92"/>
      <c r="Q16" s="1571"/>
      <c r="R16" s="1572"/>
      <c r="S16" s="1573"/>
      <c r="T16" s="1572"/>
      <c r="U16" s="1573"/>
      <c r="V16" s="1572"/>
      <c r="W16" s="1573"/>
      <c r="X16" s="1566"/>
      <c r="Y16" s="3492"/>
      <c r="Z16" s="1574"/>
      <c r="AA16" s="1575">
        <v>1</v>
      </c>
      <c r="AB16" s="1575">
        <v>1</v>
      </c>
      <c r="AC16" s="1575">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92"/>
      <c r="Q17" s="1571" t="str">
        <f>B17</f>
        <v>交通便捷度</v>
      </c>
      <c r="R17" s="1572" t="s">
        <v>8</v>
      </c>
      <c r="S17" s="1573">
        <f>F17</f>
        <v>100</v>
      </c>
      <c r="T17" s="1572" t="s">
        <v>8</v>
      </c>
      <c r="U17" s="1573">
        <f>H17</f>
        <v>100</v>
      </c>
      <c r="V17" s="1572" t="s">
        <v>8</v>
      </c>
      <c r="W17" s="1573">
        <f>J17</f>
        <v>100</v>
      </c>
      <c r="X17" s="1566"/>
      <c r="Y17" s="34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92"/>
      <c r="Q18" s="1571"/>
      <c r="R18" s="1572"/>
      <c r="S18" s="1573"/>
      <c r="T18" s="1572"/>
      <c r="U18" s="1573"/>
      <c r="V18" s="1572"/>
      <c r="W18" s="1573"/>
      <c r="X18" s="1566"/>
      <c r="Y18" s="3492"/>
      <c r="Z18" s="1574"/>
      <c r="AA18" s="1575">
        <v>1</v>
      </c>
      <c r="AB18" s="1575">
        <v>1</v>
      </c>
      <c r="AC18" s="1575">
        <v>1</v>
      </c>
    </row>
    <row r="19" spans="1:29" ht="15">
      <c r="A19" s="531"/>
      <c r="B19" s="2624" t="s">
        <v>2550</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92"/>
      <c r="Q19" s="1571" t="str">
        <f>B19</f>
        <v>公共配套设施</v>
      </c>
      <c r="R19" s="1572" t="s">
        <v>8</v>
      </c>
      <c r="S19" s="1573">
        <f>F19</f>
        <v>100</v>
      </c>
      <c r="T19" s="1572" t="s">
        <v>8</v>
      </c>
      <c r="U19" s="1573">
        <f>H19</f>
        <v>100</v>
      </c>
      <c r="V19" s="1572" t="s">
        <v>8</v>
      </c>
      <c r="W19" s="1573">
        <f>J19</f>
        <v>100</v>
      </c>
      <c r="X19" s="1566"/>
      <c r="Y19" s="349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92"/>
      <c r="Q20" s="1571"/>
      <c r="R20" s="1572"/>
      <c r="S20" s="1573"/>
      <c r="T20" s="1572"/>
      <c r="U20" s="1573"/>
      <c r="V20" s="1572"/>
      <c r="W20" s="1573"/>
      <c r="X20" s="1566"/>
      <c r="Y20" s="3492"/>
      <c r="Z20" s="1574"/>
      <c r="AA20" s="1575">
        <v>1</v>
      </c>
      <c r="AB20" s="1575">
        <v>1</v>
      </c>
      <c r="AC20" s="1575">
        <v>1</v>
      </c>
    </row>
    <row r="21" spans="1:29" ht="15">
      <c r="A21" s="531"/>
      <c r="B21" s="2617" t="s">
        <v>2562</v>
      </c>
      <c r="C21" s="871" t="str">
        <f>估价对象房地状况!C8</f>
        <v>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92"/>
      <c r="Q21" s="2603" t="str">
        <f>B21</f>
        <v>基础设施水平</v>
      </c>
      <c r="R21" s="1572" t="s">
        <v>8</v>
      </c>
      <c r="S21" s="1573">
        <f>F21</f>
        <v>100</v>
      </c>
      <c r="T21" s="1572" t="s">
        <v>8</v>
      </c>
      <c r="U21" s="1573">
        <f>H21</f>
        <v>100</v>
      </c>
      <c r="V21" s="1572" t="s">
        <v>8</v>
      </c>
      <c r="W21" s="1573">
        <f>J21</f>
        <v>100</v>
      </c>
      <c r="X21" s="2605"/>
      <c r="Y21" s="3492"/>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92"/>
      <c r="Q22" s="2603"/>
      <c r="R22" s="1572"/>
      <c r="S22" s="1573"/>
      <c r="T22" s="1572"/>
      <c r="U22" s="1573"/>
      <c r="V22" s="1572"/>
      <c r="W22" s="1573"/>
      <c r="X22" s="2605"/>
      <c r="Y22" s="3492"/>
      <c r="Z22" s="2604"/>
      <c r="AA22" s="1575">
        <v>1</v>
      </c>
      <c r="AB22" s="1575">
        <v>1</v>
      </c>
      <c r="AC22" s="1575">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92"/>
      <c r="Q23" s="1571" t="str">
        <f>B23</f>
        <v>自然及人文环境</v>
      </c>
      <c r="R23" s="1572" t="s">
        <v>8</v>
      </c>
      <c r="S23" s="1573">
        <f>F23</f>
        <v>100</v>
      </c>
      <c r="T23" s="1572" t="s">
        <v>8</v>
      </c>
      <c r="U23" s="1573">
        <f>H23</f>
        <v>100</v>
      </c>
      <c r="V23" s="1572" t="s">
        <v>8</v>
      </c>
      <c r="W23" s="1573">
        <f>J23</f>
        <v>100</v>
      </c>
      <c r="X23" s="1566"/>
      <c r="Y23" s="349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92"/>
      <c r="Q24" s="1571"/>
      <c r="R24" s="1572"/>
      <c r="S24" s="1573"/>
      <c r="T24" s="1572"/>
      <c r="U24" s="1573"/>
      <c r="V24" s="1572"/>
      <c r="W24" s="1573"/>
      <c r="X24" s="1566"/>
      <c r="Y24" s="3492"/>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92"/>
      <c r="Q25" s="1571" t="str">
        <f t="shared" ref="Q25:Q46" si="11">B25</f>
        <v>临街状况</v>
      </c>
      <c r="R25" s="1572" t="s">
        <v>8</v>
      </c>
      <c r="S25" s="1573">
        <f>F25</f>
        <v>100</v>
      </c>
      <c r="T25" s="1572" t="s">
        <v>8</v>
      </c>
      <c r="U25" s="1573">
        <f>H25</f>
        <v>100</v>
      </c>
      <c r="V25" s="1572" t="s">
        <v>8</v>
      </c>
      <c r="W25" s="1573">
        <f>J25</f>
        <v>100</v>
      </c>
      <c r="X25" s="1566"/>
      <c r="Y25" s="3492"/>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92"/>
      <c r="Q26" s="1571" t="str">
        <f t="shared" si="11"/>
        <v>平面位置/可视性</v>
      </c>
      <c r="R26" s="1572" t="s">
        <v>8</v>
      </c>
      <c r="S26" s="1573">
        <f>F26</f>
        <v>100</v>
      </c>
      <c r="T26" s="1572" t="s">
        <v>8</v>
      </c>
      <c r="U26" s="1573">
        <f>H26</f>
        <v>100</v>
      </c>
      <c r="V26" s="1572" t="s">
        <v>8</v>
      </c>
      <c r="W26" s="1573">
        <f>J26</f>
        <v>100</v>
      </c>
      <c r="X26" s="1566"/>
      <c r="Y26" s="3492"/>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92"/>
      <c r="Q27" s="1150" t="str">
        <f t="shared" si="11"/>
        <v>人流量</v>
      </c>
      <c r="R27" s="1567" t="s">
        <v>8</v>
      </c>
      <c r="S27" s="1568">
        <f>F27</f>
        <v>100</v>
      </c>
      <c r="T27" s="1567" t="s">
        <v>8</v>
      </c>
      <c r="U27" s="1568">
        <f>H27</f>
        <v>100</v>
      </c>
      <c r="V27" s="1567" t="s">
        <v>8</v>
      </c>
      <c r="W27" s="1568">
        <f>J27</f>
        <v>100</v>
      </c>
      <c r="X27" s="1569"/>
      <c r="Y27" s="3492"/>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9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9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92"/>
      <c r="Q29" s="1571">
        <f t="shared" si="11"/>
        <v>111</v>
      </c>
      <c r="R29" s="1572" t="s">
        <v>8</v>
      </c>
      <c r="S29" s="1573">
        <f t="shared" si="12"/>
        <v>100</v>
      </c>
      <c r="T29" s="1572" t="s">
        <v>8</v>
      </c>
      <c r="U29" s="1573">
        <f t="shared" si="13"/>
        <v>100</v>
      </c>
      <c r="V29" s="1572" t="s">
        <v>8</v>
      </c>
      <c r="W29" s="1573">
        <f t="shared" si="14"/>
        <v>100</v>
      </c>
      <c r="X29" s="1566"/>
      <c r="Y29" s="349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92"/>
      <c r="Q30" s="1571">
        <f t="shared" si="11"/>
        <v>111</v>
      </c>
      <c r="R30" s="1572" t="s">
        <v>8</v>
      </c>
      <c r="S30" s="1573">
        <f t="shared" si="12"/>
        <v>100</v>
      </c>
      <c r="T30" s="1572" t="s">
        <v>8</v>
      </c>
      <c r="U30" s="1573">
        <f t="shared" si="13"/>
        <v>100</v>
      </c>
      <c r="V30" s="1572" t="s">
        <v>8</v>
      </c>
      <c r="W30" s="1573">
        <f t="shared" si="14"/>
        <v>100</v>
      </c>
      <c r="X30" s="1566"/>
      <c r="Y30" s="349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92"/>
      <c r="Q31" s="1571">
        <f t="shared" si="11"/>
        <v>111</v>
      </c>
      <c r="R31" s="1572" t="s">
        <v>8</v>
      </c>
      <c r="S31" s="1573">
        <f t="shared" si="12"/>
        <v>100</v>
      </c>
      <c r="T31" s="1572" t="s">
        <v>8</v>
      </c>
      <c r="U31" s="1573">
        <f t="shared" si="13"/>
        <v>100</v>
      </c>
      <c r="V31" s="1572" t="s">
        <v>8</v>
      </c>
      <c r="W31" s="1573">
        <f t="shared" si="14"/>
        <v>100</v>
      </c>
      <c r="X31" s="1566"/>
      <c r="Y31" s="3492"/>
      <c r="Z31" s="1574">
        <f t="shared" si="15"/>
        <v>111</v>
      </c>
      <c r="AA31" s="1575">
        <f t="shared" si="3"/>
        <v>1</v>
      </c>
      <c r="AB31" s="1575">
        <f t="shared" si="4"/>
        <v>1</v>
      </c>
      <c r="AC31" s="1575">
        <f t="shared" si="5"/>
        <v>1</v>
      </c>
    </row>
    <row r="32" spans="1:29" ht="15">
      <c r="A32" s="2931" t="s">
        <v>2759</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93" t="s">
        <v>550</v>
      </c>
      <c r="Q32" s="1571" t="str">
        <f t="shared" si="11"/>
        <v>商业类型</v>
      </c>
      <c r="R32" s="1572" t="s">
        <v>8</v>
      </c>
      <c r="S32" s="1573">
        <f t="shared" si="12"/>
        <v>100</v>
      </c>
      <c r="T32" s="1572" t="s">
        <v>8</v>
      </c>
      <c r="U32" s="1573">
        <f t="shared" si="13"/>
        <v>100</v>
      </c>
      <c r="V32" s="1572" t="s">
        <v>8</v>
      </c>
      <c r="W32" s="1573">
        <f t="shared" si="14"/>
        <v>100</v>
      </c>
      <c r="X32" s="1566"/>
      <c r="Y32" s="3494"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94"/>
      <c r="Q33" s="1604" t="str">
        <f t="shared" si="11"/>
        <v>项目建筑规模</v>
      </c>
      <c r="R33" s="1576" t="s">
        <v>8</v>
      </c>
      <c r="S33" s="1577" t="e">
        <f t="shared" si="12"/>
        <v>#N/A</v>
      </c>
      <c r="T33" s="1576" t="s">
        <v>8</v>
      </c>
      <c r="U33" s="1577" t="e">
        <f t="shared" si="13"/>
        <v>#N/A</v>
      </c>
      <c r="V33" s="1576" t="s">
        <v>8</v>
      </c>
      <c r="W33" s="1577" t="e">
        <f t="shared" si="14"/>
        <v>#N/A</v>
      </c>
      <c r="X33" s="1578"/>
      <c r="Y33" s="3494"/>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94"/>
      <c r="Q34" s="1571" t="str">
        <f t="shared" si="11"/>
        <v>建筑结构</v>
      </c>
      <c r="R34" s="1572" t="s">
        <v>8</v>
      </c>
      <c r="S34" s="1573">
        <f t="shared" si="12"/>
        <v>100</v>
      </c>
      <c r="T34" s="1572" t="s">
        <v>8</v>
      </c>
      <c r="U34" s="1573">
        <f t="shared" si="13"/>
        <v>100</v>
      </c>
      <c r="V34" s="1572" t="s">
        <v>8</v>
      </c>
      <c r="W34" s="1573">
        <f t="shared" si="14"/>
        <v>100</v>
      </c>
      <c r="X34" s="1566"/>
      <c r="Y34" s="3494"/>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94"/>
      <c r="Q35" s="1571" t="str">
        <f t="shared" si="11"/>
        <v>公共部分装修</v>
      </c>
      <c r="R35" s="1572" t="s">
        <v>8</v>
      </c>
      <c r="S35" s="1573">
        <f t="shared" si="12"/>
        <v>100</v>
      </c>
      <c r="T35" s="1572" t="s">
        <v>8</v>
      </c>
      <c r="U35" s="1573">
        <f t="shared" si="13"/>
        <v>100</v>
      </c>
      <c r="V35" s="1572" t="s">
        <v>8</v>
      </c>
      <c r="W35" s="1573">
        <f t="shared" si="14"/>
        <v>100</v>
      </c>
      <c r="X35" s="1566"/>
      <c r="Y35" s="3494"/>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94"/>
      <c r="Q36" s="1571" t="str">
        <f t="shared" si="11"/>
        <v>成新度</v>
      </c>
      <c r="R36" s="1572" t="s">
        <v>8</v>
      </c>
      <c r="S36" s="1573" t="e">
        <f t="shared" si="12"/>
        <v>#N/A</v>
      </c>
      <c r="T36" s="1572" t="s">
        <v>8</v>
      </c>
      <c r="U36" s="1573" t="e">
        <f t="shared" si="13"/>
        <v>#N/A</v>
      </c>
      <c r="V36" s="1572" t="s">
        <v>8</v>
      </c>
      <c r="W36" s="1573" t="e">
        <f t="shared" si="14"/>
        <v>#N/A</v>
      </c>
      <c r="X36" s="1566"/>
      <c r="Y36" s="3494"/>
      <c r="Z36" s="1574" t="str">
        <f t="shared" si="15"/>
        <v>成新度</v>
      </c>
      <c r="AA36" s="1575" t="e">
        <f t="shared" si="3"/>
        <v>#N/A</v>
      </c>
      <c r="AB36" s="1575" t="e">
        <f t="shared" si="4"/>
        <v>#N/A</v>
      </c>
      <c r="AC36" s="1575" t="e">
        <f t="shared" si="5"/>
        <v>#N/A</v>
      </c>
    </row>
    <row r="37" spans="1:29" s="1219" customFormat="1" ht="15">
      <c r="A37" s="599"/>
      <c r="B37" s="1895"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94"/>
      <c r="Q37" s="1150" t="str">
        <f t="shared" si="11"/>
        <v>市政基础设施</v>
      </c>
      <c r="R37" s="1567" t="s">
        <v>8</v>
      </c>
      <c r="S37" s="1568">
        <f t="shared" si="12"/>
        <v>100</v>
      </c>
      <c r="T37" s="1567" t="s">
        <v>8</v>
      </c>
      <c r="U37" s="1568">
        <f t="shared" si="13"/>
        <v>100</v>
      </c>
      <c r="V37" s="1567" t="s">
        <v>8</v>
      </c>
      <c r="W37" s="1568">
        <f t="shared" si="14"/>
        <v>100</v>
      </c>
      <c r="X37" s="1569"/>
      <c r="Y37" s="3494"/>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94" t="s">
        <v>766</v>
      </c>
      <c r="Q38" s="1571" t="str">
        <f t="shared" si="11"/>
        <v>业态</v>
      </c>
      <c r="R38" s="1572" t="s">
        <v>8</v>
      </c>
      <c r="S38" s="1573">
        <f t="shared" si="12"/>
        <v>100</v>
      </c>
      <c r="T38" s="1572" t="s">
        <v>8</v>
      </c>
      <c r="U38" s="1573">
        <f t="shared" si="13"/>
        <v>100</v>
      </c>
      <c r="V38" s="1572" t="s">
        <v>8</v>
      </c>
      <c r="W38" s="1573">
        <f t="shared" si="14"/>
        <v>100</v>
      </c>
      <c r="X38" s="1566"/>
      <c r="Y38" s="3494"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94"/>
      <c r="Q39" s="1571" t="str">
        <f t="shared" si="11"/>
        <v>层高</v>
      </c>
      <c r="R39" s="1572" t="s">
        <v>8</v>
      </c>
      <c r="S39" s="1573">
        <f t="shared" si="12"/>
        <v>100</v>
      </c>
      <c r="T39" s="1572" t="s">
        <v>8</v>
      </c>
      <c r="U39" s="1573">
        <f t="shared" si="13"/>
        <v>100</v>
      </c>
      <c r="V39" s="1572" t="s">
        <v>8</v>
      </c>
      <c r="W39" s="1573">
        <f t="shared" si="14"/>
        <v>100</v>
      </c>
      <c r="X39" s="1566"/>
      <c r="Y39" s="3494"/>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94"/>
      <c r="Q40" s="1571" t="str">
        <f t="shared" si="11"/>
        <v>单套建筑面积</v>
      </c>
      <c r="R40" s="1572" t="s">
        <v>8</v>
      </c>
      <c r="S40" s="1573">
        <f t="shared" si="12"/>
        <v>100</v>
      </c>
      <c r="T40" s="1572" t="s">
        <v>8</v>
      </c>
      <c r="U40" s="1573">
        <f t="shared" si="13"/>
        <v>100</v>
      </c>
      <c r="V40" s="1572" t="s">
        <v>8</v>
      </c>
      <c r="W40" s="1573">
        <f t="shared" si="14"/>
        <v>100</v>
      </c>
      <c r="X40" s="1566"/>
      <c r="Y40" s="3494"/>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94"/>
      <c r="Q41" s="1604" t="str">
        <f t="shared" si="11"/>
        <v>进深比</v>
      </c>
      <c r="R41" s="1576" t="s">
        <v>8</v>
      </c>
      <c r="S41" s="1577">
        <f t="shared" si="12"/>
        <v>100</v>
      </c>
      <c r="T41" s="1576" t="s">
        <v>8</v>
      </c>
      <c r="U41" s="1577">
        <f t="shared" si="13"/>
        <v>100</v>
      </c>
      <c r="V41" s="1576" t="s">
        <v>8</v>
      </c>
      <c r="W41" s="1577">
        <f t="shared" si="14"/>
        <v>100</v>
      </c>
      <c r="X41" s="1578"/>
      <c r="Y41" s="3494"/>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94"/>
      <c r="Q42" s="1571" t="str">
        <f t="shared" si="11"/>
        <v>内部装修</v>
      </c>
      <c r="R42" s="1572" t="s">
        <v>8</v>
      </c>
      <c r="S42" s="1573">
        <f t="shared" si="12"/>
        <v>100</v>
      </c>
      <c r="T42" s="1572" t="s">
        <v>8</v>
      </c>
      <c r="U42" s="1573">
        <f t="shared" si="13"/>
        <v>100</v>
      </c>
      <c r="V42" s="1572" t="s">
        <v>8</v>
      </c>
      <c r="W42" s="1573">
        <f t="shared" si="14"/>
        <v>100</v>
      </c>
      <c r="X42" s="1566"/>
      <c r="Y42" s="3494"/>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94"/>
      <c r="Q43" s="1571" t="str">
        <f t="shared" si="11"/>
        <v>内部装修维护情况</v>
      </c>
      <c r="R43" s="1572" t="s">
        <v>8</v>
      </c>
      <c r="S43" s="1573">
        <f t="shared" si="12"/>
        <v>100</v>
      </c>
      <c r="T43" s="1572" t="s">
        <v>8</v>
      </c>
      <c r="U43" s="1573">
        <f t="shared" si="13"/>
        <v>100</v>
      </c>
      <c r="V43" s="1572" t="s">
        <v>8</v>
      </c>
      <c r="W43" s="1573">
        <f t="shared" si="14"/>
        <v>100</v>
      </c>
      <c r="X43" s="1566"/>
      <c r="Y43" s="349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94"/>
      <c r="Q44" s="1150">
        <f t="shared" si="11"/>
        <v>111</v>
      </c>
      <c r="R44" s="1567" t="s">
        <v>8</v>
      </c>
      <c r="S44" s="1568">
        <f t="shared" si="12"/>
        <v>100</v>
      </c>
      <c r="T44" s="1567" t="s">
        <v>8</v>
      </c>
      <c r="U44" s="1568">
        <f t="shared" si="13"/>
        <v>100</v>
      </c>
      <c r="V44" s="1567" t="s">
        <v>8</v>
      </c>
      <c r="W44" s="1568">
        <f t="shared" si="14"/>
        <v>100</v>
      </c>
      <c r="X44" s="1569"/>
      <c r="Y44" s="349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94"/>
      <c r="Q45" s="1571">
        <f t="shared" si="11"/>
        <v>111</v>
      </c>
      <c r="R45" s="1572" t="s">
        <v>8</v>
      </c>
      <c r="S45" s="1573">
        <f t="shared" si="12"/>
        <v>100</v>
      </c>
      <c r="T45" s="1572" t="s">
        <v>8</v>
      </c>
      <c r="U45" s="1573">
        <f t="shared" si="13"/>
        <v>100</v>
      </c>
      <c r="V45" s="1572" t="s">
        <v>8</v>
      </c>
      <c r="W45" s="1573">
        <f t="shared" si="14"/>
        <v>100</v>
      </c>
      <c r="X45" s="1566"/>
      <c r="Y45" s="349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73"/>
      <c r="Q46" s="1571">
        <f t="shared" si="11"/>
        <v>111</v>
      </c>
      <c r="R46" s="1572" t="s">
        <v>8</v>
      </c>
      <c r="S46" s="1573">
        <f t="shared" si="12"/>
        <v>100</v>
      </c>
      <c r="T46" s="1572" t="s">
        <v>8</v>
      </c>
      <c r="U46" s="1573">
        <f t="shared" si="13"/>
        <v>100</v>
      </c>
      <c r="V46" s="1572" t="s">
        <v>8</v>
      </c>
      <c r="W46" s="1573">
        <f t="shared" si="14"/>
        <v>100</v>
      </c>
      <c r="X46" s="1566"/>
      <c r="Y46" s="3573"/>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57" t="str">
        <f>A47</f>
        <v>成交单价（元/平方米）</v>
      </c>
      <c r="Q47" s="3457"/>
      <c r="R47" s="3572">
        <f>E47</f>
        <v>0</v>
      </c>
      <c r="S47" s="3572"/>
      <c r="T47" s="3572">
        <f>G47</f>
        <v>0</v>
      </c>
      <c r="U47" s="3572"/>
      <c r="V47" s="3572">
        <f>I47</f>
        <v>0</v>
      </c>
      <c r="W47" s="3572"/>
      <c r="X47" s="1558"/>
      <c r="Y47" s="1580"/>
      <c r="Z47" s="1558"/>
      <c r="AA47" s="1558"/>
      <c r="AB47" s="1558"/>
      <c r="AC47" s="1558"/>
    </row>
    <row r="48" spans="1:29" ht="15.75" thickBot="1">
      <c r="A48" s="614" t="s">
        <v>2764</v>
      </c>
      <c r="B48" s="887"/>
      <c r="C48" s="2657" t="e">
        <f>R49</f>
        <v>#DIV/0!</v>
      </c>
      <c r="D48" s="2658"/>
      <c r="E48" s="2659" t="e">
        <f>R48</f>
        <v>#DIV/0!</v>
      </c>
      <c r="F48" s="2659"/>
      <c r="G48" s="2657" t="e">
        <f>T48</f>
        <v>#DIV/0!</v>
      </c>
      <c r="H48" s="2658"/>
      <c r="I48" s="2659" t="e">
        <f>V48</f>
        <v>#DIV/0!</v>
      </c>
      <c r="J48" s="2658"/>
      <c r="K48" s="1611"/>
      <c r="L48" s="2144"/>
      <c r="M48" s="2145"/>
      <c r="N48" s="2134"/>
      <c r="O48" s="2145"/>
      <c r="P48" s="3457" t="str">
        <f>A48</f>
        <v>比较价格（元/平方米）</v>
      </c>
      <c r="Q48" s="3457"/>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558"/>
      <c r="Y48" s="1558"/>
      <c r="Z48" s="1558"/>
      <c r="AA48" s="1558"/>
      <c r="AB48" s="1558"/>
      <c r="AC48" s="1558"/>
    </row>
    <row r="49" spans="1:29" ht="15.75" thickBot="1">
      <c r="A49" s="620" t="s">
        <v>2937</v>
      </c>
      <c r="B49" s="621"/>
      <c r="C49" s="2660" t="e">
        <f>R49</f>
        <v>#DIV/0!</v>
      </c>
      <c r="D49" s="2660"/>
      <c r="E49" s="2660"/>
      <c r="F49" s="2660"/>
      <c r="G49" s="2660"/>
      <c r="H49" s="2660"/>
      <c r="I49" s="2660"/>
      <c r="J49" s="2660"/>
      <c r="K49" s="1612"/>
      <c r="L49" s="2144"/>
      <c r="M49" s="2145"/>
      <c r="N49" s="2134"/>
      <c r="O49" s="2145"/>
      <c r="P49" s="3454" t="str">
        <f>A49</f>
        <v>估价对象XX用房的比较价格（楼面单价，元/平方米）</v>
      </c>
      <c r="Q49" s="3455"/>
      <c r="R49" s="3571" t="e">
        <f>IF(F1="售价",ROUND(AVERAGE(R48:V48),0),ROUND(AVERAGE(R48:V48),1))</f>
        <v>#DIV/0!</v>
      </c>
      <c r="S49" s="3571"/>
      <c r="T49" s="3571"/>
      <c r="U49" s="3571"/>
      <c r="V49" s="3571"/>
      <c r="W49" s="357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2560</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63" t="s">
        <v>522</v>
      </c>
      <c r="D4" s="3464"/>
      <c r="E4" s="3499" t="s">
        <v>523</v>
      </c>
      <c r="F4" s="3500"/>
      <c r="G4" s="3463" t="s">
        <v>524</v>
      </c>
      <c r="H4" s="3464"/>
      <c r="I4" s="3463" t="s">
        <v>525</v>
      </c>
      <c r="J4" s="3464"/>
      <c r="K4" s="513" t="s">
        <v>526</v>
      </c>
      <c r="L4" s="2133"/>
      <c r="M4" s="2134"/>
      <c r="N4" s="2134"/>
      <c r="O4" s="2134"/>
      <c r="P4" s="3575" t="s">
        <v>527</v>
      </c>
      <c r="Q4" s="3466"/>
      <c r="R4" s="3471" t="s">
        <v>523</v>
      </c>
      <c r="S4" s="3472"/>
      <c r="T4" s="3471" t="s">
        <v>524</v>
      </c>
      <c r="U4" s="3472"/>
      <c r="V4" s="3458" t="s">
        <v>525</v>
      </c>
      <c r="W4" s="3458"/>
      <c r="X4" s="1566"/>
      <c r="Y4" s="3471" t="s">
        <v>527</v>
      </c>
      <c r="Z4" s="3472"/>
      <c r="AA4" s="3460" t="s">
        <v>523</v>
      </c>
      <c r="AB4" s="3460" t="s">
        <v>524</v>
      </c>
      <c r="AC4" s="3460" t="s">
        <v>525</v>
      </c>
    </row>
    <row r="5" spans="1:29" ht="15">
      <c r="A5" s="514"/>
      <c r="B5" s="515"/>
      <c r="C5" s="3479" t="s">
        <v>2931</v>
      </c>
      <c r="D5" s="3480"/>
      <c r="E5" s="3501" t="s">
        <v>2932</v>
      </c>
      <c r="F5" s="3502"/>
      <c r="G5" s="3479" t="s">
        <v>2933</v>
      </c>
      <c r="H5" s="3480"/>
      <c r="I5" s="3479" t="s">
        <v>2934</v>
      </c>
      <c r="J5" s="3480"/>
      <c r="K5" s="513"/>
      <c r="L5" s="2133"/>
      <c r="M5" s="2134"/>
      <c r="N5" s="2134"/>
      <c r="O5" s="2134"/>
      <c r="P5" s="3576"/>
      <c r="Q5" s="3468"/>
      <c r="R5" s="3473"/>
      <c r="S5" s="3474"/>
      <c r="T5" s="3473"/>
      <c r="U5" s="3474"/>
      <c r="V5" s="3458"/>
      <c r="W5" s="3458"/>
      <c r="X5" s="1566"/>
      <c r="Y5" s="3473"/>
      <c r="Z5" s="3474"/>
      <c r="AA5" s="3461"/>
      <c r="AB5" s="3461"/>
      <c r="AC5" s="3461"/>
    </row>
    <row r="6" spans="1:29" ht="15.75" thickBot="1">
      <c r="A6" s="516"/>
      <c r="B6" s="517"/>
      <c r="C6" s="3495" t="s">
        <v>2935</v>
      </c>
      <c r="D6" s="3496"/>
      <c r="E6" s="3497" t="s">
        <v>2935</v>
      </c>
      <c r="F6" s="3498"/>
      <c r="G6" s="3495" t="s">
        <v>2935</v>
      </c>
      <c r="H6" s="3496"/>
      <c r="I6" s="3495" t="s">
        <v>2935</v>
      </c>
      <c r="J6" s="3496"/>
      <c r="K6" s="513" t="s">
        <v>528</v>
      </c>
      <c r="L6" s="2133"/>
      <c r="M6" s="2134"/>
      <c r="N6" s="2134"/>
      <c r="O6" s="2134"/>
      <c r="P6" s="3577"/>
      <c r="Q6" s="3470"/>
      <c r="R6" s="3473"/>
      <c r="S6" s="3474"/>
      <c r="T6" s="3475"/>
      <c r="U6" s="3476"/>
      <c r="V6" s="3458"/>
      <c r="W6" s="3458"/>
      <c r="X6" s="1566"/>
      <c r="Y6" s="3475"/>
      <c r="Z6" s="3476"/>
      <c r="AA6" s="3462"/>
      <c r="AB6" s="3462"/>
      <c r="AC6" s="3462"/>
    </row>
    <row r="7" spans="1:29" s="1219" customFormat="1" ht="15.75" thickBot="1">
      <c r="A7" s="2935"/>
      <c r="B7" s="2942" t="s">
        <v>529</v>
      </c>
      <c r="C7" s="518">
        <f>'数据-取费表'!B2</f>
        <v>43209</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90" t="s">
        <v>530</v>
      </c>
      <c r="Q7" s="3490"/>
      <c r="R7" s="1567" t="s">
        <v>8</v>
      </c>
      <c r="S7" s="1568">
        <f t="shared" ref="S7:S15" si="0">F7</f>
        <v>0</v>
      </c>
      <c r="T7" s="1567" t="s">
        <v>8</v>
      </c>
      <c r="U7" s="1568">
        <f t="shared" ref="U7:U15" si="1">H7</f>
        <v>0</v>
      </c>
      <c r="V7" s="1567" t="s">
        <v>8</v>
      </c>
      <c r="W7" s="1568">
        <f t="shared" ref="W7:W15" si="2">J7</f>
        <v>0</v>
      </c>
      <c r="X7" s="1569"/>
      <c r="Y7" s="3488" t="s">
        <v>530</v>
      </c>
      <c r="Z7" s="3489"/>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90" t="s">
        <v>533</v>
      </c>
      <c r="Q8" s="3489"/>
      <c r="R8" s="1567" t="s">
        <v>8</v>
      </c>
      <c r="S8" s="1568">
        <f t="shared" si="0"/>
        <v>0</v>
      </c>
      <c r="T8" s="1567" t="s">
        <v>8</v>
      </c>
      <c r="U8" s="1568">
        <f t="shared" si="1"/>
        <v>0</v>
      </c>
      <c r="V8" s="1567" t="s">
        <v>8</v>
      </c>
      <c r="W8" s="1568">
        <f t="shared" si="2"/>
        <v>0</v>
      </c>
      <c r="X8" s="1569"/>
      <c r="Y8" s="3488" t="s">
        <v>533</v>
      </c>
      <c r="Z8" s="3489"/>
      <c r="AA8" s="1570" t="e">
        <f t="shared" ref="AA8:AA47" si="3">D8/F8</f>
        <v>#DIV/0!</v>
      </c>
      <c r="AB8" s="1570" t="e">
        <f t="shared" ref="AB8:AB47" si="4">D8/H8</f>
        <v>#DIV/0!</v>
      </c>
      <c r="AC8" s="1570" t="e">
        <f t="shared" ref="AC8:AC47" si="5">D8/J8</f>
        <v>#DIV/0!</v>
      </c>
    </row>
    <row r="9" spans="1:29" s="1219" customFormat="1" ht="15">
      <c r="A9" s="2937"/>
      <c r="B9" s="2944" t="s">
        <v>2760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57" t="s">
        <v>535</v>
      </c>
      <c r="Q9" s="1150" t="str">
        <f t="shared" ref="Q9:Q15" si="6">B9</f>
        <v>用途</v>
      </c>
      <c r="R9" s="1567" t="s">
        <v>8</v>
      </c>
      <c r="S9" s="1568">
        <f t="shared" si="0"/>
        <v>100</v>
      </c>
      <c r="T9" s="1567" t="s">
        <v>8</v>
      </c>
      <c r="U9" s="1568">
        <f t="shared" si="1"/>
        <v>100</v>
      </c>
      <c r="V9" s="1567" t="s">
        <v>8</v>
      </c>
      <c r="W9" s="1568">
        <f t="shared" si="2"/>
        <v>100</v>
      </c>
      <c r="X9" s="1569"/>
      <c r="Y9" s="3403" t="s">
        <v>536</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57"/>
      <c r="Q10" s="1150" t="str">
        <f t="shared" si="6"/>
        <v>土地使用年限（年）</v>
      </c>
      <c r="R10" s="1567" t="s">
        <v>8</v>
      </c>
      <c r="S10" s="1568">
        <f t="shared" si="0"/>
        <v>100</v>
      </c>
      <c r="T10" s="1567" t="s">
        <v>8</v>
      </c>
      <c r="U10" s="1568">
        <f t="shared" si="1"/>
        <v>100</v>
      </c>
      <c r="V10" s="1567" t="s">
        <v>8</v>
      </c>
      <c r="W10" s="1568">
        <f t="shared" si="2"/>
        <v>100</v>
      </c>
      <c r="X10" s="1569"/>
      <c r="Y10" s="3403"/>
      <c r="Z10" s="1149"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57"/>
      <c r="Q11" s="1150" t="str">
        <f t="shared" si="6"/>
        <v>容积率</v>
      </c>
      <c r="R11" s="1567" t="s">
        <v>8</v>
      </c>
      <c r="S11" s="1568" t="e">
        <f t="shared" si="0"/>
        <v>#N/A</v>
      </c>
      <c r="T11" s="1567" t="s">
        <v>8</v>
      </c>
      <c r="U11" s="1568" t="e">
        <f t="shared" si="1"/>
        <v>#N/A</v>
      </c>
      <c r="V11" s="1567" t="s">
        <v>8</v>
      </c>
      <c r="W11" s="1568" t="e">
        <f t="shared" si="2"/>
        <v>#N/A</v>
      </c>
      <c r="X11" s="1569"/>
      <c r="Y11" s="3403"/>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57"/>
      <c r="Q12" s="1150">
        <f t="shared" si="6"/>
        <v>111</v>
      </c>
      <c r="R12" s="1567" t="s">
        <v>8</v>
      </c>
      <c r="S12" s="1568">
        <f t="shared" si="0"/>
        <v>100</v>
      </c>
      <c r="T12" s="1567" t="s">
        <v>8</v>
      </c>
      <c r="U12" s="1568">
        <f t="shared" si="1"/>
        <v>100</v>
      </c>
      <c r="V12" s="1567" t="s">
        <v>8</v>
      </c>
      <c r="W12" s="1568">
        <f t="shared" si="2"/>
        <v>100</v>
      </c>
      <c r="X12" s="1569"/>
      <c r="Y12" s="3403"/>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57"/>
      <c r="Q13" s="1150">
        <f t="shared" si="6"/>
        <v>111</v>
      </c>
      <c r="R13" s="1567" t="s">
        <v>8</v>
      </c>
      <c r="S13" s="1568">
        <f t="shared" si="0"/>
        <v>100</v>
      </c>
      <c r="T13" s="1567" t="s">
        <v>8</v>
      </c>
      <c r="U13" s="1568">
        <f t="shared" si="1"/>
        <v>100</v>
      </c>
      <c r="V13" s="1567" t="s">
        <v>8</v>
      </c>
      <c r="W13" s="1568">
        <f t="shared" si="2"/>
        <v>100</v>
      </c>
      <c r="X13" s="1569"/>
      <c r="Y13" s="3403"/>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57"/>
      <c r="Q14" s="1150">
        <f t="shared" si="6"/>
        <v>111</v>
      </c>
      <c r="R14" s="1567" t="s">
        <v>8</v>
      </c>
      <c r="S14" s="1568">
        <f t="shared" si="0"/>
        <v>100</v>
      </c>
      <c r="T14" s="1567" t="s">
        <v>8</v>
      </c>
      <c r="U14" s="1568">
        <f t="shared" si="1"/>
        <v>100</v>
      </c>
      <c r="V14" s="1567" t="s">
        <v>8</v>
      </c>
      <c r="W14" s="1568">
        <f t="shared" si="2"/>
        <v>100</v>
      </c>
      <c r="X14" s="1569"/>
      <c r="Y14" s="3403"/>
      <c r="Z14" s="1149">
        <f t="shared" si="7"/>
        <v>111</v>
      </c>
      <c r="AA14" s="1570">
        <f t="shared" si="3"/>
        <v>1</v>
      </c>
      <c r="AB14" s="1570">
        <f t="shared" si="4"/>
        <v>1</v>
      </c>
      <c r="AC14" s="1570">
        <f t="shared" si="5"/>
        <v>1</v>
      </c>
    </row>
    <row r="15" spans="1:29" ht="15">
      <c r="A15" s="2933" t="s">
        <v>2758</v>
      </c>
      <c r="B15" s="546" t="s">
        <v>542</v>
      </c>
      <c r="C15" s="547" t="str">
        <f>估价对象房地状况!C5</f>
        <v xml:space="preserve"> </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91" t="s">
        <v>540</v>
      </c>
      <c r="Q15" s="1571" t="str">
        <f t="shared" si="6"/>
        <v>办公集聚程度</v>
      </c>
      <c r="R15" s="1572" t="s">
        <v>8</v>
      </c>
      <c r="S15" s="1573">
        <f t="shared" si="0"/>
        <v>100</v>
      </c>
      <c r="T15" s="1572" t="s">
        <v>8</v>
      </c>
      <c r="U15" s="1573">
        <f t="shared" si="1"/>
        <v>100</v>
      </c>
      <c r="V15" s="1572" t="s">
        <v>8</v>
      </c>
      <c r="W15" s="1573">
        <f t="shared" si="2"/>
        <v>100</v>
      </c>
      <c r="X15" s="1566"/>
      <c r="Y15" s="3491"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92"/>
      <c r="Q16" s="1571"/>
      <c r="R16" s="1572"/>
      <c r="S16" s="1573"/>
      <c r="T16" s="1572"/>
      <c r="U16" s="1573"/>
      <c r="V16" s="1572"/>
      <c r="W16" s="1573"/>
      <c r="X16" s="1566"/>
      <c r="Y16" s="3492"/>
      <c r="Z16" s="1574"/>
      <c r="AA16" s="1575">
        <v>1</v>
      </c>
      <c r="AB16" s="1575">
        <v>1</v>
      </c>
      <c r="AC16" s="1575">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92"/>
      <c r="Q17" s="1571" t="str">
        <f>B17</f>
        <v>交通便捷度</v>
      </c>
      <c r="R17" s="1572" t="s">
        <v>8</v>
      </c>
      <c r="S17" s="1573">
        <f>F17</f>
        <v>100</v>
      </c>
      <c r="T17" s="1572" t="s">
        <v>8</v>
      </c>
      <c r="U17" s="1573">
        <f>H17</f>
        <v>100</v>
      </c>
      <c r="V17" s="1572" t="s">
        <v>8</v>
      </c>
      <c r="W17" s="1573">
        <f>J17</f>
        <v>100</v>
      </c>
      <c r="X17" s="1566"/>
      <c r="Y17" s="349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92"/>
      <c r="Q18" s="1571"/>
      <c r="R18" s="1572"/>
      <c r="S18" s="1573"/>
      <c r="T18" s="1572"/>
      <c r="U18" s="1573"/>
      <c r="V18" s="1572"/>
      <c r="W18" s="1573"/>
      <c r="X18" s="1566"/>
      <c r="Y18" s="3492"/>
      <c r="Z18" s="1574"/>
      <c r="AA18" s="1575">
        <v>1</v>
      </c>
      <c r="AB18" s="1575">
        <v>1</v>
      </c>
      <c r="AC18" s="1575">
        <v>1</v>
      </c>
    </row>
    <row r="19" spans="1:29" ht="15">
      <c r="A19" s="531"/>
      <c r="B19" s="2627" t="s">
        <v>2550</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92"/>
      <c r="Q19" s="1571" t="str">
        <f>B19</f>
        <v>公共配套设施</v>
      </c>
      <c r="R19" s="1572" t="s">
        <v>8</v>
      </c>
      <c r="S19" s="1573">
        <f>F19</f>
        <v>100</v>
      </c>
      <c r="T19" s="1572" t="s">
        <v>8</v>
      </c>
      <c r="U19" s="1573">
        <f>H19</f>
        <v>100</v>
      </c>
      <c r="V19" s="1572" t="s">
        <v>8</v>
      </c>
      <c r="W19" s="1573">
        <f>J19</f>
        <v>100</v>
      </c>
      <c r="X19" s="1566"/>
      <c r="Y19" s="349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92"/>
      <c r="Q20" s="1571"/>
      <c r="R20" s="1572"/>
      <c r="S20" s="1573"/>
      <c r="T20" s="1572"/>
      <c r="U20" s="1573"/>
      <c r="V20" s="1572"/>
      <c r="W20" s="1573"/>
      <c r="X20" s="1566"/>
      <c r="Y20" s="3492"/>
      <c r="Z20" s="1574"/>
      <c r="AA20" s="1575">
        <v>1</v>
      </c>
      <c r="AB20" s="1575">
        <v>1</v>
      </c>
      <c r="AC20" s="1575">
        <v>1</v>
      </c>
    </row>
    <row r="21" spans="1:29" ht="15">
      <c r="A21" s="531"/>
      <c r="B21" s="2615" t="s">
        <v>2562</v>
      </c>
      <c r="C21" s="572" t="str">
        <f>估价对象房地状况!C8</f>
        <v>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92"/>
      <c r="Q21" s="2603" t="str">
        <f>B21</f>
        <v>基础设施水平</v>
      </c>
      <c r="R21" s="1572" t="s">
        <v>8</v>
      </c>
      <c r="S21" s="1573">
        <f>F21</f>
        <v>100</v>
      </c>
      <c r="T21" s="1572" t="s">
        <v>8</v>
      </c>
      <c r="U21" s="1573">
        <f>H21</f>
        <v>100</v>
      </c>
      <c r="V21" s="1572" t="s">
        <v>8</v>
      </c>
      <c r="W21" s="1573">
        <f>J21</f>
        <v>100</v>
      </c>
      <c r="X21" s="2605"/>
      <c r="Y21" s="3492"/>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92"/>
      <c r="Q22" s="2603"/>
      <c r="R22" s="1572"/>
      <c r="S22" s="1573"/>
      <c r="T22" s="1572"/>
      <c r="U22" s="1573"/>
      <c r="V22" s="1572"/>
      <c r="W22" s="1573"/>
      <c r="X22" s="2605"/>
      <c r="Y22" s="3492"/>
      <c r="Z22" s="2604"/>
      <c r="AA22" s="1575">
        <v>1</v>
      </c>
      <c r="AB22" s="1575">
        <v>1</v>
      </c>
      <c r="AC22" s="1575">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92"/>
      <c r="Q23" s="1571" t="str">
        <f>B23</f>
        <v>环境质量</v>
      </c>
      <c r="R23" s="1572" t="s">
        <v>8</v>
      </c>
      <c r="S23" s="1573">
        <f>F23</f>
        <v>100</v>
      </c>
      <c r="T23" s="1572" t="s">
        <v>8</v>
      </c>
      <c r="U23" s="1573">
        <f>H23</f>
        <v>100</v>
      </c>
      <c r="V23" s="1572" t="s">
        <v>8</v>
      </c>
      <c r="W23" s="1573">
        <f>J23</f>
        <v>100</v>
      </c>
      <c r="X23" s="1566"/>
      <c r="Y23" s="349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92"/>
      <c r="Q24" s="1571"/>
      <c r="R24" s="1572"/>
      <c r="S24" s="1573"/>
      <c r="T24" s="1572"/>
      <c r="U24" s="1573"/>
      <c r="V24" s="1572"/>
      <c r="W24" s="1573"/>
      <c r="X24" s="1566"/>
      <c r="Y24" s="3492"/>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92"/>
      <c r="Q25" s="1571" t="str">
        <f>B25</f>
        <v>毗邻道路的类型与等级</v>
      </c>
      <c r="R25" s="1572" t="s">
        <v>8</v>
      </c>
      <c r="S25" s="1573">
        <f>F25</f>
        <v>100</v>
      </c>
      <c r="T25" s="1572" t="s">
        <v>8</v>
      </c>
      <c r="U25" s="1573">
        <f>H25</f>
        <v>100</v>
      </c>
      <c r="V25" s="1572" t="s">
        <v>8</v>
      </c>
      <c r="W25" s="1573">
        <f>J25</f>
        <v>100</v>
      </c>
      <c r="X25" s="1566"/>
      <c r="Y25" s="349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92"/>
      <c r="Q26" s="1571"/>
      <c r="R26" s="1572"/>
      <c r="S26" s="1573"/>
      <c r="T26" s="1572"/>
      <c r="U26" s="1573"/>
      <c r="V26" s="1572"/>
      <c r="W26" s="1573"/>
      <c r="X26" s="1566"/>
      <c r="Y26" s="3492"/>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92"/>
      <c r="Q27" s="1571" t="str">
        <f t="shared" ref="Q27:Q47" si="11">B27</f>
        <v>楼层</v>
      </c>
      <c r="R27" s="1572" t="s">
        <v>8</v>
      </c>
      <c r="S27" s="1573">
        <f>F27</f>
        <v>100</v>
      </c>
      <c r="T27" s="1572" t="s">
        <v>8</v>
      </c>
      <c r="U27" s="1573">
        <f>H27</f>
        <v>100</v>
      </c>
      <c r="V27" s="1572" t="s">
        <v>8</v>
      </c>
      <c r="W27" s="1573">
        <f>J27</f>
        <v>100</v>
      </c>
      <c r="X27" s="1566"/>
      <c r="Y27" s="3492"/>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92"/>
      <c r="Q28" s="1150" t="str">
        <f t="shared" si="11"/>
        <v>朝向</v>
      </c>
      <c r="R28" s="1567" t="s">
        <v>8</v>
      </c>
      <c r="S28" s="1568">
        <f>F28</f>
        <v>100</v>
      </c>
      <c r="T28" s="1567" t="s">
        <v>8</v>
      </c>
      <c r="U28" s="1568">
        <f>H28</f>
        <v>100</v>
      </c>
      <c r="V28" s="1567" t="s">
        <v>8</v>
      </c>
      <c r="W28" s="1568">
        <f>J28</f>
        <v>100</v>
      </c>
      <c r="X28" s="1569"/>
      <c r="Y28" s="349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92"/>
      <c r="Q29" s="1571">
        <f t="shared" si="11"/>
        <v>111</v>
      </c>
      <c r="R29" s="1572" t="s">
        <v>8</v>
      </c>
      <c r="S29" s="1573">
        <f t="shared" ref="S29:S47" si="12">F29</f>
        <v>100</v>
      </c>
      <c r="T29" s="1572" t="s">
        <v>8</v>
      </c>
      <c r="U29" s="1573">
        <f t="shared" ref="U29:U47" si="13">H29</f>
        <v>100</v>
      </c>
      <c r="V29" s="1572" t="s">
        <v>8</v>
      </c>
      <c r="W29" s="1573">
        <f t="shared" ref="W29:W47" si="14">J29</f>
        <v>100</v>
      </c>
      <c r="X29" s="1566"/>
      <c r="Y29" s="349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92"/>
      <c r="Q30" s="1571">
        <f t="shared" si="11"/>
        <v>111</v>
      </c>
      <c r="R30" s="1572" t="s">
        <v>8</v>
      </c>
      <c r="S30" s="1573">
        <f t="shared" si="12"/>
        <v>100</v>
      </c>
      <c r="T30" s="1572" t="s">
        <v>8</v>
      </c>
      <c r="U30" s="1573">
        <f t="shared" si="13"/>
        <v>100</v>
      </c>
      <c r="V30" s="1572" t="s">
        <v>8</v>
      </c>
      <c r="W30" s="1573">
        <f t="shared" si="14"/>
        <v>100</v>
      </c>
      <c r="X30" s="1566"/>
      <c r="Y30" s="349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92"/>
      <c r="Q31" s="1571">
        <f t="shared" si="11"/>
        <v>111</v>
      </c>
      <c r="R31" s="1572" t="s">
        <v>8</v>
      </c>
      <c r="S31" s="1573">
        <f t="shared" si="12"/>
        <v>100</v>
      </c>
      <c r="T31" s="1572" t="s">
        <v>8</v>
      </c>
      <c r="U31" s="1573">
        <f t="shared" si="13"/>
        <v>100</v>
      </c>
      <c r="V31" s="1572" t="s">
        <v>8</v>
      </c>
      <c r="W31" s="1573">
        <f t="shared" si="14"/>
        <v>100</v>
      </c>
      <c r="X31" s="1566"/>
      <c r="Y31" s="349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92"/>
      <c r="Q32" s="1571">
        <f t="shared" si="11"/>
        <v>111</v>
      </c>
      <c r="R32" s="1572" t="s">
        <v>8</v>
      </c>
      <c r="S32" s="1573">
        <f t="shared" si="12"/>
        <v>100</v>
      </c>
      <c r="T32" s="1572" t="s">
        <v>8</v>
      </c>
      <c r="U32" s="1573">
        <f t="shared" si="13"/>
        <v>100</v>
      </c>
      <c r="V32" s="1572" t="s">
        <v>8</v>
      </c>
      <c r="W32" s="1573">
        <f t="shared" si="14"/>
        <v>100</v>
      </c>
      <c r="X32" s="1566"/>
      <c r="Y32" s="3492"/>
      <c r="Z32" s="1574">
        <f t="shared" si="15"/>
        <v>111</v>
      </c>
      <c r="AA32" s="1575">
        <f t="shared" si="3"/>
        <v>1</v>
      </c>
      <c r="AB32" s="1575">
        <f t="shared" si="4"/>
        <v>1</v>
      </c>
      <c r="AC32" s="1575">
        <f t="shared" si="5"/>
        <v>1</v>
      </c>
    </row>
    <row r="33" spans="1:29" ht="15">
      <c r="A33" s="2931" t="s">
        <v>2759</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93" t="s">
        <v>550</v>
      </c>
      <c r="Q33" s="1571" t="str">
        <f t="shared" si="11"/>
        <v>建筑类型</v>
      </c>
      <c r="R33" s="1572" t="s">
        <v>8</v>
      </c>
      <c r="S33" s="1573">
        <f t="shared" si="12"/>
        <v>100</v>
      </c>
      <c r="T33" s="1572" t="s">
        <v>8</v>
      </c>
      <c r="U33" s="1573">
        <f t="shared" si="13"/>
        <v>100</v>
      </c>
      <c r="V33" s="1572" t="s">
        <v>8</v>
      </c>
      <c r="W33" s="1573">
        <f t="shared" si="14"/>
        <v>100</v>
      </c>
      <c r="X33" s="1566"/>
      <c r="Y33" s="3494"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94"/>
      <c r="Q34" s="1604" t="str">
        <f t="shared" si="11"/>
        <v>项目建筑规模</v>
      </c>
      <c r="R34" s="1576" t="s">
        <v>8</v>
      </c>
      <c r="S34" s="1577" t="e">
        <f t="shared" si="12"/>
        <v>#N/A</v>
      </c>
      <c r="T34" s="1576" t="s">
        <v>8</v>
      </c>
      <c r="U34" s="1577" t="e">
        <f t="shared" si="13"/>
        <v>#N/A</v>
      </c>
      <c r="V34" s="1576" t="s">
        <v>8</v>
      </c>
      <c r="W34" s="1577" t="e">
        <f t="shared" si="14"/>
        <v>#N/A</v>
      </c>
      <c r="X34" s="1578"/>
      <c r="Y34" s="3494"/>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94"/>
      <c r="Q35" s="1571" t="str">
        <f t="shared" si="11"/>
        <v>建筑结构</v>
      </c>
      <c r="R35" s="1572" t="s">
        <v>8</v>
      </c>
      <c r="S35" s="1573">
        <f t="shared" si="12"/>
        <v>100</v>
      </c>
      <c r="T35" s="1572" t="s">
        <v>8</v>
      </c>
      <c r="U35" s="1573">
        <f t="shared" si="13"/>
        <v>100</v>
      </c>
      <c r="V35" s="1572" t="s">
        <v>8</v>
      </c>
      <c r="W35" s="1573">
        <f t="shared" si="14"/>
        <v>100</v>
      </c>
      <c r="X35" s="1566"/>
      <c r="Y35" s="3494"/>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94"/>
      <c r="Q36" s="1571" t="str">
        <f t="shared" si="11"/>
        <v>公共部分装修</v>
      </c>
      <c r="R36" s="1572" t="s">
        <v>8</v>
      </c>
      <c r="S36" s="1573">
        <f t="shared" si="12"/>
        <v>100</v>
      </c>
      <c r="T36" s="1572" t="s">
        <v>8</v>
      </c>
      <c r="U36" s="1573">
        <f t="shared" si="13"/>
        <v>100</v>
      </c>
      <c r="V36" s="1572" t="s">
        <v>8</v>
      </c>
      <c r="W36" s="1573">
        <f t="shared" si="14"/>
        <v>100</v>
      </c>
      <c r="X36" s="1566"/>
      <c r="Y36" s="3494"/>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94"/>
      <c r="Q37" s="1571" t="str">
        <f t="shared" si="11"/>
        <v>成新度</v>
      </c>
      <c r="R37" s="1572" t="s">
        <v>8</v>
      </c>
      <c r="S37" s="1573" t="e">
        <f t="shared" si="12"/>
        <v>#N/A</v>
      </c>
      <c r="T37" s="1572" t="s">
        <v>8</v>
      </c>
      <c r="U37" s="1573" t="e">
        <f t="shared" si="13"/>
        <v>#N/A</v>
      </c>
      <c r="V37" s="1572" t="s">
        <v>8</v>
      </c>
      <c r="W37" s="1573" t="e">
        <f t="shared" si="14"/>
        <v>#N/A</v>
      </c>
      <c r="X37" s="1566"/>
      <c r="Y37" s="3494"/>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94"/>
      <c r="Q38" s="1150" t="str">
        <f t="shared" si="11"/>
        <v>写字楼等级</v>
      </c>
      <c r="R38" s="1567" t="s">
        <v>8</v>
      </c>
      <c r="S38" s="1568">
        <f t="shared" si="12"/>
        <v>100</v>
      </c>
      <c r="T38" s="1567" t="s">
        <v>8</v>
      </c>
      <c r="U38" s="1568">
        <f t="shared" si="13"/>
        <v>100</v>
      </c>
      <c r="V38" s="1567" t="s">
        <v>8</v>
      </c>
      <c r="W38" s="1568">
        <f t="shared" si="14"/>
        <v>100</v>
      </c>
      <c r="X38" s="1569"/>
      <c r="Y38" s="3494"/>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94" t="s">
        <v>550</v>
      </c>
      <c r="Q39" s="1571" t="str">
        <f t="shared" si="11"/>
        <v>物业管理</v>
      </c>
      <c r="R39" s="1572" t="s">
        <v>8</v>
      </c>
      <c r="S39" s="1573">
        <f t="shared" si="12"/>
        <v>100</v>
      </c>
      <c r="T39" s="1572" t="s">
        <v>8</v>
      </c>
      <c r="U39" s="1573">
        <f t="shared" si="13"/>
        <v>100</v>
      </c>
      <c r="V39" s="1572" t="s">
        <v>8</v>
      </c>
      <c r="W39" s="1573">
        <f t="shared" si="14"/>
        <v>100</v>
      </c>
      <c r="X39" s="1566"/>
      <c r="Y39" s="3494" t="s">
        <v>550</v>
      </c>
      <c r="Z39" s="1574" t="str">
        <f t="shared" si="15"/>
        <v>物业管理</v>
      </c>
      <c r="AA39" s="1575">
        <f t="shared" si="3"/>
        <v>1</v>
      </c>
      <c r="AB39" s="1575">
        <f t="shared" si="4"/>
        <v>1</v>
      </c>
      <c r="AC39" s="1575">
        <f t="shared" si="5"/>
        <v>1</v>
      </c>
    </row>
    <row r="40" spans="1:29" ht="15">
      <c r="A40" s="593"/>
      <c r="B40" s="1895"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94"/>
      <c r="Q40" s="1571" t="str">
        <f t="shared" si="11"/>
        <v>市政基础设施</v>
      </c>
      <c r="R40" s="1572" t="s">
        <v>8</v>
      </c>
      <c r="S40" s="1573">
        <f t="shared" si="12"/>
        <v>100</v>
      </c>
      <c r="T40" s="1572" t="s">
        <v>8</v>
      </c>
      <c r="U40" s="1573">
        <f t="shared" si="13"/>
        <v>100</v>
      </c>
      <c r="V40" s="1572" t="s">
        <v>8</v>
      </c>
      <c r="W40" s="1573">
        <f t="shared" si="14"/>
        <v>100</v>
      </c>
      <c r="X40" s="1566"/>
      <c r="Y40" s="3494"/>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94"/>
      <c r="Q41" s="1571" t="str">
        <f t="shared" si="11"/>
        <v>层高</v>
      </c>
      <c r="R41" s="1572" t="s">
        <v>8</v>
      </c>
      <c r="S41" s="1573">
        <f t="shared" si="12"/>
        <v>100</v>
      </c>
      <c r="T41" s="1572" t="s">
        <v>8</v>
      </c>
      <c r="U41" s="1573">
        <f t="shared" si="13"/>
        <v>100</v>
      </c>
      <c r="V41" s="1572" t="s">
        <v>8</v>
      </c>
      <c r="W41" s="1573">
        <f t="shared" si="14"/>
        <v>100</v>
      </c>
      <c r="X41" s="1566"/>
      <c r="Y41" s="3494"/>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94"/>
      <c r="Q42" s="1604" t="str">
        <f t="shared" si="11"/>
        <v>单套建筑面积</v>
      </c>
      <c r="R42" s="1576" t="s">
        <v>8</v>
      </c>
      <c r="S42" s="1577">
        <f t="shared" si="12"/>
        <v>100</v>
      </c>
      <c r="T42" s="1576" t="s">
        <v>8</v>
      </c>
      <c r="U42" s="1577">
        <f t="shared" si="13"/>
        <v>100</v>
      </c>
      <c r="V42" s="1576" t="s">
        <v>8</v>
      </c>
      <c r="W42" s="1577">
        <f t="shared" si="14"/>
        <v>100</v>
      </c>
      <c r="X42" s="1578"/>
      <c r="Y42" s="3494"/>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94"/>
      <c r="Q43" s="1571" t="str">
        <f t="shared" si="11"/>
        <v>内部装修</v>
      </c>
      <c r="R43" s="1572" t="s">
        <v>8</v>
      </c>
      <c r="S43" s="1573">
        <f t="shared" si="12"/>
        <v>100</v>
      </c>
      <c r="T43" s="1572" t="s">
        <v>8</v>
      </c>
      <c r="U43" s="1573">
        <f t="shared" si="13"/>
        <v>100</v>
      </c>
      <c r="V43" s="1572" t="s">
        <v>8</v>
      </c>
      <c r="W43" s="1573">
        <f t="shared" si="14"/>
        <v>100</v>
      </c>
      <c r="X43" s="1566"/>
      <c r="Y43" s="3494"/>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94"/>
      <c r="Q44" s="1571" t="str">
        <f t="shared" si="11"/>
        <v>内部装修维护情况</v>
      </c>
      <c r="R44" s="1572" t="s">
        <v>8</v>
      </c>
      <c r="S44" s="1573">
        <f t="shared" si="12"/>
        <v>100</v>
      </c>
      <c r="T44" s="1572" t="s">
        <v>8</v>
      </c>
      <c r="U44" s="1573">
        <f t="shared" si="13"/>
        <v>100</v>
      </c>
      <c r="V44" s="1572" t="s">
        <v>8</v>
      </c>
      <c r="W44" s="1573">
        <f t="shared" si="14"/>
        <v>100</v>
      </c>
      <c r="X44" s="1566"/>
      <c r="Y44" s="349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94"/>
      <c r="Q45" s="1150">
        <f t="shared" si="11"/>
        <v>111</v>
      </c>
      <c r="R45" s="1567" t="s">
        <v>8</v>
      </c>
      <c r="S45" s="1568">
        <f t="shared" si="12"/>
        <v>100</v>
      </c>
      <c r="T45" s="1567" t="s">
        <v>8</v>
      </c>
      <c r="U45" s="1568">
        <f t="shared" si="13"/>
        <v>100</v>
      </c>
      <c r="V45" s="1567" t="s">
        <v>8</v>
      </c>
      <c r="W45" s="1568">
        <f t="shared" si="14"/>
        <v>100</v>
      </c>
      <c r="X45" s="1569"/>
      <c r="Y45" s="349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94"/>
      <c r="Q46" s="1571">
        <f t="shared" si="11"/>
        <v>111</v>
      </c>
      <c r="R46" s="1572" t="s">
        <v>8</v>
      </c>
      <c r="S46" s="1573">
        <f t="shared" si="12"/>
        <v>100</v>
      </c>
      <c r="T46" s="1572" t="s">
        <v>8</v>
      </c>
      <c r="U46" s="1573">
        <f t="shared" si="13"/>
        <v>100</v>
      </c>
      <c r="V46" s="1572" t="s">
        <v>8</v>
      </c>
      <c r="W46" s="1573">
        <f t="shared" si="14"/>
        <v>100</v>
      </c>
      <c r="X46" s="1566"/>
      <c r="Y46" s="349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73"/>
      <c r="Q47" s="1571">
        <f t="shared" si="11"/>
        <v>111</v>
      </c>
      <c r="R47" s="1572" t="s">
        <v>8</v>
      </c>
      <c r="S47" s="1573">
        <f t="shared" si="12"/>
        <v>100</v>
      </c>
      <c r="T47" s="1572" t="s">
        <v>8</v>
      </c>
      <c r="U47" s="1573">
        <f t="shared" si="13"/>
        <v>100</v>
      </c>
      <c r="V47" s="1572" t="s">
        <v>8</v>
      </c>
      <c r="W47" s="1573">
        <f t="shared" si="14"/>
        <v>100</v>
      </c>
      <c r="X47" s="1566"/>
      <c r="Y47" s="3573"/>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55" t="str">
        <f>A48</f>
        <v>成交单价（元/平方米）</v>
      </c>
      <c r="Q48" s="3457"/>
      <c r="R48" s="3572">
        <f>E48</f>
        <v>0</v>
      </c>
      <c r="S48" s="3572"/>
      <c r="T48" s="3572">
        <f>G48</f>
        <v>0</v>
      </c>
      <c r="U48" s="3572"/>
      <c r="V48" s="3572">
        <f>I48</f>
        <v>0</v>
      </c>
      <c r="W48" s="3572"/>
      <c r="X48" s="1558"/>
      <c r="Y48" s="1580"/>
      <c r="Z48" s="1558"/>
      <c r="AA48" s="1558"/>
      <c r="AB48" s="1558"/>
      <c r="AC48" s="1558"/>
    </row>
    <row r="49" spans="1:29" ht="15.75" thickBot="1">
      <c r="A49" s="614" t="s">
        <v>2764</v>
      </c>
      <c r="B49" s="887"/>
      <c r="C49" s="2657" t="e">
        <f>R50</f>
        <v>#DIV/0!</v>
      </c>
      <c r="D49" s="2658"/>
      <c r="E49" s="2659" t="e">
        <f>R49</f>
        <v>#DIV/0!</v>
      </c>
      <c r="F49" s="2659"/>
      <c r="G49" s="2657" t="e">
        <f>T49</f>
        <v>#DIV/0!</v>
      </c>
      <c r="H49" s="2658"/>
      <c r="I49" s="2659" t="e">
        <f>V49</f>
        <v>#DIV/0!</v>
      </c>
      <c r="J49" s="2658"/>
      <c r="K49" s="1611"/>
      <c r="L49" s="2144"/>
      <c r="M49" s="2134"/>
      <c r="N49" s="2134"/>
      <c r="O49" s="2134"/>
      <c r="P49" s="3455" t="str">
        <f>A49</f>
        <v>比较价格（元/平方米）</v>
      </c>
      <c r="Q49" s="3457"/>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558"/>
      <c r="Y49" s="1558"/>
      <c r="Z49" s="1558"/>
      <c r="AA49" s="1558"/>
      <c r="AB49" s="1558"/>
      <c r="AC49" s="1558"/>
    </row>
    <row r="50" spans="1:29" ht="15.75" thickBot="1">
      <c r="A50" s="620" t="s">
        <v>2937</v>
      </c>
      <c r="B50" s="621"/>
      <c r="C50" s="2660" t="e">
        <f>R50</f>
        <v>#DIV/0!</v>
      </c>
      <c r="D50" s="2660"/>
      <c r="E50" s="2660"/>
      <c r="F50" s="2660"/>
      <c r="G50" s="2660"/>
      <c r="H50" s="2660"/>
      <c r="I50" s="2660"/>
      <c r="J50" s="2660"/>
      <c r="K50" s="1612"/>
      <c r="L50" s="2144"/>
      <c r="M50" s="2134"/>
      <c r="N50" s="2134"/>
      <c r="O50" s="2134"/>
      <c r="P50" s="3574" t="str">
        <f>A50</f>
        <v>估价对象XX用房的比较价格（楼面单价，元/平方米）</v>
      </c>
      <c r="Q50" s="3455"/>
      <c r="R50" s="3571" t="e">
        <f>IF(F1="售价",ROUND(AVERAGE(R49:V49),0),ROUND(AVERAGE(R49:V49),1))</f>
        <v>#DIV/0!</v>
      </c>
      <c r="S50" s="3571"/>
      <c r="T50" s="3571"/>
      <c r="U50" s="3571"/>
      <c r="V50" s="3571"/>
      <c r="W50" s="357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2561</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2562</v>
      </c>
      <c r="C83" s="2622" t="s">
        <v>2563</v>
      </c>
      <c r="D83" s="2622" t="s">
        <v>2564</v>
      </c>
      <c r="E83" s="2622" t="s">
        <v>2565</v>
      </c>
      <c r="F83" s="2622" t="s">
        <v>2566</v>
      </c>
      <c r="G83" s="2622" t="s">
        <v>2567</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2560</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63" t="s">
        <v>522</v>
      </c>
      <c r="D4" s="3464"/>
      <c r="E4" s="3499" t="s">
        <v>523</v>
      </c>
      <c r="F4" s="3500"/>
      <c r="G4" s="3463" t="s">
        <v>524</v>
      </c>
      <c r="H4" s="3464"/>
      <c r="I4" s="3463" t="s">
        <v>525</v>
      </c>
      <c r="J4" s="3464"/>
      <c r="K4" s="513" t="s">
        <v>526</v>
      </c>
      <c r="L4" s="2133"/>
      <c r="M4" s="2134"/>
      <c r="N4" s="2134"/>
      <c r="O4" s="2134"/>
      <c r="P4" s="3465" t="s">
        <v>527</v>
      </c>
      <c r="Q4" s="3466"/>
      <c r="R4" s="3471" t="s">
        <v>523</v>
      </c>
      <c r="S4" s="3472"/>
      <c r="T4" s="3471" t="s">
        <v>524</v>
      </c>
      <c r="U4" s="3472"/>
      <c r="V4" s="3458" t="s">
        <v>525</v>
      </c>
      <c r="W4" s="3458"/>
      <c r="X4" s="1566"/>
      <c r="Y4" s="3471" t="s">
        <v>527</v>
      </c>
      <c r="Z4" s="3472"/>
      <c r="AA4" s="3460" t="s">
        <v>523</v>
      </c>
      <c r="AB4" s="3461" t="s">
        <v>524</v>
      </c>
      <c r="AC4" s="3460" t="s">
        <v>525</v>
      </c>
    </row>
    <row r="5" spans="1:29" ht="15">
      <c r="A5" s="514"/>
      <c r="B5" s="515"/>
      <c r="C5" s="3479" t="s">
        <v>2931</v>
      </c>
      <c r="D5" s="3480"/>
      <c r="E5" s="3501" t="s">
        <v>2932</v>
      </c>
      <c r="F5" s="3502"/>
      <c r="G5" s="3479" t="s">
        <v>2933</v>
      </c>
      <c r="H5" s="3480"/>
      <c r="I5" s="3479" t="s">
        <v>2934</v>
      </c>
      <c r="J5" s="3480"/>
      <c r="K5" s="513"/>
      <c r="L5" s="2133"/>
      <c r="M5" s="2134"/>
      <c r="N5" s="2134"/>
      <c r="O5" s="2134"/>
      <c r="P5" s="3467"/>
      <c r="Q5" s="3468"/>
      <c r="R5" s="3473"/>
      <c r="S5" s="3474"/>
      <c r="T5" s="3473"/>
      <c r="U5" s="3474"/>
      <c r="V5" s="3458"/>
      <c r="W5" s="3458"/>
      <c r="X5" s="1566"/>
      <c r="Y5" s="3473"/>
      <c r="Z5" s="3474"/>
      <c r="AA5" s="3461"/>
      <c r="AB5" s="3461"/>
      <c r="AC5" s="3461"/>
    </row>
    <row r="6" spans="1:29" ht="15.75" thickBot="1">
      <c r="A6" s="516"/>
      <c r="B6" s="517"/>
      <c r="C6" s="3495" t="s">
        <v>2935</v>
      </c>
      <c r="D6" s="3496"/>
      <c r="E6" s="3497" t="s">
        <v>2935</v>
      </c>
      <c r="F6" s="3498"/>
      <c r="G6" s="3495" t="s">
        <v>2935</v>
      </c>
      <c r="H6" s="3496"/>
      <c r="I6" s="3495" t="s">
        <v>2935</v>
      </c>
      <c r="J6" s="3496"/>
      <c r="K6" s="513" t="s">
        <v>528</v>
      </c>
      <c r="L6" s="2133"/>
      <c r="M6" s="2134"/>
      <c r="N6" s="2134"/>
      <c r="O6" s="2134"/>
      <c r="P6" s="3469"/>
      <c r="Q6" s="3470"/>
      <c r="R6" s="3473"/>
      <c r="S6" s="3474"/>
      <c r="T6" s="3475"/>
      <c r="U6" s="3476"/>
      <c r="V6" s="3458"/>
      <c r="W6" s="3458"/>
      <c r="X6" s="1566"/>
      <c r="Y6" s="3475"/>
      <c r="Z6" s="3476"/>
      <c r="AA6" s="3462"/>
      <c r="AB6" s="3462"/>
      <c r="AC6" s="3462"/>
    </row>
    <row r="7" spans="1:29" s="1219" customFormat="1" ht="15.75" thickBot="1">
      <c r="A7" s="2935"/>
      <c r="B7" s="2942" t="s">
        <v>529</v>
      </c>
      <c r="C7" s="518">
        <f>'数据-取费表'!B2</f>
        <v>43209</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88" t="s">
        <v>530</v>
      </c>
      <c r="Q7" s="3490"/>
      <c r="R7" s="1567" t="s">
        <v>8</v>
      </c>
      <c r="S7" s="1568">
        <f t="shared" ref="S7:S15" si="0">F7</f>
        <v>0</v>
      </c>
      <c r="T7" s="1567" t="s">
        <v>8</v>
      </c>
      <c r="U7" s="1568">
        <f t="shared" ref="U7:U15" si="1">H7</f>
        <v>0</v>
      </c>
      <c r="V7" s="1567" t="s">
        <v>8</v>
      </c>
      <c r="W7" s="1568">
        <f t="shared" ref="W7:W15" si="2">J7</f>
        <v>0</v>
      </c>
      <c r="X7" s="1569"/>
      <c r="Y7" s="3488" t="s">
        <v>530</v>
      </c>
      <c r="Z7" s="3489"/>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88" t="s">
        <v>533</v>
      </c>
      <c r="Q8" s="3489"/>
      <c r="R8" s="1567" t="s">
        <v>8</v>
      </c>
      <c r="S8" s="1568">
        <f t="shared" si="0"/>
        <v>0</v>
      </c>
      <c r="T8" s="1567" t="s">
        <v>8</v>
      </c>
      <c r="U8" s="1568">
        <f t="shared" si="1"/>
        <v>0</v>
      </c>
      <c r="V8" s="1567" t="s">
        <v>8</v>
      </c>
      <c r="W8" s="1568">
        <f t="shared" si="2"/>
        <v>0</v>
      </c>
      <c r="X8" s="1569"/>
      <c r="Y8" s="3488" t="s">
        <v>533</v>
      </c>
      <c r="Z8" s="3489"/>
      <c r="AA8" s="1570" t="e">
        <f t="shared" ref="AA8:AA40" si="3">D8/F8</f>
        <v>#DIV/0!</v>
      </c>
      <c r="AB8" s="1570" t="e">
        <f t="shared" ref="AB8:AB40" si="4">D8/H8</f>
        <v>#DIV/0!</v>
      </c>
      <c r="AC8" s="1570" t="e">
        <f t="shared" ref="AC8:AC40" si="5">D8/J8</f>
        <v>#DIV/0!</v>
      </c>
    </row>
    <row r="9" spans="1:29" s="1219" customFormat="1" ht="15">
      <c r="A9" s="2937"/>
      <c r="B9" s="2944" t="s">
        <v>2760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57" t="s">
        <v>535</v>
      </c>
      <c r="Q9" s="1150" t="str">
        <f t="shared" ref="Q9:Q15" si="6">B9</f>
        <v>用途</v>
      </c>
      <c r="R9" s="1567" t="s">
        <v>8</v>
      </c>
      <c r="S9" s="1568">
        <f t="shared" si="0"/>
        <v>100</v>
      </c>
      <c r="T9" s="1567" t="s">
        <v>8</v>
      </c>
      <c r="U9" s="1568">
        <f t="shared" si="1"/>
        <v>100</v>
      </c>
      <c r="V9" s="1567" t="s">
        <v>8</v>
      </c>
      <c r="W9" s="1568">
        <f t="shared" si="2"/>
        <v>100</v>
      </c>
      <c r="X9" s="1569"/>
      <c r="Y9" s="3403" t="s">
        <v>536</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57"/>
      <c r="Q10" s="1150" t="str">
        <f t="shared" si="6"/>
        <v>土地使用年限（年）</v>
      </c>
      <c r="R10" s="1567" t="s">
        <v>8</v>
      </c>
      <c r="S10" s="1568">
        <f t="shared" si="0"/>
        <v>100</v>
      </c>
      <c r="T10" s="1567" t="s">
        <v>8</v>
      </c>
      <c r="U10" s="1568">
        <f t="shared" si="1"/>
        <v>100</v>
      </c>
      <c r="V10" s="1567" t="s">
        <v>8</v>
      </c>
      <c r="W10" s="1568">
        <f t="shared" si="2"/>
        <v>100</v>
      </c>
      <c r="X10" s="1569"/>
      <c r="Y10" s="3403"/>
      <c r="Z10" s="1149"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57"/>
      <c r="Q11" s="1150" t="str">
        <f t="shared" si="6"/>
        <v>容积率</v>
      </c>
      <c r="R11" s="1567" t="s">
        <v>8</v>
      </c>
      <c r="S11" s="1568" t="e">
        <f t="shared" si="0"/>
        <v>#N/A</v>
      </c>
      <c r="T11" s="1567" t="s">
        <v>8</v>
      </c>
      <c r="U11" s="1568" t="e">
        <f t="shared" si="1"/>
        <v>#N/A</v>
      </c>
      <c r="V11" s="1567" t="s">
        <v>8</v>
      </c>
      <c r="W11" s="1568" t="e">
        <f t="shared" si="2"/>
        <v>#N/A</v>
      </c>
      <c r="X11" s="1569"/>
      <c r="Y11" s="3403"/>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57"/>
      <c r="Q12" s="1150">
        <f t="shared" si="6"/>
        <v>111</v>
      </c>
      <c r="R12" s="1567" t="s">
        <v>8</v>
      </c>
      <c r="S12" s="1568">
        <f t="shared" si="0"/>
        <v>100</v>
      </c>
      <c r="T12" s="1567" t="s">
        <v>8</v>
      </c>
      <c r="U12" s="1568">
        <f t="shared" si="1"/>
        <v>100</v>
      </c>
      <c r="V12" s="1567" t="s">
        <v>8</v>
      </c>
      <c r="W12" s="1568">
        <f t="shared" si="2"/>
        <v>100</v>
      </c>
      <c r="X12" s="1569"/>
      <c r="Y12" s="3403"/>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57"/>
      <c r="Q13" s="1150">
        <f t="shared" si="6"/>
        <v>111</v>
      </c>
      <c r="R13" s="1567" t="s">
        <v>8</v>
      </c>
      <c r="S13" s="1568">
        <f t="shared" si="0"/>
        <v>100</v>
      </c>
      <c r="T13" s="1567" t="s">
        <v>8</v>
      </c>
      <c r="U13" s="1568">
        <f t="shared" si="1"/>
        <v>100</v>
      </c>
      <c r="V13" s="1567" t="s">
        <v>8</v>
      </c>
      <c r="W13" s="1568">
        <f t="shared" si="2"/>
        <v>100</v>
      </c>
      <c r="X13" s="1569"/>
      <c r="Y13" s="3403"/>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57"/>
      <c r="Q14" s="1150">
        <f t="shared" si="6"/>
        <v>111</v>
      </c>
      <c r="R14" s="1567" t="s">
        <v>8</v>
      </c>
      <c r="S14" s="1568">
        <f t="shared" si="0"/>
        <v>100</v>
      </c>
      <c r="T14" s="1567" t="s">
        <v>8</v>
      </c>
      <c r="U14" s="1568">
        <f t="shared" si="1"/>
        <v>100</v>
      </c>
      <c r="V14" s="1567" t="s">
        <v>8</v>
      </c>
      <c r="W14" s="1568">
        <f t="shared" si="2"/>
        <v>100</v>
      </c>
      <c r="X14" s="1569"/>
      <c r="Y14" s="3403"/>
      <c r="Z14" s="1149">
        <f t="shared" si="7"/>
        <v>111</v>
      </c>
      <c r="AA14" s="1570">
        <f t="shared" si="3"/>
        <v>1</v>
      </c>
      <c r="AB14" s="1570">
        <f t="shared" si="4"/>
        <v>1</v>
      </c>
      <c r="AC14" s="1570">
        <f t="shared" si="5"/>
        <v>1</v>
      </c>
    </row>
    <row r="15" spans="1:29" ht="57">
      <c r="A15" s="2933" t="s">
        <v>2758</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91" t="s">
        <v>540</v>
      </c>
      <c r="Q15" s="1571" t="str">
        <f t="shared" si="6"/>
        <v>产业集聚程度</v>
      </c>
      <c r="R15" s="1572" t="s">
        <v>8</v>
      </c>
      <c r="S15" s="1573">
        <f t="shared" si="0"/>
        <v>100</v>
      </c>
      <c r="T15" s="1572" t="s">
        <v>8</v>
      </c>
      <c r="U15" s="1573">
        <f t="shared" si="1"/>
        <v>100</v>
      </c>
      <c r="V15" s="1572" t="s">
        <v>8</v>
      </c>
      <c r="W15" s="1573">
        <f t="shared" si="2"/>
        <v>100</v>
      </c>
      <c r="X15" s="1566"/>
      <c r="Y15" s="3491"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92"/>
      <c r="Q16" s="1571"/>
      <c r="R16" s="1572"/>
      <c r="S16" s="1573"/>
      <c r="T16" s="1572"/>
      <c r="U16" s="1573"/>
      <c r="V16" s="1572"/>
      <c r="W16" s="1573"/>
      <c r="X16" s="1566"/>
      <c r="Y16" s="3492"/>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92"/>
      <c r="Q17" s="1571" t="str">
        <f>B17</f>
        <v>交通便捷度</v>
      </c>
      <c r="R17" s="1572" t="s">
        <v>8</v>
      </c>
      <c r="S17" s="1573">
        <f>F17</f>
        <v>100</v>
      </c>
      <c r="T17" s="1572" t="s">
        <v>8</v>
      </c>
      <c r="U17" s="1573">
        <f>H17</f>
        <v>100</v>
      </c>
      <c r="V17" s="1572" t="s">
        <v>8</v>
      </c>
      <c r="W17" s="1573">
        <f>J17</f>
        <v>100</v>
      </c>
      <c r="X17" s="1566"/>
      <c r="Y17" s="349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92"/>
      <c r="Q18" s="1571"/>
      <c r="R18" s="1572"/>
      <c r="S18" s="1573"/>
      <c r="T18" s="1572"/>
      <c r="U18" s="1573"/>
      <c r="V18" s="1572"/>
      <c r="W18" s="1573"/>
      <c r="X18" s="1566"/>
      <c r="Y18" s="3492"/>
      <c r="Z18" s="1574"/>
      <c r="AA18" s="1575">
        <v>1</v>
      </c>
      <c r="AB18" s="1575">
        <v>1</v>
      </c>
      <c r="AC18" s="1575">
        <v>1</v>
      </c>
    </row>
    <row r="19" spans="1:29" ht="42.75">
      <c r="A19" s="531"/>
      <c r="B19" s="2627" t="s">
        <v>2550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92"/>
      <c r="Q19" s="1571" t="str">
        <f>B19</f>
        <v>公共配套设施</v>
      </c>
      <c r="R19" s="1572" t="s">
        <v>8</v>
      </c>
      <c r="S19" s="1573">
        <f>F19</f>
        <v>100</v>
      </c>
      <c r="T19" s="1572" t="s">
        <v>8</v>
      </c>
      <c r="U19" s="1573">
        <f>H19</f>
        <v>100</v>
      </c>
      <c r="V19" s="1572" t="s">
        <v>8</v>
      </c>
      <c r="W19" s="1573">
        <f>J19</f>
        <v>100</v>
      </c>
      <c r="X19" s="1566"/>
      <c r="Y19" s="349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92"/>
      <c r="Q20" s="1571"/>
      <c r="R20" s="1572"/>
      <c r="S20" s="1573"/>
      <c r="T20" s="1572"/>
      <c r="U20" s="1573"/>
      <c r="V20" s="1572"/>
      <c r="W20" s="1573"/>
      <c r="X20" s="1566"/>
      <c r="Y20" s="3492"/>
      <c r="Z20" s="1574"/>
      <c r="AA20" s="1575">
        <v>1</v>
      </c>
      <c r="AB20" s="1575">
        <v>1</v>
      </c>
      <c r="AC20" s="1575">
        <v>1</v>
      </c>
    </row>
    <row r="21" spans="1:29" ht="28.5">
      <c r="A21" s="531"/>
      <c r="B21" s="2615" t="s">
        <v>2562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92"/>
      <c r="Q21" s="2603" t="str">
        <f>B21</f>
        <v>基础设施水平</v>
      </c>
      <c r="R21" s="1572" t="s">
        <v>8</v>
      </c>
      <c r="S21" s="1573">
        <f>F21</f>
        <v>100</v>
      </c>
      <c r="T21" s="1572" t="s">
        <v>8</v>
      </c>
      <c r="U21" s="1573">
        <f>H21</f>
        <v>100</v>
      </c>
      <c r="V21" s="1572" t="s">
        <v>8</v>
      </c>
      <c r="W21" s="1573">
        <f>J21</f>
        <v>100</v>
      </c>
      <c r="X21" s="2605"/>
      <c r="Y21" s="3492"/>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92"/>
      <c r="Q22" s="2603"/>
      <c r="R22" s="1572"/>
      <c r="S22" s="1573"/>
      <c r="T22" s="1572"/>
      <c r="U22" s="1573"/>
      <c r="V22" s="1572"/>
      <c r="W22" s="1573"/>
      <c r="X22" s="2605"/>
      <c r="Y22" s="3492"/>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92"/>
      <c r="Q23" s="1571" t="str">
        <f>B23</f>
        <v>环境质量</v>
      </c>
      <c r="R23" s="1572" t="s">
        <v>8</v>
      </c>
      <c r="S23" s="1573">
        <f>F23</f>
        <v>100</v>
      </c>
      <c r="T23" s="1572" t="s">
        <v>8</v>
      </c>
      <c r="U23" s="1573">
        <f>H23</f>
        <v>100</v>
      </c>
      <c r="V23" s="1572" t="s">
        <v>8</v>
      </c>
      <c r="W23" s="1573">
        <f>J23</f>
        <v>100</v>
      </c>
      <c r="X23" s="1566"/>
      <c r="Y23" s="349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92"/>
      <c r="Q24" s="1571"/>
      <c r="R24" s="1572"/>
      <c r="S24" s="1573"/>
      <c r="T24" s="1572"/>
      <c r="U24" s="1573"/>
      <c r="V24" s="1572"/>
      <c r="W24" s="1573"/>
      <c r="X24" s="1566"/>
      <c r="Y24" s="349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92"/>
      <c r="Q25" s="1571">
        <f>B25</f>
        <v>111</v>
      </c>
      <c r="R25" s="1572" t="s">
        <v>8</v>
      </c>
      <c r="S25" s="1573">
        <f>F25</f>
        <v>100</v>
      </c>
      <c r="T25" s="1572" t="s">
        <v>8</v>
      </c>
      <c r="U25" s="1573">
        <f>H25</f>
        <v>100</v>
      </c>
      <c r="V25" s="1572" t="s">
        <v>8</v>
      </c>
      <c r="W25" s="1573">
        <f>J25</f>
        <v>100</v>
      </c>
      <c r="X25" s="1566"/>
      <c r="Y25" s="349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92"/>
      <c r="Q26" s="1571">
        <f t="shared" ref="Q26:Q40" si="11">B26</f>
        <v>111</v>
      </c>
      <c r="R26" s="1572" t="s">
        <v>8</v>
      </c>
      <c r="S26" s="1573">
        <f>F26</f>
        <v>100</v>
      </c>
      <c r="T26" s="1572" t="s">
        <v>8</v>
      </c>
      <c r="U26" s="1573">
        <f>H26</f>
        <v>100</v>
      </c>
      <c r="V26" s="1572" t="s">
        <v>8</v>
      </c>
      <c r="W26" s="1573">
        <f>J26</f>
        <v>100</v>
      </c>
      <c r="X26" s="1566"/>
      <c r="Y26" s="349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92"/>
      <c r="Q27" s="1150">
        <f t="shared" si="11"/>
        <v>111</v>
      </c>
      <c r="R27" s="1567" t="s">
        <v>8</v>
      </c>
      <c r="S27" s="1568">
        <f>F27</f>
        <v>100</v>
      </c>
      <c r="T27" s="1567" t="s">
        <v>8</v>
      </c>
      <c r="U27" s="1568">
        <f>H27</f>
        <v>100</v>
      </c>
      <c r="V27" s="1567" t="s">
        <v>8</v>
      </c>
      <c r="W27" s="1568">
        <f>J27</f>
        <v>100</v>
      </c>
      <c r="X27" s="1569"/>
      <c r="Y27" s="349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92"/>
      <c r="Q28" s="1571">
        <f t="shared" si="11"/>
        <v>111</v>
      </c>
      <c r="R28" s="1572" t="s">
        <v>8</v>
      </c>
      <c r="S28" s="1573">
        <f t="shared" ref="S28:S40" si="12">F28</f>
        <v>100</v>
      </c>
      <c r="T28" s="1572" t="s">
        <v>8</v>
      </c>
      <c r="U28" s="1573">
        <f t="shared" ref="U28:U40" si="13">H28</f>
        <v>100</v>
      </c>
      <c r="V28" s="1572" t="s">
        <v>8</v>
      </c>
      <c r="W28" s="1573">
        <f t="shared" ref="W28:W40" si="14">J28</f>
        <v>100</v>
      </c>
      <c r="X28" s="1566"/>
      <c r="Y28" s="3492"/>
      <c r="Z28" s="1574">
        <f t="shared" ref="Z28:Z40" si="15">Q28</f>
        <v>111</v>
      </c>
      <c r="AA28" s="1575">
        <f t="shared" si="3"/>
        <v>1</v>
      </c>
      <c r="AB28" s="1575">
        <f t="shared" si="4"/>
        <v>1</v>
      </c>
      <c r="AC28" s="1575">
        <f t="shared" si="5"/>
        <v>1</v>
      </c>
    </row>
    <row r="29" spans="1:29" ht="15">
      <c r="A29" s="2931" t="s">
        <v>2759</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93" t="s">
        <v>550</v>
      </c>
      <c r="Q29" s="1571" t="str">
        <f t="shared" si="11"/>
        <v>建筑类型</v>
      </c>
      <c r="R29" s="1572" t="s">
        <v>8</v>
      </c>
      <c r="S29" s="1573">
        <f t="shared" si="12"/>
        <v>100</v>
      </c>
      <c r="T29" s="1572" t="s">
        <v>8</v>
      </c>
      <c r="U29" s="1573">
        <f t="shared" si="13"/>
        <v>100</v>
      </c>
      <c r="V29" s="1572" t="s">
        <v>8</v>
      </c>
      <c r="W29" s="1573">
        <f t="shared" si="14"/>
        <v>100</v>
      </c>
      <c r="X29" s="1566"/>
      <c r="Y29" s="3494"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94"/>
      <c r="Q30" s="1604" t="str">
        <f t="shared" si="11"/>
        <v>项目建筑规模</v>
      </c>
      <c r="R30" s="1576" t="s">
        <v>8</v>
      </c>
      <c r="S30" s="1577" t="e">
        <f t="shared" si="12"/>
        <v>#N/A</v>
      </c>
      <c r="T30" s="1576" t="s">
        <v>8</v>
      </c>
      <c r="U30" s="1577" t="e">
        <f t="shared" si="13"/>
        <v>#N/A</v>
      </c>
      <c r="V30" s="1576" t="s">
        <v>8</v>
      </c>
      <c r="W30" s="1577" t="e">
        <f t="shared" si="14"/>
        <v>#N/A</v>
      </c>
      <c r="X30" s="1578"/>
      <c r="Y30" s="3494"/>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94"/>
      <c r="Q31" s="1571" t="str">
        <f t="shared" si="11"/>
        <v>建筑结构</v>
      </c>
      <c r="R31" s="1572" t="s">
        <v>8</v>
      </c>
      <c r="S31" s="1573">
        <f t="shared" si="12"/>
        <v>100</v>
      </c>
      <c r="T31" s="1572" t="s">
        <v>8</v>
      </c>
      <c r="U31" s="1573">
        <f t="shared" si="13"/>
        <v>100</v>
      </c>
      <c r="V31" s="1572" t="s">
        <v>8</v>
      </c>
      <c r="W31" s="1573">
        <f t="shared" si="14"/>
        <v>100</v>
      </c>
      <c r="X31" s="1566"/>
      <c r="Y31" s="3494"/>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94"/>
      <c r="Q32" s="1571" t="str">
        <f t="shared" si="11"/>
        <v>公共部分装修</v>
      </c>
      <c r="R32" s="1572" t="s">
        <v>8</v>
      </c>
      <c r="S32" s="1573">
        <f t="shared" si="12"/>
        <v>100</v>
      </c>
      <c r="T32" s="1572" t="s">
        <v>8</v>
      </c>
      <c r="U32" s="1573">
        <f t="shared" si="13"/>
        <v>100</v>
      </c>
      <c r="V32" s="1572" t="s">
        <v>8</v>
      </c>
      <c r="W32" s="1573">
        <f t="shared" si="14"/>
        <v>100</v>
      </c>
      <c r="X32" s="1566"/>
      <c r="Y32" s="3494"/>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94"/>
      <c r="Q33" s="1571" t="str">
        <f t="shared" si="11"/>
        <v>成新度</v>
      </c>
      <c r="R33" s="1572" t="s">
        <v>8</v>
      </c>
      <c r="S33" s="1573" t="e">
        <f t="shared" si="12"/>
        <v>#N/A</v>
      </c>
      <c r="T33" s="1572" t="s">
        <v>8</v>
      </c>
      <c r="U33" s="1573" t="e">
        <f t="shared" si="13"/>
        <v>#N/A</v>
      </c>
      <c r="V33" s="1572" t="s">
        <v>8</v>
      </c>
      <c r="W33" s="1573" t="e">
        <f t="shared" si="14"/>
        <v>#N/A</v>
      </c>
      <c r="X33" s="1566"/>
      <c r="Y33" s="3494"/>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94"/>
      <c r="Q34" s="1150" t="str">
        <f t="shared" si="11"/>
        <v>物业管理</v>
      </c>
      <c r="R34" s="1567" t="s">
        <v>8</v>
      </c>
      <c r="S34" s="1568">
        <f t="shared" si="12"/>
        <v>100</v>
      </c>
      <c r="T34" s="1567" t="s">
        <v>8</v>
      </c>
      <c r="U34" s="1568">
        <f t="shared" si="13"/>
        <v>100</v>
      </c>
      <c r="V34" s="1567" t="s">
        <v>8</v>
      </c>
      <c r="W34" s="1568">
        <f t="shared" si="14"/>
        <v>100</v>
      </c>
      <c r="X34" s="1569"/>
      <c r="Y34" s="3494"/>
      <c r="Z34" s="1149" t="str">
        <f t="shared" si="15"/>
        <v>物业管理</v>
      </c>
      <c r="AA34" s="1570">
        <f t="shared" si="3"/>
        <v>1</v>
      </c>
      <c r="AB34" s="1570">
        <f t="shared" si="4"/>
        <v>1</v>
      </c>
      <c r="AC34" s="1570">
        <f t="shared" si="5"/>
        <v>1</v>
      </c>
    </row>
    <row r="35" spans="1:29" ht="15">
      <c r="A35" s="593"/>
      <c r="B35" s="1895"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94" t="s">
        <v>550</v>
      </c>
      <c r="Q35" s="1571" t="str">
        <f t="shared" si="11"/>
        <v>市政基础设施</v>
      </c>
      <c r="R35" s="1572" t="s">
        <v>8</v>
      </c>
      <c r="S35" s="1573">
        <f t="shared" si="12"/>
        <v>100</v>
      </c>
      <c r="T35" s="1572" t="s">
        <v>8</v>
      </c>
      <c r="U35" s="1573">
        <f t="shared" si="13"/>
        <v>100</v>
      </c>
      <c r="V35" s="1572" t="s">
        <v>8</v>
      </c>
      <c r="W35" s="1573">
        <f t="shared" si="14"/>
        <v>100</v>
      </c>
      <c r="X35" s="1566"/>
      <c r="Y35" s="3494"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94"/>
      <c r="Q36" s="1571" t="str">
        <f t="shared" si="11"/>
        <v>内部装修</v>
      </c>
      <c r="R36" s="1572" t="s">
        <v>8</v>
      </c>
      <c r="S36" s="1573">
        <f t="shared" si="12"/>
        <v>100</v>
      </c>
      <c r="T36" s="1572" t="s">
        <v>8</v>
      </c>
      <c r="U36" s="1573">
        <f t="shared" si="13"/>
        <v>100</v>
      </c>
      <c r="V36" s="1572" t="s">
        <v>8</v>
      </c>
      <c r="W36" s="1573">
        <f t="shared" si="14"/>
        <v>100</v>
      </c>
      <c r="X36" s="1566"/>
      <c r="Y36" s="3494"/>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94"/>
      <c r="Q37" s="1571" t="str">
        <f t="shared" si="11"/>
        <v>内部装修状况</v>
      </c>
      <c r="R37" s="1572" t="s">
        <v>8</v>
      </c>
      <c r="S37" s="1573">
        <f t="shared" si="12"/>
        <v>100</v>
      </c>
      <c r="T37" s="1572" t="s">
        <v>8</v>
      </c>
      <c r="U37" s="1573">
        <f t="shared" si="13"/>
        <v>100</v>
      </c>
      <c r="V37" s="1572" t="s">
        <v>8</v>
      </c>
      <c r="W37" s="1573">
        <f t="shared" si="14"/>
        <v>100</v>
      </c>
      <c r="X37" s="1566"/>
      <c r="Y37" s="349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94"/>
      <c r="Q38" s="1604">
        <f t="shared" si="11"/>
        <v>111</v>
      </c>
      <c r="R38" s="1576" t="s">
        <v>8</v>
      </c>
      <c r="S38" s="1577">
        <f t="shared" si="12"/>
        <v>100</v>
      </c>
      <c r="T38" s="1576" t="s">
        <v>8</v>
      </c>
      <c r="U38" s="1577">
        <f t="shared" si="13"/>
        <v>100</v>
      </c>
      <c r="V38" s="1576" t="s">
        <v>8</v>
      </c>
      <c r="W38" s="1577">
        <f t="shared" si="14"/>
        <v>100</v>
      </c>
      <c r="X38" s="1578"/>
      <c r="Y38" s="349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94"/>
      <c r="Q39" s="1571">
        <f t="shared" si="11"/>
        <v>111</v>
      </c>
      <c r="R39" s="1572" t="s">
        <v>8</v>
      </c>
      <c r="S39" s="1573">
        <f t="shared" si="12"/>
        <v>100</v>
      </c>
      <c r="T39" s="1572" t="s">
        <v>8</v>
      </c>
      <c r="U39" s="1573">
        <f t="shared" si="13"/>
        <v>100</v>
      </c>
      <c r="V39" s="1572" t="s">
        <v>8</v>
      </c>
      <c r="W39" s="1573">
        <f t="shared" si="14"/>
        <v>100</v>
      </c>
      <c r="X39" s="1566"/>
      <c r="Y39" s="349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573"/>
      <c r="Q40" s="1571">
        <f t="shared" si="11"/>
        <v>111</v>
      </c>
      <c r="R40" s="1572" t="s">
        <v>8</v>
      </c>
      <c r="S40" s="1573">
        <f t="shared" si="12"/>
        <v>100</v>
      </c>
      <c r="T40" s="1572" t="s">
        <v>8</v>
      </c>
      <c r="U40" s="1573">
        <f t="shared" si="13"/>
        <v>100</v>
      </c>
      <c r="V40" s="1572" t="s">
        <v>8</v>
      </c>
      <c r="W40" s="1573">
        <f t="shared" si="14"/>
        <v>100</v>
      </c>
      <c r="X40" s="1566"/>
      <c r="Y40" s="3573"/>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57" t="str">
        <f>A41</f>
        <v>成交单价（元/平方米）</v>
      </c>
      <c r="Q41" s="3457"/>
      <c r="R41" s="3572">
        <f>E41</f>
        <v>0</v>
      </c>
      <c r="S41" s="3572"/>
      <c r="T41" s="3572">
        <f>G41</f>
        <v>0</v>
      </c>
      <c r="U41" s="3572"/>
      <c r="V41" s="3572">
        <f>I41</f>
        <v>0</v>
      </c>
      <c r="W41" s="3572"/>
      <c r="X41" s="1558"/>
      <c r="Y41" s="1580"/>
      <c r="Z41" s="1558"/>
      <c r="AA41" s="1558"/>
      <c r="AB41" s="1558"/>
      <c r="AC41" s="1558"/>
    </row>
    <row r="42" spans="1:29" ht="15.75" thickBot="1">
      <c r="A42" s="614" t="s">
        <v>2764</v>
      </c>
      <c r="B42" s="887"/>
      <c r="C42" s="2657" t="e">
        <f>R43</f>
        <v>#DIV/0!</v>
      </c>
      <c r="D42" s="2658"/>
      <c r="E42" s="2659" t="e">
        <f>R42</f>
        <v>#DIV/0!</v>
      </c>
      <c r="F42" s="2659"/>
      <c r="G42" s="2657" t="e">
        <f>T42</f>
        <v>#DIV/0!</v>
      </c>
      <c r="H42" s="2658"/>
      <c r="I42" s="2659" t="e">
        <f>V42</f>
        <v>#DIV/0!</v>
      </c>
      <c r="J42" s="2658"/>
      <c r="K42" s="1611"/>
      <c r="L42" s="2144"/>
      <c r="M42" s="2145"/>
      <c r="N42" s="2134"/>
      <c r="O42" s="2145"/>
      <c r="P42" s="3457" t="str">
        <f>A42</f>
        <v>比较价格（元/平方米）</v>
      </c>
      <c r="Q42" s="3457"/>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558"/>
      <c r="Y42" s="1558"/>
      <c r="Z42" s="1558"/>
      <c r="AA42" s="1558"/>
      <c r="AB42" s="1558"/>
      <c r="AC42" s="1558"/>
    </row>
    <row r="43" spans="1:29" ht="15.75" thickBot="1">
      <c r="A43" s="620" t="s">
        <v>2937</v>
      </c>
      <c r="B43" s="621"/>
      <c r="C43" s="2660" t="e">
        <f>R43</f>
        <v>#DIV/0!</v>
      </c>
      <c r="D43" s="2660"/>
      <c r="E43" s="2660"/>
      <c r="F43" s="2660"/>
      <c r="G43" s="2660"/>
      <c r="H43" s="2660"/>
      <c r="I43" s="2660"/>
      <c r="J43" s="2660"/>
      <c r="K43" s="1612"/>
      <c r="L43" s="2144"/>
      <c r="M43" s="2145"/>
      <c r="N43" s="2145"/>
      <c r="O43" s="2145"/>
      <c r="P43" s="3454" t="str">
        <f>A43</f>
        <v>估价对象XX用房的比较价格（楼面单价，元/平方米）</v>
      </c>
      <c r="Q43" s="3455"/>
      <c r="R43" s="3571" t="e">
        <f>IF(F1="售价",ROUND(AVERAGE(R42:V42),0),ROUND(AVERAGE(R42:V42),1))</f>
        <v>#DIV/0!</v>
      </c>
      <c r="S43" s="3571"/>
      <c r="T43" s="3571"/>
      <c r="U43" s="3571"/>
      <c r="V43" s="3571"/>
      <c r="W43" s="357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2561</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2562</v>
      </c>
      <c r="C76" s="2622" t="s">
        <v>2563</v>
      </c>
      <c r="D76" s="2622" t="s">
        <v>2564</v>
      </c>
      <c r="E76" s="2622" t="s">
        <v>2565</v>
      </c>
      <c r="F76" s="2622" t="s">
        <v>2566</v>
      </c>
      <c r="G76" s="2622" t="s">
        <v>2567</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2560</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63" t="s">
        <v>798</v>
      </c>
      <c r="D4" s="3464"/>
      <c r="E4" s="3463" t="s">
        <v>799</v>
      </c>
      <c r="F4" s="3464"/>
      <c r="G4" s="3463" t="s">
        <v>800</v>
      </c>
      <c r="H4" s="3464"/>
      <c r="I4" s="3463" t="s">
        <v>801</v>
      </c>
      <c r="J4" s="3464"/>
      <c r="K4" s="513" t="s">
        <v>802</v>
      </c>
      <c r="L4" s="2133"/>
      <c r="M4" s="2134"/>
      <c r="N4" s="2134"/>
      <c r="O4" s="2134"/>
      <c r="P4" s="3465" t="s">
        <v>803</v>
      </c>
      <c r="Q4" s="3466"/>
      <c r="R4" s="3471" t="s">
        <v>799</v>
      </c>
      <c r="S4" s="3472"/>
      <c r="T4" s="3471" t="s">
        <v>800</v>
      </c>
      <c r="U4" s="3472"/>
      <c r="V4" s="3458" t="s">
        <v>801</v>
      </c>
      <c r="W4" s="3458"/>
      <c r="X4" s="1566"/>
      <c r="Y4" s="3471" t="s">
        <v>803</v>
      </c>
      <c r="Z4" s="3472"/>
      <c r="AA4" s="3460" t="s">
        <v>799</v>
      </c>
      <c r="AB4" s="3461" t="s">
        <v>800</v>
      </c>
      <c r="AC4" s="3460" t="s">
        <v>801</v>
      </c>
    </row>
    <row r="5" spans="1:29" ht="15">
      <c r="A5" s="514"/>
      <c r="B5" s="515"/>
      <c r="C5" s="3479" t="s">
        <v>2931</v>
      </c>
      <c r="D5" s="3480"/>
      <c r="E5" s="3479" t="s">
        <v>2932</v>
      </c>
      <c r="F5" s="3480"/>
      <c r="G5" s="3479" t="s">
        <v>2933</v>
      </c>
      <c r="H5" s="3480"/>
      <c r="I5" s="3479" t="s">
        <v>2934</v>
      </c>
      <c r="J5" s="3480"/>
      <c r="K5" s="513"/>
      <c r="L5" s="2133"/>
      <c r="M5" s="2134"/>
      <c r="N5" s="2134"/>
      <c r="O5" s="2134"/>
      <c r="P5" s="3467"/>
      <c r="Q5" s="3468"/>
      <c r="R5" s="3473"/>
      <c r="S5" s="3474"/>
      <c r="T5" s="3473"/>
      <c r="U5" s="3474"/>
      <c r="V5" s="3458"/>
      <c r="W5" s="3458"/>
      <c r="X5" s="1566"/>
      <c r="Y5" s="3473"/>
      <c r="Z5" s="3474"/>
      <c r="AA5" s="3461"/>
      <c r="AB5" s="3461"/>
      <c r="AC5" s="3461"/>
    </row>
    <row r="6" spans="1:29" ht="15.75" thickBot="1">
      <c r="A6" s="516"/>
      <c r="B6" s="517"/>
      <c r="C6" s="3495" t="s">
        <v>2935</v>
      </c>
      <c r="D6" s="3496"/>
      <c r="E6" s="3482" t="s">
        <v>2935</v>
      </c>
      <c r="F6" s="3478"/>
      <c r="G6" s="3495" t="s">
        <v>2935</v>
      </c>
      <c r="H6" s="3496"/>
      <c r="I6" s="3495" t="s">
        <v>2935</v>
      </c>
      <c r="J6" s="3496"/>
      <c r="K6" s="513" t="s">
        <v>528</v>
      </c>
      <c r="L6" s="2133"/>
      <c r="M6" s="2134"/>
      <c r="N6" s="2134"/>
      <c r="O6" s="2134"/>
      <c r="P6" s="3469"/>
      <c r="Q6" s="3470"/>
      <c r="R6" s="3473"/>
      <c r="S6" s="3474"/>
      <c r="T6" s="3475"/>
      <c r="U6" s="3476"/>
      <c r="V6" s="3458"/>
      <c r="W6" s="3458"/>
      <c r="X6" s="1566"/>
      <c r="Y6" s="3475"/>
      <c r="Z6" s="3476"/>
      <c r="AA6" s="3462"/>
      <c r="AB6" s="3462"/>
      <c r="AC6" s="3462"/>
    </row>
    <row r="7" spans="1:29" s="1219" customFormat="1" ht="15.75" thickBot="1">
      <c r="A7" s="2935"/>
      <c r="B7" s="2942" t="s">
        <v>529</v>
      </c>
      <c r="C7" s="518">
        <f>'数据-取费表'!B2</f>
        <v>43209</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88" t="s">
        <v>530</v>
      </c>
      <c r="Q7" s="3490"/>
      <c r="R7" s="1567" t="s">
        <v>8</v>
      </c>
      <c r="S7" s="1568">
        <f t="shared" ref="S7:S14" si="0">F7</f>
        <v>0</v>
      </c>
      <c r="T7" s="1567" t="s">
        <v>8</v>
      </c>
      <c r="U7" s="1568">
        <f t="shared" ref="U7:U14" si="1">H7</f>
        <v>0</v>
      </c>
      <c r="V7" s="1567" t="s">
        <v>8</v>
      </c>
      <c r="W7" s="1568">
        <f t="shared" ref="W7:W14" si="2">J7</f>
        <v>0</v>
      </c>
      <c r="X7" s="1569"/>
      <c r="Y7" s="3488" t="s">
        <v>530</v>
      </c>
      <c r="Z7" s="3489"/>
      <c r="AA7" s="1570" t="e">
        <f>D7/F7</f>
        <v>#DIV/0!</v>
      </c>
      <c r="AB7" s="1570" t="e">
        <f>D7/H7</f>
        <v>#DIV/0!</v>
      </c>
      <c r="AC7" s="1570" t="e">
        <f>D7/J7</f>
        <v>#DIV/0!</v>
      </c>
    </row>
    <row r="8" spans="1:29" s="1219"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88" t="s">
        <v>533</v>
      </c>
      <c r="Q8" s="3489"/>
      <c r="R8" s="1567" t="s">
        <v>8</v>
      </c>
      <c r="S8" s="1568">
        <f t="shared" si="0"/>
        <v>0</v>
      </c>
      <c r="T8" s="1567" t="s">
        <v>8</v>
      </c>
      <c r="U8" s="1568">
        <f t="shared" si="1"/>
        <v>0</v>
      </c>
      <c r="V8" s="1567" t="s">
        <v>8</v>
      </c>
      <c r="W8" s="1568">
        <f t="shared" si="2"/>
        <v>0</v>
      </c>
      <c r="X8" s="1569"/>
      <c r="Y8" s="3488" t="s">
        <v>533</v>
      </c>
      <c r="Z8" s="3489"/>
      <c r="AA8" s="1570" t="e">
        <f t="shared" ref="AA8:AA36" si="3">D8/F8</f>
        <v>#DIV/0!</v>
      </c>
      <c r="AB8" s="1570" t="e">
        <f t="shared" ref="AB8:AB36" si="4">D8/H8</f>
        <v>#DIV/0!</v>
      </c>
      <c r="AC8" s="1570" t="e">
        <f t="shared" ref="AC8:AC36" si="5">D8/J8</f>
        <v>#DIV/0!</v>
      </c>
    </row>
    <row r="9" spans="1:29" s="1219" customFormat="1" ht="15">
      <c r="A9" s="2937"/>
      <c r="B9" s="2944" t="s">
        <v>2760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57" t="s">
        <v>535</v>
      </c>
      <c r="Q9" s="1150" t="str">
        <f t="shared" ref="Q9:Q14" si="6">B9</f>
        <v>用途</v>
      </c>
      <c r="R9" s="1567" t="s">
        <v>8</v>
      </c>
      <c r="S9" s="1568">
        <f t="shared" si="0"/>
        <v>100</v>
      </c>
      <c r="T9" s="1567" t="s">
        <v>8</v>
      </c>
      <c r="U9" s="1568">
        <f t="shared" si="1"/>
        <v>100</v>
      </c>
      <c r="V9" s="1567" t="s">
        <v>8</v>
      </c>
      <c r="W9" s="1568">
        <f t="shared" si="2"/>
        <v>100</v>
      </c>
      <c r="X9" s="1569"/>
      <c r="Y9" s="3403" t="s">
        <v>536</v>
      </c>
      <c r="Z9" s="1149" t="str">
        <f t="shared" ref="Z9:Z14" si="7">Q9</f>
        <v>用途</v>
      </c>
      <c r="AA9" s="1570">
        <f t="shared" si="3"/>
        <v>1</v>
      </c>
      <c r="AB9" s="1570">
        <f t="shared" si="4"/>
        <v>1</v>
      </c>
      <c r="AC9" s="1570">
        <f t="shared" si="5"/>
        <v>1</v>
      </c>
    </row>
    <row r="10" spans="1:29" s="1337" customFormat="1" ht="27">
      <c r="A10" s="2938"/>
      <c r="B10" s="2943" t="s">
        <v>2761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57"/>
      <c r="Q10" s="1150" t="str">
        <f t="shared" si="6"/>
        <v>土地使用年限（年）</v>
      </c>
      <c r="R10" s="1567" t="s">
        <v>8</v>
      </c>
      <c r="S10" s="1568">
        <f t="shared" si="0"/>
        <v>100</v>
      </c>
      <c r="T10" s="1567" t="s">
        <v>8</v>
      </c>
      <c r="U10" s="1568">
        <f t="shared" si="1"/>
        <v>100</v>
      </c>
      <c r="V10" s="1567" t="s">
        <v>8</v>
      </c>
      <c r="W10" s="1568">
        <f t="shared" si="2"/>
        <v>100</v>
      </c>
      <c r="X10" s="1569"/>
      <c r="Y10" s="3403"/>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57"/>
      <c r="Q11" s="1150">
        <f t="shared" si="6"/>
        <v>111</v>
      </c>
      <c r="R11" s="1567" t="s">
        <v>8</v>
      </c>
      <c r="S11" s="1568">
        <f t="shared" si="0"/>
        <v>100</v>
      </c>
      <c r="T11" s="1567" t="s">
        <v>8</v>
      </c>
      <c r="U11" s="1568">
        <f t="shared" si="1"/>
        <v>100</v>
      </c>
      <c r="V11" s="1567" t="s">
        <v>8</v>
      </c>
      <c r="W11" s="1568">
        <f t="shared" si="2"/>
        <v>100</v>
      </c>
      <c r="X11" s="1569"/>
      <c r="Y11" s="3403"/>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57"/>
      <c r="Q12" s="1150">
        <f t="shared" si="6"/>
        <v>111</v>
      </c>
      <c r="R12" s="1567" t="s">
        <v>8</v>
      </c>
      <c r="S12" s="1568">
        <f t="shared" si="0"/>
        <v>100</v>
      </c>
      <c r="T12" s="1567" t="s">
        <v>8</v>
      </c>
      <c r="U12" s="1568">
        <f t="shared" si="1"/>
        <v>100</v>
      </c>
      <c r="V12" s="1567" t="s">
        <v>8</v>
      </c>
      <c r="W12" s="1568">
        <f t="shared" si="2"/>
        <v>100</v>
      </c>
      <c r="X12" s="1569"/>
      <c r="Y12" s="3403"/>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57"/>
      <c r="Q13" s="1150">
        <f t="shared" si="6"/>
        <v>111</v>
      </c>
      <c r="R13" s="1567" t="s">
        <v>8</v>
      </c>
      <c r="S13" s="1568">
        <f t="shared" si="0"/>
        <v>100</v>
      </c>
      <c r="T13" s="1567" t="s">
        <v>8</v>
      </c>
      <c r="U13" s="1568">
        <f t="shared" si="1"/>
        <v>100</v>
      </c>
      <c r="V13" s="1567" t="s">
        <v>8</v>
      </c>
      <c r="W13" s="1568">
        <f t="shared" si="2"/>
        <v>100</v>
      </c>
      <c r="X13" s="1569"/>
      <c r="Y13" s="3403"/>
      <c r="Z13" s="1149">
        <f t="shared" si="7"/>
        <v>111</v>
      </c>
      <c r="AA13" s="1570">
        <f t="shared" si="3"/>
        <v>1</v>
      </c>
      <c r="AB13" s="1570">
        <f t="shared" si="4"/>
        <v>1</v>
      </c>
      <c r="AC13" s="1570">
        <f t="shared" si="5"/>
        <v>1</v>
      </c>
    </row>
    <row r="14" spans="1:29" ht="15">
      <c r="A14" s="2933" t="s">
        <v>2758</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91" t="s">
        <v>540</v>
      </c>
      <c r="Q14" s="1571" t="str">
        <f t="shared" si="6"/>
        <v>交通便捷度</v>
      </c>
      <c r="R14" s="1572" t="s">
        <v>8</v>
      </c>
      <c r="S14" s="1573">
        <f t="shared" si="0"/>
        <v>100</v>
      </c>
      <c r="T14" s="1572" t="s">
        <v>8</v>
      </c>
      <c r="U14" s="1573">
        <f t="shared" si="1"/>
        <v>100</v>
      </c>
      <c r="V14" s="1572" t="s">
        <v>8</v>
      </c>
      <c r="W14" s="1573">
        <f t="shared" si="2"/>
        <v>100</v>
      </c>
      <c r="X14" s="1566"/>
      <c r="Y14" s="3491"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92"/>
      <c r="Q15" s="1571"/>
      <c r="R15" s="1572"/>
      <c r="S15" s="1573"/>
      <c r="T15" s="1572"/>
      <c r="U15" s="1573"/>
      <c r="V15" s="1572"/>
      <c r="W15" s="1573"/>
      <c r="X15" s="1566"/>
      <c r="Y15" s="3492"/>
      <c r="Z15" s="1574"/>
      <c r="AA15" s="1575">
        <v>1</v>
      </c>
      <c r="AB15" s="1575">
        <v>1</v>
      </c>
      <c r="AC15" s="1575">
        <v>1</v>
      </c>
    </row>
    <row r="16" spans="1:29" ht="15">
      <c r="A16" s="514"/>
      <c r="B16" s="2627" t="s">
        <v>2550</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92"/>
      <c r="Q16" s="1571" t="str">
        <f>B16</f>
        <v>公共配套设施</v>
      </c>
      <c r="R16" s="1572" t="s">
        <v>8</v>
      </c>
      <c r="S16" s="1573">
        <f>F16</f>
        <v>100</v>
      </c>
      <c r="T16" s="1572" t="s">
        <v>8</v>
      </c>
      <c r="U16" s="1573">
        <f>H16</f>
        <v>100</v>
      </c>
      <c r="V16" s="1572" t="s">
        <v>8</v>
      </c>
      <c r="W16" s="1573">
        <f>J16</f>
        <v>100</v>
      </c>
      <c r="X16" s="1566"/>
      <c r="Y16" s="349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92"/>
      <c r="Q17" s="1571"/>
      <c r="R17" s="1572"/>
      <c r="S17" s="1573"/>
      <c r="T17" s="1572"/>
      <c r="U17" s="1573"/>
      <c r="V17" s="1572"/>
      <c r="W17" s="1573"/>
      <c r="X17" s="1566"/>
      <c r="Y17" s="3492"/>
      <c r="Z17" s="1574"/>
      <c r="AA17" s="1575">
        <v>1</v>
      </c>
      <c r="AB17" s="1575">
        <v>1</v>
      </c>
      <c r="AC17" s="1575">
        <v>1</v>
      </c>
    </row>
    <row r="18" spans="1:29" ht="15">
      <c r="A18" s="514"/>
      <c r="B18" s="2615" t="s">
        <v>2562</v>
      </c>
      <c r="C18" s="871" t="str">
        <f>IF(B1="工业",估价对象房地状况!G6,估价对象房地状况!C8)</f>
        <v>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92"/>
      <c r="Q18" s="2603" t="str">
        <f>B18</f>
        <v>基础设施水平</v>
      </c>
      <c r="R18" s="1572" t="s">
        <v>8</v>
      </c>
      <c r="S18" s="1573">
        <f>F18</f>
        <v>100</v>
      </c>
      <c r="T18" s="1572" t="s">
        <v>8</v>
      </c>
      <c r="U18" s="1573">
        <f>H18</f>
        <v>100</v>
      </c>
      <c r="V18" s="1572" t="s">
        <v>8</v>
      </c>
      <c r="W18" s="1573">
        <f>J18</f>
        <v>100</v>
      </c>
      <c r="X18" s="2605"/>
      <c r="Y18" s="3492"/>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92"/>
      <c r="Q19" s="2603"/>
      <c r="R19" s="1572"/>
      <c r="S19" s="1573"/>
      <c r="T19" s="1572"/>
      <c r="U19" s="1573"/>
      <c r="V19" s="1572"/>
      <c r="W19" s="1573"/>
      <c r="X19" s="2605"/>
      <c r="Y19" s="3492"/>
      <c r="Z19" s="2604"/>
      <c r="AA19" s="1575">
        <v>1</v>
      </c>
      <c r="AB19" s="1575">
        <v>1</v>
      </c>
      <c r="AC19" s="1575">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92"/>
      <c r="Q20" s="1571" t="str">
        <f>B20</f>
        <v>自然及人文环境</v>
      </c>
      <c r="R20" s="1572" t="s">
        <v>8</v>
      </c>
      <c r="S20" s="1573">
        <f>F20</f>
        <v>100</v>
      </c>
      <c r="T20" s="1572" t="s">
        <v>8</v>
      </c>
      <c r="U20" s="1573">
        <f>H20</f>
        <v>100</v>
      </c>
      <c r="V20" s="1572" t="s">
        <v>8</v>
      </c>
      <c r="W20" s="1573">
        <f>J20</f>
        <v>100</v>
      </c>
      <c r="X20" s="1566"/>
      <c r="Y20" s="349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92"/>
      <c r="Q21" s="1571"/>
      <c r="R21" s="1572"/>
      <c r="S21" s="1573"/>
      <c r="T21" s="1572"/>
      <c r="U21" s="1573"/>
      <c r="V21" s="1572"/>
      <c r="W21" s="1573"/>
      <c r="X21" s="1566"/>
      <c r="Y21" s="3492"/>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92"/>
      <c r="Q22" s="1571" t="str">
        <f>B22</f>
        <v>楼层</v>
      </c>
      <c r="R22" s="1572" t="s">
        <v>8</v>
      </c>
      <c r="S22" s="1573">
        <f>F22</f>
        <v>100</v>
      </c>
      <c r="T22" s="1572" t="s">
        <v>8</v>
      </c>
      <c r="U22" s="1573">
        <f>H22</f>
        <v>100</v>
      </c>
      <c r="V22" s="1572" t="s">
        <v>8</v>
      </c>
      <c r="W22" s="1573">
        <f>J22</f>
        <v>100</v>
      </c>
      <c r="X22" s="1566"/>
      <c r="Y22" s="349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92"/>
      <c r="Q23" s="1571">
        <f>B23</f>
        <v>111</v>
      </c>
      <c r="R23" s="1572" t="s">
        <v>8</v>
      </c>
      <c r="S23" s="1573">
        <f>F23</f>
        <v>100</v>
      </c>
      <c r="T23" s="1572" t="s">
        <v>8</v>
      </c>
      <c r="U23" s="1573">
        <f>H23</f>
        <v>100</v>
      </c>
      <c r="V23" s="1572" t="s">
        <v>8</v>
      </c>
      <c r="W23" s="1573">
        <f>J23</f>
        <v>100</v>
      </c>
      <c r="X23" s="1566"/>
      <c r="Y23" s="349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92"/>
      <c r="Q24" s="1571">
        <f t="shared" ref="Q24:Q36" si="11">B24</f>
        <v>111</v>
      </c>
      <c r="R24" s="1572" t="s">
        <v>8</v>
      </c>
      <c r="S24" s="1573">
        <f>F24</f>
        <v>100</v>
      </c>
      <c r="T24" s="1572" t="s">
        <v>8</v>
      </c>
      <c r="U24" s="1573">
        <f>H24</f>
        <v>100</v>
      </c>
      <c r="V24" s="1572" t="s">
        <v>8</v>
      </c>
      <c r="W24" s="1573">
        <f>J24</f>
        <v>100</v>
      </c>
      <c r="X24" s="1566"/>
      <c r="Y24" s="349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92"/>
      <c r="Q25" s="1150">
        <f t="shared" si="11"/>
        <v>111</v>
      </c>
      <c r="R25" s="1567" t="s">
        <v>8</v>
      </c>
      <c r="S25" s="1568">
        <f>F25</f>
        <v>100</v>
      </c>
      <c r="T25" s="1567" t="s">
        <v>8</v>
      </c>
      <c r="U25" s="1568">
        <f>H25</f>
        <v>100</v>
      </c>
      <c r="V25" s="1567" t="s">
        <v>8</v>
      </c>
      <c r="W25" s="1568">
        <f>J25</f>
        <v>100</v>
      </c>
      <c r="X25" s="1569"/>
      <c r="Y25" s="3492"/>
      <c r="Z25" s="1149">
        <f>Q25</f>
        <v>111</v>
      </c>
      <c r="AA25" s="1575">
        <f>D25/F25</f>
        <v>1</v>
      </c>
      <c r="AB25" s="1575">
        <f>D25/H25</f>
        <v>1</v>
      </c>
      <c r="AC25" s="1575">
        <f>D25/J25</f>
        <v>1</v>
      </c>
    </row>
    <row r="26" spans="1:29" ht="15">
      <c r="A26" s="2931" t="s">
        <v>2759</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9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94"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94"/>
      <c r="Q27" s="1604" t="str">
        <f t="shared" si="11"/>
        <v>项目停车位配比</v>
      </c>
      <c r="R27" s="1576" t="s">
        <v>8</v>
      </c>
      <c r="S27" s="1577">
        <f t="shared" si="12"/>
        <v>100</v>
      </c>
      <c r="T27" s="1576" t="s">
        <v>8</v>
      </c>
      <c r="U27" s="1577">
        <f t="shared" si="13"/>
        <v>100</v>
      </c>
      <c r="V27" s="1576" t="s">
        <v>8</v>
      </c>
      <c r="W27" s="1577">
        <f t="shared" si="14"/>
        <v>100</v>
      </c>
      <c r="X27" s="1578"/>
      <c r="Y27" s="3494"/>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94"/>
      <c r="Q28" s="1571" t="str">
        <f t="shared" si="11"/>
        <v>公共部分装修</v>
      </c>
      <c r="R28" s="1572" t="s">
        <v>8</v>
      </c>
      <c r="S28" s="1573">
        <f t="shared" si="12"/>
        <v>100</v>
      </c>
      <c r="T28" s="1572" t="s">
        <v>8</v>
      </c>
      <c r="U28" s="1573">
        <f t="shared" si="13"/>
        <v>100</v>
      </c>
      <c r="V28" s="1572" t="s">
        <v>8</v>
      </c>
      <c r="W28" s="1573">
        <f t="shared" si="14"/>
        <v>100</v>
      </c>
      <c r="X28" s="1566"/>
      <c r="Y28" s="3494"/>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94"/>
      <c r="Q29" s="1571" t="str">
        <f t="shared" si="11"/>
        <v>成新率</v>
      </c>
      <c r="R29" s="1572" t="s">
        <v>8</v>
      </c>
      <c r="S29" s="1573" t="e">
        <f t="shared" si="12"/>
        <v>#N/A</v>
      </c>
      <c r="T29" s="1572" t="s">
        <v>8</v>
      </c>
      <c r="U29" s="1573" t="e">
        <f t="shared" si="13"/>
        <v>#N/A</v>
      </c>
      <c r="V29" s="1572" t="s">
        <v>8</v>
      </c>
      <c r="W29" s="1573" t="e">
        <f t="shared" si="14"/>
        <v>#N/A</v>
      </c>
      <c r="X29" s="1566"/>
      <c r="Y29" s="3494"/>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94"/>
      <c r="Q30" s="1571" t="str">
        <f t="shared" si="11"/>
        <v>物业等级</v>
      </c>
      <c r="R30" s="1572" t="s">
        <v>8</v>
      </c>
      <c r="S30" s="1573">
        <f t="shared" si="12"/>
        <v>100</v>
      </c>
      <c r="T30" s="1572" t="s">
        <v>8</v>
      </c>
      <c r="U30" s="1573">
        <f t="shared" si="13"/>
        <v>100</v>
      </c>
      <c r="V30" s="1572" t="s">
        <v>8</v>
      </c>
      <c r="W30" s="1573">
        <f t="shared" si="14"/>
        <v>100</v>
      </c>
      <c r="X30" s="1566"/>
      <c r="Y30" s="3494"/>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94"/>
      <c r="Q31" s="1150" t="str">
        <f t="shared" si="11"/>
        <v>停车位面积</v>
      </c>
      <c r="R31" s="1567" t="s">
        <v>8</v>
      </c>
      <c r="S31" s="1568" t="e">
        <f t="shared" si="12"/>
        <v>#N/A</v>
      </c>
      <c r="T31" s="1567" t="s">
        <v>8</v>
      </c>
      <c r="U31" s="1568" t="e">
        <f t="shared" si="13"/>
        <v>#N/A</v>
      </c>
      <c r="V31" s="1567" t="s">
        <v>8</v>
      </c>
      <c r="W31" s="1568" t="e">
        <f t="shared" si="14"/>
        <v>#N/A</v>
      </c>
      <c r="X31" s="1569"/>
      <c r="Y31" s="3494"/>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94" t="s">
        <v>550</v>
      </c>
      <c r="Q32" s="1571" t="str">
        <f t="shared" si="11"/>
        <v>车位类型</v>
      </c>
      <c r="R32" s="1572" t="s">
        <v>8</v>
      </c>
      <c r="S32" s="1573">
        <f t="shared" si="12"/>
        <v>100</v>
      </c>
      <c r="T32" s="1572" t="s">
        <v>8</v>
      </c>
      <c r="U32" s="1573">
        <f t="shared" si="13"/>
        <v>100</v>
      </c>
      <c r="V32" s="1572" t="s">
        <v>8</v>
      </c>
      <c r="W32" s="1573">
        <f t="shared" si="14"/>
        <v>100</v>
      </c>
      <c r="X32" s="1566"/>
      <c r="Y32" s="3494"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94"/>
      <c r="Q33" s="1571" t="str">
        <f t="shared" si="11"/>
        <v>是否直接入户</v>
      </c>
      <c r="R33" s="1572" t="s">
        <v>8</v>
      </c>
      <c r="S33" s="1573">
        <f t="shared" si="12"/>
        <v>100</v>
      </c>
      <c r="T33" s="1572" t="s">
        <v>8</v>
      </c>
      <c r="U33" s="1573">
        <f t="shared" si="13"/>
        <v>100</v>
      </c>
      <c r="V33" s="1572" t="s">
        <v>8</v>
      </c>
      <c r="W33" s="1573">
        <f t="shared" si="14"/>
        <v>100</v>
      </c>
      <c r="X33" s="1566"/>
      <c r="Y33" s="349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94"/>
      <c r="Q34" s="1571">
        <f t="shared" si="11"/>
        <v>111</v>
      </c>
      <c r="R34" s="1572" t="s">
        <v>8</v>
      </c>
      <c r="S34" s="1573">
        <f t="shared" si="12"/>
        <v>100</v>
      </c>
      <c r="T34" s="1572" t="s">
        <v>8</v>
      </c>
      <c r="U34" s="1573">
        <f t="shared" si="13"/>
        <v>100</v>
      </c>
      <c r="V34" s="1572" t="s">
        <v>8</v>
      </c>
      <c r="W34" s="1573">
        <f t="shared" si="14"/>
        <v>100</v>
      </c>
      <c r="X34" s="1566"/>
      <c r="Y34" s="349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94"/>
      <c r="Q35" s="1604">
        <f t="shared" si="11"/>
        <v>111</v>
      </c>
      <c r="R35" s="1576" t="s">
        <v>8</v>
      </c>
      <c r="S35" s="1577">
        <f t="shared" si="12"/>
        <v>100</v>
      </c>
      <c r="T35" s="1576" t="s">
        <v>8</v>
      </c>
      <c r="U35" s="1577">
        <f t="shared" si="13"/>
        <v>100</v>
      </c>
      <c r="V35" s="1576" t="s">
        <v>8</v>
      </c>
      <c r="W35" s="1577">
        <f t="shared" si="14"/>
        <v>100</v>
      </c>
      <c r="X35" s="1578"/>
      <c r="Y35" s="349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94"/>
      <c r="Q36" s="1571">
        <f t="shared" si="11"/>
        <v>111</v>
      </c>
      <c r="R36" s="1572" t="s">
        <v>8</v>
      </c>
      <c r="S36" s="1573">
        <f t="shared" si="12"/>
        <v>100</v>
      </c>
      <c r="T36" s="1572" t="s">
        <v>8</v>
      </c>
      <c r="U36" s="1573">
        <f t="shared" si="13"/>
        <v>100</v>
      </c>
      <c r="V36" s="1572" t="s">
        <v>8</v>
      </c>
      <c r="W36" s="1573">
        <f t="shared" si="14"/>
        <v>100</v>
      </c>
      <c r="X36" s="1566"/>
      <c r="Y36" s="3494"/>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457" t="str">
        <f>A37</f>
        <v>成交单价</v>
      </c>
      <c r="Q37" s="3457"/>
      <c r="R37" s="3572">
        <f>E37</f>
        <v>0</v>
      </c>
      <c r="S37" s="3572"/>
      <c r="T37" s="3572">
        <f>G37</f>
        <v>0</v>
      </c>
      <c r="U37" s="3572"/>
      <c r="V37" s="3572">
        <f>I37</f>
        <v>0</v>
      </c>
      <c r="W37" s="3572"/>
      <c r="X37" s="1558"/>
      <c r="Y37" s="1580"/>
      <c r="Z37" s="1558"/>
      <c r="AA37" s="1558"/>
      <c r="AB37" s="1558"/>
      <c r="AC37" s="1558"/>
    </row>
    <row r="38" spans="1:29" ht="15.75" thickBot="1">
      <c r="A38" s="614" t="s">
        <v>2764</v>
      </c>
      <c r="B38" s="887"/>
      <c r="C38" s="2657" t="e">
        <f>R39</f>
        <v>#DIV/0!</v>
      </c>
      <c r="D38" s="2658"/>
      <c r="E38" s="2659" t="e">
        <f>R38</f>
        <v>#DIV/0!</v>
      </c>
      <c r="F38" s="2659"/>
      <c r="G38" s="2657" t="e">
        <f>T38</f>
        <v>#DIV/0!</v>
      </c>
      <c r="H38" s="2658"/>
      <c r="I38" s="2659" t="e">
        <f>V38</f>
        <v>#DIV/0!</v>
      </c>
      <c r="J38" s="2658"/>
      <c r="K38" s="1611"/>
      <c r="L38" s="2144"/>
      <c r="M38" s="2145"/>
      <c r="N38" s="2145"/>
      <c r="O38" s="2145"/>
      <c r="P38" s="3457" t="str">
        <f>A38</f>
        <v>比较价格（元/平方米）</v>
      </c>
      <c r="Q38" s="3457"/>
      <c r="R38" s="3572" t="e">
        <f>IF(F1="售价",ROUND(PRODUCT(R37,AA7:AA36),0),ROUND(PRODUCT(R37,AA7:AA36),1))</f>
        <v>#DIV/0!</v>
      </c>
      <c r="S38" s="3572"/>
      <c r="T38" s="3572" t="e">
        <f>IF(F1="售价",ROUND(PRODUCT(T37,AB7:AB36),0),ROUND(PRODUCT(T37,AB7:AB36),1))</f>
        <v>#DIV/0!</v>
      </c>
      <c r="U38" s="3572"/>
      <c r="V38" s="3572" t="e">
        <f>IF(F1="售价",ROUND(PRODUCT(V37,AC7:AC36),0),ROUND(PRODUCT(V37,AC7:AC36),1))</f>
        <v>#DIV/0!</v>
      </c>
      <c r="W38" s="3572"/>
      <c r="X38" s="1558"/>
      <c r="Y38" s="1558"/>
      <c r="Z38" s="1558"/>
      <c r="AA38" s="1558"/>
      <c r="AB38" s="1558"/>
      <c r="AC38" s="1558"/>
    </row>
    <row r="39" spans="1:29" ht="15.75" thickBot="1">
      <c r="A39" s="620" t="s">
        <v>2937</v>
      </c>
      <c r="B39" s="621"/>
      <c r="C39" s="2660" t="e">
        <f>R39</f>
        <v>#DIV/0!</v>
      </c>
      <c r="D39" s="2660"/>
      <c r="E39" s="2660"/>
      <c r="F39" s="2660"/>
      <c r="G39" s="2660"/>
      <c r="H39" s="2660"/>
      <c r="I39" s="2660"/>
      <c r="J39" s="2660"/>
      <c r="K39" s="1612"/>
      <c r="L39" s="2144"/>
      <c r="M39" s="2145"/>
      <c r="N39" s="2145"/>
      <c r="O39" s="2145"/>
      <c r="P39" s="3454" t="str">
        <f>A39</f>
        <v>估价对象XX用房的比较价格（楼面单价，元/平方米）</v>
      </c>
      <c r="Q39" s="3455"/>
      <c r="R39" s="3571" t="e">
        <f>IF(F1="售价",ROUND(AVERAGE(R38:V38),0),ROUND(AVERAGE(R38:V38),1))</f>
        <v>#DIV/0!</v>
      </c>
      <c r="S39" s="3571"/>
      <c r="T39" s="3571"/>
      <c r="U39" s="3571"/>
      <c r="V39" s="3571"/>
      <c r="W39" s="357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2561</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2562</v>
      </c>
      <c r="C67" s="2622" t="s">
        <v>2563</v>
      </c>
      <c r="D67" s="2622" t="s">
        <v>2564</v>
      </c>
      <c r="E67" s="2622" t="s">
        <v>2565</v>
      </c>
      <c r="F67" s="2622" t="s">
        <v>2566</v>
      </c>
      <c r="G67" s="2622" t="s">
        <v>2567</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63" t="s">
        <v>798</v>
      </c>
      <c r="D4" s="3464"/>
      <c r="E4" s="3499" t="s">
        <v>799</v>
      </c>
      <c r="F4" s="3500"/>
      <c r="G4" s="3463" t="s">
        <v>800</v>
      </c>
      <c r="H4" s="3464"/>
      <c r="I4" s="3463" t="s">
        <v>801</v>
      </c>
      <c r="J4" s="3464"/>
      <c r="K4" s="513" t="s">
        <v>802</v>
      </c>
      <c r="L4" s="2133"/>
      <c r="M4" s="2134"/>
      <c r="N4" s="2134"/>
      <c r="O4" s="2134"/>
      <c r="P4" s="3465" t="s">
        <v>803</v>
      </c>
      <c r="Q4" s="3466"/>
      <c r="R4" s="3471" t="s">
        <v>799</v>
      </c>
      <c r="S4" s="3472"/>
      <c r="T4" s="3471" t="s">
        <v>800</v>
      </c>
      <c r="U4" s="3472"/>
      <c r="V4" s="3458" t="s">
        <v>801</v>
      </c>
      <c r="W4" s="3458"/>
      <c r="X4" s="1566"/>
      <c r="Y4" s="3471" t="s">
        <v>803</v>
      </c>
      <c r="Z4" s="3472"/>
      <c r="AA4" s="3460" t="s">
        <v>799</v>
      </c>
      <c r="AB4" s="3461" t="s">
        <v>800</v>
      </c>
      <c r="AC4" s="3460" t="s">
        <v>801</v>
      </c>
    </row>
    <row r="5" spans="1:29" ht="15">
      <c r="A5" s="514"/>
      <c r="B5" s="515"/>
      <c r="C5" s="3479" t="s">
        <v>2931</v>
      </c>
      <c r="D5" s="3480"/>
      <c r="E5" s="3501" t="s">
        <v>2932</v>
      </c>
      <c r="F5" s="3502"/>
      <c r="G5" s="3479" t="s">
        <v>2933</v>
      </c>
      <c r="H5" s="3480"/>
      <c r="I5" s="3479" t="s">
        <v>2934</v>
      </c>
      <c r="J5" s="3480"/>
      <c r="K5" s="513"/>
      <c r="L5" s="2133"/>
      <c r="M5" s="2134"/>
      <c r="N5" s="2134"/>
      <c r="O5" s="2134"/>
      <c r="P5" s="3467"/>
      <c r="Q5" s="3468"/>
      <c r="R5" s="3473"/>
      <c r="S5" s="3474"/>
      <c r="T5" s="3473"/>
      <c r="U5" s="3474"/>
      <c r="V5" s="3458"/>
      <c r="W5" s="3458"/>
      <c r="X5" s="1566"/>
      <c r="Y5" s="3473"/>
      <c r="Z5" s="3474"/>
      <c r="AA5" s="3461"/>
      <c r="AB5" s="3461"/>
      <c r="AC5" s="3461"/>
    </row>
    <row r="6" spans="1:29" ht="15.75" thickBot="1">
      <c r="A6" s="516"/>
      <c r="B6" s="517"/>
      <c r="C6" s="3495" t="s">
        <v>2935</v>
      </c>
      <c r="D6" s="3496"/>
      <c r="E6" s="3497" t="s">
        <v>2935</v>
      </c>
      <c r="F6" s="3498"/>
      <c r="G6" s="3495" t="s">
        <v>2935</v>
      </c>
      <c r="H6" s="3496"/>
      <c r="I6" s="3495" t="s">
        <v>2935</v>
      </c>
      <c r="J6" s="3496"/>
      <c r="K6" s="513" t="s">
        <v>528</v>
      </c>
      <c r="L6" s="2133"/>
      <c r="M6" s="2134"/>
      <c r="N6" s="2134"/>
      <c r="O6" s="2134"/>
      <c r="P6" s="3469"/>
      <c r="Q6" s="3470"/>
      <c r="R6" s="3473"/>
      <c r="S6" s="3474"/>
      <c r="T6" s="3475"/>
      <c r="U6" s="3476"/>
      <c r="V6" s="3458"/>
      <c r="W6" s="3458"/>
      <c r="X6" s="1566"/>
      <c r="Y6" s="3475"/>
      <c r="Z6" s="3476"/>
      <c r="AA6" s="3462"/>
      <c r="AB6" s="3462"/>
      <c r="AC6" s="3462"/>
    </row>
    <row r="7" spans="1:29" s="1219" customFormat="1" ht="15.75" thickBot="1">
      <c r="A7" s="2935"/>
      <c r="B7" s="2942" t="s">
        <v>529</v>
      </c>
      <c r="C7" s="518">
        <f>'数据-取费表'!B2</f>
        <v>43209</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88" t="s">
        <v>530</v>
      </c>
      <c r="Q7" s="3490"/>
      <c r="R7" s="1567" t="s">
        <v>8</v>
      </c>
      <c r="S7" s="1568">
        <f t="shared" ref="S7:S14" si="0">F7</f>
        <v>0</v>
      </c>
      <c r="T7" s="1567" t="s">
        <v>8</v>
      </c>
      <c r="U7" s="1568">
        <f t="shared" ref="U7:U14" si="1">H7</f>
        <v>0</v>
      </c>
      <c r="V7" s="1567" t="s">
        <v>8</v>
      </c>
      <c r="W7" s="1568">
        <f t="shared" ref="W7:W14" si="2">J7</f>
        <v>0</v>
      </c>
      <c r="X7" s="1569"/>
      <c r="Y7" s="3488" t="s">
        <v>530</v>
      </c>
      <c r="Z7" s="3489"/>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88" t="s">
        <v>533</v>
      </c>
      <c r="Q8" s="3489"/>
      <c r="R8" s="1567" t="s">
        <v>8</v>
      </c>
      <c r="S8" s="1568">
        <f t="shared" si="0"/>
        <v>0</v>
      </c>
      <c r="T8" s="1567" t="s">
        <v>8</v>
      </c>
      <c r="U8" s="1568">
        <f t="shared" si="1"/>
        <v>0</v>
      </c>
      <c r="V8" s="1567" t="s">
        <v>8</v>
      </c>
      <c r="W8" s="1568">
        <f t="shared" si="2"/>
        <v>0</v>
      </c>
      <c r="X8" s="1569"/>
      <c r="Y8" s="3488" t="s">
        <v>533</v>
      </c>
      <c r="Z8" s="3489"/>
      <c r="AA8" s="1570" t="e">
        <f t="shared" ref="AA8:AA34" si="3">D8/F8</f>
        <v>#DIV/0!</v>
      </c>
      <c r="AB8" s="1570" t="e">
        <f t="shared" ref="AB8:AB34" si="4">D8/H8</f>
        <v>#DIV/0!</v>
      </c>
      <c r="AC8" s="1570" t="e">
        <f t="shared" ref="AC8:AC34" si="5">D8/J8</f>
        <v>#DIV/0!</v>
      </c>
    </row>
    <row r="9" spans="1:29" s="1219" customFormat="1" ht="15">
      <c r="A9" s="2937"/>
      <c r="B9" s="2944" t="s">
        <v>2760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57" t="s">
        <v>535</v>
      </c>
      <c r="Q9" s="1150" t="str">
        <f t="shared" ref="Q9:Q14" si="6">B9</f>
        <v>用途</v>
      </c>
      <c r="R9" s="1567" t="s">
        <v>8</v>
      </c>
      <c r="S9" s="1568">
        <f t="shared" si="0"/>
        <v>100</v>
      </c>
      <c r="T9" s="1567" t="s">
        <v>8</v>
      </c>
      <c r="U9" s="1568">
        <f t="shared" si="1"/>
        <v>100</v>
      </c>
      <c r="V9" s="1567" t="s">
        <v>8</v>
      </c>
      <c r="W9" s="1568">
        <f t="shared" si="2"/>
        <v>100</v>
      </c>
      <c r="X9" s="1569"/>
      <c r="Y9" s="3403" t="s">
        <v>536</v>
      </c>
      <c r="Z9" s="1149" t="str">
        <f t="shared" ref="Z9:Z14" si="7">Q9</f>
        <v>用途</v>
      </c>
      <c r="AA9" s="1570">
        <f t="shared" si="3"/>
        <v>1</v>
      </c>
      <c r="AB9" s="1570">
        <f t="shared" si="4"/>
        <v>1</v>
      </c>
      <c r="AC9" s="1570">
        <f t="shared" si="5"/>
        <v>1</v>
      </c>
    </row>
    <row r="10" spans="1:29" s="1337" customFormat="1" ht="27">
      <c r="A10" s="2938"/>
      <c r="B10" s="2943" t="s">
        <v>2761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57"/>
      <c r="Q10" s="1150" t="str">
        <f t="shared" si="6"/>
        <v>土地使用年限（年）</v>
      </c>
      <c r="R10" s="1567" t="s">
        <v>8</v>
      </c>
      <c r="S10" s="1568">
        <f t="shared" si="0"/>
        <v>100</v>
      </c>
      <c r="T10" s="1567" t="s">
        <v>8</v>
      </c>
      <c r="U10" s="1568">
        <f t="shared" si="1"/>
        <v>100</v>
      </c>
      <c r="V10" s="1567" t="s">
        <v>8</v>
      </c>
      <c r="W10" s="1568">
        <f t="shared" si="2"/>
        <v>100</v>
      </c>
      <c r="X10" s="1569"/>
      <c r="Y10" s="3403"/>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57"/>
      <c r="Q11" s="1150">
        <f t="shared" si="6"/>
        <v>111</v>
      </c>
      <c r="R11" s="1567" t="s">
        <v>8</v>
      </c>
      <c r="S11" s="1568">
        <f t="shared" si="0"/>
        <v>100</v>
      </c>
      <c r="T11" s="1567" t="s">
        <v>8</v>
      </c>
      <c r="U11" s="1568">
        <f t="shared" si="1"/>
        <v>100</v>
      </c>
      <c r="V11" s="1567" t="s">
        <v>8</v>
      </c>
      <c r="W11" s="1568">
        <f t="shared" si="2"/>
        <v>100</v>
      </c>
      <c r="X11" s="1569"/>
      <c r="Y11" s="3403"/>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57"/>
      <c r="Q12" s="1150">
        <f t="shared" si="6"/>
        <v>111</v>
      </c>
      <c r="R12" s="1567" t="s">
        <v>8</v>
      </c>
      <c r="S12" s="1568">
        <f t="shared" si="0"/>
        <v>100</v>
      </c>
      <c r="T12" s="1567" t="s">
        <v>8</v>
      </c>
      <c r="U12" s="1568">
        <f t="shared" si="1"/>
        <v>100</v>
      </c>
      <c r="V12" s="1567" t="s">
        <v>8</v>
      </c>
      <c r="W12" s="1568">
        <f t="shared" si="2"/>
        <v>100</v>
      </c>
      <c r="X12" s="1569"/>
      <c r="Y12" s="3403"/>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57"/>
      <c r="Q13" s="1150">
        <f t="shared" si="6"/>
        <v>111</v>
      </c>
      <c r="R13" s="1567" t="s">
        <v>8</v>
      </c>
      <c r="S13" s="1568">
        <f t="shared" si="0"/>
        <v>100</v>
      </c>
      <c r="T13" s="1567" t="s">
        <v>8</v>
      </c>
      <c r="U13" s="1568">
        <f t="shared" si="1"/>
        <v>100</v>
      </c>
      <c r="V13" s="1567" t="s">
        <v>8</v>
      </c>
      <c r="W13" s="1568">
        <f t="shared" si="2"/>
        <v>100</v>
      </c>
      <c r="X13" s="1569"/>
      <c r="Y13" s="3403"/>
      <c r="Z13" s="1149">
        <f t="shared" si="7"/>
        <v>111</v>
      </c>
      <c r="AA13" s="1570">
        <f t="shared" si="3"/>
        <v>1</v>
      </c>
      <c r="AB13" s="1570">
        <f t="shared" si="4"/>
        <v>1</v>
      </c>
      <c r="AC13" s="1570">
        <f t="shared" si="5"/>
        <v>1</v>
      </c>
    </row>
    <row r="14" spans="1:29" ht="15">
      <c r="A14" s="2933" t="s">
        <v>2758</v>
      </c>
      <c r="B14" s="165"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91" t="s">
        <v>540</v>
      </c>
      <c r="Q14" s="1571" t="str">
        <f t="shared" si="6"/>
        <v>交通便捷度</v>
      </c>
      <c r="R14" s="1572" t="s">
        <v>8</v>
      </c>
      <c r="S14" s="1573">
        <f t="shared" si="0"/>
        <v>100</v>
      </c>
      <c r="T14" s="1572" t="s">
        <v>8</v>
      </c>
      <c r="U14" s="1573">
        <f t="shared" si="1"/>
        <v>100</v>
      </c>
      <c r="V14" s="1572" t="s">
        <v>8</v>
      </c>
      <c r="W14" s="1573">
        <f t="shared" si="2"/>
        <v>100</v>
      </c>
      <c r="X14" s="1566"/>
      <c r="Y14" s="3491"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92"/>
      <c r="Q15" s="1571"/>
      <c r="R15" s="1572"/>
      <c r="S15" s="1573"/>
      <c r="T15" s="1572"/>
      <c r="U15" s="1573"/>
      <c r="V15" s="1572"/>
      <c r="W15" s="1573"/>
      <c r="X15" s="1566"/>
      <c r="Y15" s="3492"/>
      <c r="Z15" s="1574"/>
      <c r="AA15" s="1575">
        <v>1</v>
      </c>
      <c r="AB15" s="1575">
        <v>1</v>
      </c>
      <c r="AC15" s="1575">
        <v>1</v>
      </c>
    </row>
    <row r="16" spans="1:29" ht="15">
      <c r="A16" s="531"/>
      <c r="B16" s="2627" t="s">
        <v>2550</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92"/>
      <c r="Q16" s="1571" t="str">
        <f>B16</f>
        <v>公共配套设施</v>
      </c>
      <c r="R16" s="1572" t="s">
        <v>8</v>
      </c>
      <c r="S16" s="1573">
        <f>F16</f>
        <v>100</v>
      </c>
      <c r="T16" s="1572" t="s">
        <v>8</v>
      </c>
      <c r="U16" s="1573">
        <f>H16</f>
        <v>100</v>
      </c>
      <c r="V16" s="1572" t="s">
        <v>8</v>
      </c>
      <c r="W16" s="1573">
        <f>J16</f>
        <v>100</v>
      </c>
      <c r="X16" s="1566"/>
      <c r="Y16" s="349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92"/>
      <c r="Q17" s="1571"/>
      <c r="R17" s="1572"/>
      <c r="S17" s="1573"/>
      <c r="T17" s="1572"/>
      <c r="U17" s="1573"/>
      <c r="V17" s="1572"/>
      <c r="W17" s="1573"/>
      <c r="X17" s="1566"/>
      <c r="Y17" s="3492"/>
      <c r="Z17" s="1574"/>
      <c r="AA17" s="1575">
        <v>1</v>
      </c>
      <c r="AB17" s="1575">
        <v>1</v>
      </c>
      <c r="AC17" s="1575">
        <v>1</v>
      </c>
    </row>
    <row r="18" spans="1:29" ht="15">
      <c r="A18" s="531"/>
      <c r="B18" s="2615" t="s">
        <v>2562</v>
      </c>
      <c r="C18" s="871" t="str">
        <f>IF(B1="工业",估价对象房地状况!G6,估价对象房地状况!C8)</f>
        <v>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92"/>
      <c r="Q18" s="2603" t="str">
        <f>B18</f>
        <v>基础设施水平</v>
      </c>
      <c r="R18" s="1572" t="s">
        <v>8</v>
      </c>
      <c r="S18" s="1573">
        <f>F18</f>
        <v>100</v>
      </c>
      <c r="T18" s="1572" t="s">
        <v>8</v>
      </c>
      <c r="U18" s="1573">
        <f>H18</f>
        <v>100</v>
      </c>
      <c r="V18" s="1572" t="s">
        <v>8</v>
      </c>
      <c r="W18" s="1573">
        <f>J18</f>
        <v>100</v>
      </c>
      <c r="X18" s="2605"/>
      <c r="Y18" s="3492"/>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92"/>
      <c r="Q19" s="2603"/>
      <c r="R19" s="1572"/>
      <c r="S19" s="1573"/>
      <c r="T19" s="1572"/>
      <c r="U19" s="1573"/>
      <c r="V19" s="1572"/>
      <c r="W19" s="1573"/>
      <c r="X19" s="2605"/>
      <c r="Y19" s="3492"/>
      <c r="Z19" s="2604"/>
      <c r="AA19" s="1575">
        <v>1</v>
      </c>
      <c r="AB19" s="1575">
        <v>1</v>
      </c>
      <c r="AC19" s="1575">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92"/>
      <c r="Q20" s="1571" t="str">
        <f>B20</f>
        <v>自然及人文环境</v>
      </c>
      <c r="R20" s="1572" t="s">
        <v>8</v>
      </c>
      <c r="S20" s="1573">
        <f>F20</f>
        <v>100</v>
      </c>
      <c r="T20" s="1572" t="s">
        <v>8</v>
      </c>
      <c r="U20" s="1573">
        <f>H20</f>
        <v>100</v>
      </c>
      <c r="V20" s="1572" t="s">
        <v>8</v>
      </c>
      <c r="W20" s="1573">
        <f>J20</f>
        <v>100</v>
      </c>
      <c r="X20" s="1566"/>
      <c r="Y20" s="349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92"/>
      <c r="Q21" s="1571"/>
      <c r="R21" s="1572"/>
      <c r="S21" s="1573"/>
      <c r="T21" s="1572"/>
      <c r="U21" s="1573"/>
      <c r="V21" s="1572"/>
      <c r="W21" s="1573"/>
      <c r="X21" s="1566"/>
      <c r="Y21" s="3492"/>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92"/>
      <c r="Q22" s="1571" t="str">
        <f>B22</f>
        <v>楼层</v>
      </c>
      <c r="R22" s="1572" t="s">
        <v>8</v>
      </c>
      <c r="S22" s="1573">
        <f>F22</f>
        <v>100</v>
      </c>
      <c r="T22" s="1572" t="s">
        <v>8</v>
      </c>
      <c r="U22" s="1573">
        <f>H22</f>
        <v>100</v>
      </c>
      <c r="V22" s="1572" t="s">
        <v>8</v>
      </c>
      <c r="W22" s="1573">
        <f>J22</f>
        <v>100</v>
      </c>
      <c r="X22" s="1566"/>
      <c r="Y22" s="349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92"/>
      <c r="Q23" s="1571">
        <f>B23</f>
        <v>111</v>
      </c>
      <c r="R23" s="1572" t="s">
        <v>8</v>
      </c>
      <c r="S23" s="1573">
        <f>F23</f>
        <v>100</v>
      </c>
      <c r="T23" s="1572" t="s">
        <v>8</v>
      </c>
      <c r="U23" s="1573">
        <f>H23</f>
        <v>100</v>
      </c>
      <c r="V23" s="1572" t="s">
        <v>8</v>
      </c>
      <c r="W23" s="1573">
        <f>J23</f>
        <v>100</v>
      </c>
      <c r="X23" s="1566"/>
      <c r="Y23" s="349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92"/>
      <c r="Q24" s="1571">
        <f t="shared" ref="Q24:Q34" si="11">B24</f>
        <v>111</v>
      </c>
      <c r="R24" s="1572" t="s">
        <v>8</v>
      </c>
      <c r="S24" s="1573">
        <f>F24</f>
        <v>100</v>
      </c>
      <c r="T24" s="1572" t="s">
        <v>8</v>
      </c>
      <c r="U24" s="1573">
        <f>H24</f>
        <v>100</v>
      </c>
      <c r="V24" s="1572" t="s">
        <v>8</v>
      </c>
      <c r="W24" s="1573">
        <f>J24</f>
        <v>100</v>
      </c>
      <c r="X24" s="1566"/>
      <c r="Y24" s="349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92"/>
      <c r="Q25" s="1150">
        <f t="shared" si="11"/>
        <v>111</v>
      </c>
      <c r="R25" s="1567" t="s">
        <v>8</v>
      </c>
      <c r="S25" s="1568">
        <f>F25</f>
        <v>100</v>
      </c>
      <c r="T25" s="1567" t="s">
        <v>8</v>
      </c>
      <c r="U25" s="1568">
        <f>H25</f>
        <v>100</v>
      </c>
      <c r="V25" s="1567" t="s">
        <v>8</v>
      </c>
      <c r="W25" s="1568">
        <f>J25</f>
        <v>100</v>
      </c>
      <c r="X25" s="1569"/>
      <c r="Y25" s="3492"/>
      <c r="Z25" s="1149">
        <f>Q25</f>
        <v>111</v>
      </c>
      <c r="AA25" s="1575">
        <f>D25/F25</f>
        <v>1</v>
      </c>
      <c r="AB25" s="1575">
        <f>D25/H25</f>
        <v>1</v>
      </c>
      <c r="AC25" s="1575">
        <f>D25/J25</f>
        <v>1</v>
      </c>
    </row>
    <row r="26" spans="1:29" ht="15">
      <c r="A26" s="2931" t="s">
        <v>2759</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9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94"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94"/>
      <c r="Q27" s="1604" t="str">
        <f t="shared" si="11"/>
        <v>成新率</v>
      </c>
      <c r="R27" s="1576" t="s">
        <v>8</v>
      </c>
      <c r="S27" s="1577" t="e">
        <f t="shared" si="12"/>
        <v>#N/A</v>
      </c>
      <c r="T27" s="1576" t="s">
        <v>8</v>
      </c>
      <c r="U27" s="1577" t="e">
        <f t="shared" si="13"/>
        <v>#N/A</v>
      </c>
      <c r="V27" s="1576" t="s">
        <v>8</v>
      </c>
      <c r="W27" s="1577" t="e">
        <f t="shared" si="14"/>
        <v>#N/A</v>
      </c>
      <c r="X27" s="1578"/>
      <c r="Y27" s="3494"/>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94"/>
      <c r="Q28" s="1571" t="str">
        <f t="shared" si="11"/>
        <v>物业等级</v>
      </c>
      <c r="R28" s="1572" t="s">
        <v>8</v>
      </c>
      <c r="S28" s="1573">
        <f t="shared" si="12"/>
        <v>100</v>
      </c>
      <c r="T28" s="1572" t="s">
        <v>8</v>
      </c>
      <c r="U28" s="1573">
        <f t="shared" si="13"/>
        <v>100</v>
      </c>
      <c r="V28" s="1572" t="s">
        <v>8</v>
      </c>
      <c r="W28" s="1573">
        <f t="shared" si="14"/>
        <v>100</v>
      </c>
      <c r="X28" s="1566"/>
      <c r="Y28" s="3494"/>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94"/>
      <c r="Q29" s="1571" t="str">
        <f t="shared" si="11"/>
        <v>有无电梯</v>
      </c>
      <c r="R29" s="1572" t="s">
        <v>8</v>
      </c>
      <c r="S29" s="1573">
        <f t="shared" si="12"/>
        <v>100</v>
      </c>
      <c r="T29" s="1572" t="s">
        <v>8</v>
      </c>
      <c r="U29" s="1573">
        <f t="shared" si="13"/>
        <v>100</v>
      </c>
      <c r="V29" s="1572" t="s">
        <v>8</v>
      </c>
      <c r="W29" s="1573">
        <f t="shared" si="14"/>
        <v>100</v>
      </c>
      <c r="X29" s="1566"/>
      <c r="Y29" s="3494"/>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94"/>
      <c r="Q30" s="1571" t="str">
        <f t="shared" si="11"/>
        <v>建筑面积</v>
      </c>
      <c r="R30" s="1572" t="s">
        <v>8</v>
      </c>
      <c r="S30" s="1573" t="e">
        <f t="shared" si="12"/>
        <v>#N/A</v>
      </c>
      <c r="T30" s="1572" t="s">
        <v>8</v>
      </c>
      <c r="U30" s="1573" t="e">
        <f t="shared" si="13"/>
        <v>#N/A</v>
      </c>
      <c r="V30" s="1572" t="s">
        <v>8</v>
      </c>
      <c r="W30" s="1573" t="e">
        <f t="shared" si="14"/>
        <v>#N/A</v>
      </c>
      <c r="X30" s="1566"/>
      <c r="Y30" s="3494"/>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94"/>
      <c r="Q31" s="1150" t="str">
        <f t="shared" si="11"/>
        <v>是否封闭</v>
      </c>
      <c r="R31" s="1567" t="s">
        <v>8</v>
      </c>
      <c r="S31" s="1568">
        <f t="shared" si="12"/>
        <v>100</v>
      </c>
      <c r="T31" s="1567" t="s">
        <v>8</v>
      </c>
      <c r="U31" s="1568">
        <f t="shared" si="13"/>
        <v>100</v>
      </c>
      <c r="V31" s="1567" t="s">
        <v>8</v>
      </c>
      <c r="W31" s="1568">
        <f t="shared" si="14"/>
        <v>100</v>
      </c>
      <c r="X31" s="1569"/>
      <c r="Y31" s="349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94" t="s">
        <v>550</v>
      </c>
      <c r="Q32" s="1571">
        <f t="shared" si="11"/>
        <v>111</v>
      </c>
      <c r="R32" s="1572" t="s">
        <v>8</v>
      </c>
      <c r="S32" s="1573">
        <f t="shared" si="12"/>
        <v>100</v>
      </c>
      <c r="T32" s="1572" t="s">
        <v>8</v>
      </c>
      <c r="U32" s="1573">
        <f t="shared" si="13"/>
        <v>100</v>
      </c>
      <c r="V32" s="1572" t="s">
        <v>8</v>
      </c>
      <c r="W32" s="1573">
        <f t="shared" si="14"/>
        <v>100</v>
      </c>
      <c r="X32" s="1566"/>
      <c r="Y32" s="3494"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94"/>
      <c r="Q33" s="1571">
        <f t="shared" si="11"/>
        <v>111</v>
      </c>
      <c r="R33" s="1572" t="s">
        <v>8</v>
      </c>
      <c r="S33" s="1573">
        <f t="shared" si="12"/>
        <v>100</v>
      </c>
      <c r="T33" s="1572" t="s">
        <v>8</v>
      </c>
      <c r="U33" s="1573">
        <f t="shared" si="13"/>
        <v>100</v>
      </c>
      <c r="V33" s="1572" t="s">
        <v>8</v>
      </c>
      <c r="W33" s="1573">
        <f t="shared" si="14"/>
        <v>100</v>
      </c>
      <c r="X33" s="1566"/>
      <c r="Y33" s="349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94"/>
      <c r="Q34" s="1571">
        <f t="shared" si="11"/>
        <v>111</v>
      </c>
      <c r="R34" s="1572" t="s">
        <v>8</v>
      </c>
      <c r="S34" s="1573">
        <f t="shared" si="12"/>
        <v>100</v>
      </c>
      <c r="T34" s="1572" t="s">
        <v>8</v>
      </c>
      <c r="U34" s="1573">
        <f t="shared" si="13"/>
        <v>100</v>
      </c>
      <c r="V34" s="1572" t="s">
        <v>8</v>
      </c>
      <c r="W34" s="1573">
        <f t="shared" si="14"/>
        <v>100</v>
      </c>
      <c r="X34" s="1566"/>
      <c r="Y34" s="3494"/>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57" t="str">
        <f>A35</f>
        <v>成交单价（元/平方米）</v>
      </c>
      <c r="Q35" s="3457"/>
      <c r="R35" s="3572">
        <f>E35</f>
        <v>0</v>
      </c>
      <c r="S35" s="3572"/>
      <c r="T35" s="3572">
        <f>G35</f>
        <v>0</v>
      </c>
      <c r="U35" s="3572"/>
      <c r="V35" s="3572">
        <f>I35</f>
        <v>0</v>
      </c>
      <c r="W35" s="3572"/>
      <c r="X35" s="1558"/>
      <c r="Y35" s="1580"/>
      <c r="Z35" s="1558"/>
      <c r="AA35" s="1558"/>
      <c r="AB35" s="1558"/>
      <c r="AC35" s="1558"/>
    </row>
    <row r="36" spans="1:29" ht="15.75" thickBot="1">
      <c r="A36" s="614" t="s">
        <v>2764</v>
      </c>
      <c r="B36" s="887"/>
      <c r="C36" s="2657" t="e">
        <f>R37</f>
        <v>#DIV/0!</v>
      </c>
      <c r="D36" s="2658"/>
      <c r="E36" s="2659" t="e">
        <f>R36</f>
        <v>#DIV/0!</v>
      </c>
      <c r="F36" s="2659"/>
      <c r="G36" s="2657" t="e">
        <f>T36</f>
        <v>#DIV/0!</v>
      </c>
      <c r="H36" s="2658"/>
      <c r="I36" s="2659" t="e">
        <f>V36</f>
        <v>#DIV/0!</v>
      </c>
      <c r="J36" s="2658"/>
      <c r="K36" s="1611"/>
      <c r="L36" s="2144"/>
      <c r="M36" s="2145"/>
      <c r="N36" s="2134"/>
      <c r="O36" s="2145"/>
      <c r="P36" s="3457" t="str">
        <f>A36</f>
        <v>比较价格（元/平方米）</v>
      </c>
      <c r="Q36" s="3457"/>
      <c r="R36" s="3572" t="e">
        <f>IF(F1="售价",ROUND(PRODUCT(R35,AA7:AA34),0),ROUND(PRODUCT(R35,AA7:AA34),1))</f>
        <v>#DIV/0!</v>
      </c>
      <c r="S36" s="3572"/>
      <c r="T36" s="3572" t="e">
        <f>IF(F1="售价",ROUND(PRODUCT(T35,AB7:AB34),0),ROUND(PRODUCT(T35,AB7:AB34),1))</f>
        <v>#DIV/0!</v>
      </c>
      <c r="U36" s="3572"/>
      <c r="V36" s="3572" t="e">
        <f>IF(F1="售价",ROUND(PRODUCT(V35,AC7:AC34),0),ROUND(PRODUCT(V35,AC7:AC34),1))</f>
        <v>#DIV/0!</v>
      </c>
      <c r="W36" s="3572"/>
      <c r="X36" s="1558"/>
      <c r="Y36" s="1558"/>
      <c r="Z36" s="1558"/>
      <c r="AA36" s="1558"/>
      <c r="AB36" s="1558"/>
      <c r="AC36" s="1558"/>
    </row>
    <row r="37" spans="1:29" ht="15.75" thickBot="1">
      <c r="A37" s="620" t="s">
        <v>2937</v>
      </c>
      <c r="B37" s="621"/>
      <c r="C37" s="2660" t="e">
        <f>R37</f>
        <v>#DIV/0!</v>
      </c>
      <c r="D37" s="2660"/>
      <c r="E37" s="2660"/>
      <c r="F37" s="2660"/>
      <c r="G37" s="2660"/>
      <c r="H37" s="2660"/>
      <c r="I37" s="2660"/>
      <c r="J37" s="2660"/>
      <c r="K37" s="1612"/>
      <c r="L37" s="2144"/>
      <c r="M37" s="2145"/>
      <c r="N37" s="2145"/>
      <c r="O37" s="2145"/>
      <c r="P37" s="3454" t="str">
        <f>A37</f>
        <v>估价对象XX用房的比较价格（楼面单价，元/平方米）</v>
      </c>
      <c r="Q37" s="3455"/>
      <c r="R37" s="3571" t="e">
        <f>IF(F1="售价",ROUND(AVERAGE(R36:V36),0),ROUND(AVERAGE(R36:V36),1))</f>
        <v>#DIV/0!</v>
      </c>
      <c r="S37" s="3571"/>
      <c r="T37" s="3571"/>
      <c r="U37" s="3571"/>
      <c r="V37" s="3571"/>
      <c r="W37" s="357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2561</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2562</v>
      </c>
      <c r="C65" s="2622" t="s">
        <v>2563</v>
      </c>
      <c r="D65" s="2622" t="s">
        <v>2564</v>
      </c>
      <c r="E65" s="2622" t="s">
        <v>2565</v>
      </c>
      <c r="F65" s="2622" t="s">
        <v>2566</v>
      </c>
      <c r="G65" s="2622" t="s">
        <v>2567</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2306</v>
      </c>
      <c r="C1" s="3581" t="s">
        <v>2307</v>
      </c>
      <c r="D1" s="3582"/>
      <c r="E1" s="3582"/>
      <c r="F1" s="3582"/>
      <c r="G1" s="3582"/>
      <c r="H1" s="3582"/>
      <c r="I1" s="3582"/>
      <c r="J1" s="3582"/>
      <c r="K1" s="3582"/>
      <c r="L1" s="3582"/>
      <c r="M1" s="3582"/>
      <c r="N1" s="3582"/>
      <c r="O1" s="3582"/>
      <c r="P1" s="3582"/>
      <c r="Q1" s="3582"/>
      <c r="R1" s="3582"/>
      <c r="S1" s="3583"/>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578" t="s">
        <v>20</v>
      </c>
      <c r="D22" s="3579"/>
      <c r="E22" s="3579"/>
      <c r="F22" s="3579"/>
      <c r="G22" s="3579"/>
      <c r="H22" s="3579"/>
      <c r="I22" s="3579"/>
      <c r="J22" s="3579"/>
      <c r="K22" s="3579"/>
      <c r="L22" s="3579"/>
      <c r="M22" s="3579"/>
      <c r="N22" s="3579"/>
      <c r="O22" s="3579"/>
      <c r="P22" s="3579"/>
      <c r="Q22" s="3580"/>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6"/>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6"/>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6"/>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6"/>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6"/>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6"/>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6"/>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6"/>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6"/>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6"/>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6"/>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6"/>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6"/>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6"/>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6"/>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6"/>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6"/>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6"/>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6"/>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6"/>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6"/>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6"/>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6"/>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6"/>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6"/>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6"/>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6"/>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6"/>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6"/>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6"/>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6"/>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6"/>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6"/>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6"/>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6"/>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6"/>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6"/>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6"/>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6"/>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6"/>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6"/>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6"/>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6"/>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6"/>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6"/>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6"/>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6"/>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6"/>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6"/>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6"/>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6"/>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6"/>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6"/>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6"/>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6"/>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6"/>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6"/>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6"/>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6"/>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6"/>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6"/>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6"/>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6"/>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6"/>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6"/>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6"/>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6"/>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6"/>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6"/>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6"/>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6"/>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6"/>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6"/>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6"/>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6"/>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6"/>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6"/>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6"/>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6"/>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6"/>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6"/>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6"/>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6"/>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6"/>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6"/>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6"/>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6"/>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6"/>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6"/>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6"/>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6"/>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6"/>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6"/>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6"/>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6"/>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6"/>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6"/>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6"/>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6"/>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6"/>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6"/>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6"/>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6"/>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6"/>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6"/>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6"/>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6"/>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6"/>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6"/>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6"/>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6"/>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6"/>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6"/>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6"/>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6"/>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6"/>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6"/>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6"/>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6"/>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6"/>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6"/>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6"/>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6"/>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6"/>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6"/>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6"/>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6"/>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6"/>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6"/>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6"/>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6"/>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6"/>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6"/>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6"/>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6"/>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6"/>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6"/>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6"/>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6"/>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6"/>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6"/>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6"/>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6"/>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6"/>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6"/>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6"/>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6"/>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6"/>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6"/>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6"/>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6"/>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6"/>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6"/>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6"/>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6"/>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6"/>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6"/>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6"/>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6"/>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6"/>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6"/>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6"/>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6"/>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6"/>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6"/>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6"/>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6"/>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6"/>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6"/>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6"/>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6"/>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6"/>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6"/>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6"/>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6"/>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6"/>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6"/>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6"/>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6"/>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6"/>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6"/>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6"/>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6"/>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6"/>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6"/>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6"/>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6"/>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6"/>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6"/>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6"/>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6"/>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6"/>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6"/>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6"/>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6"/>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6"/>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6"/>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6"/>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6"/>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6"/>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6"/>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6"/>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6"/>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6"/>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6"/>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6"/>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6"/>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6"/>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6"/>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6"/>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6"/>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6"/>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6"/>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6"/>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6"/>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6"/>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6"/>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6"/>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6"/>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6"/>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6"/>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6"/>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6"/>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6"/>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6"/>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6"/>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6"/>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6"/>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6"/>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6"/>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6"/>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6"/>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6"/>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6"/>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6"/>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6"/>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6"/>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6"/>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6"/>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6"/>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6"/>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6"/>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6"/>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6"/>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6"/>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6"/>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6"/>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6"/>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6"/>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6"/>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6"/>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6"/>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6"/>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6"/>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6"/>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6"/>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6"/>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6"/>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6"/>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6"/>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6"/>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6"/>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6"/>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6"/>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6"/>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6"/>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6"/>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6"/>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6"/>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6"/>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6"/>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6"/>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6"/>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6"/>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6"/>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6"/>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6"/>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6"/>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6"/>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6"/>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6"/>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6"/>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6"/>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6"/>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6"/>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6"/>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6"/>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6"/>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6"/>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6"/>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6"/>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6"/>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6"/>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6"/>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6"/>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6"/>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6"/>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6"/>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6"/>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6"/>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6"/>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6"/>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6"/>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6"/>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6"/>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6"/>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6"/>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6"/>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6"/>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6"/>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6"/>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6"/>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6"/>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6"/>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6"/>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6"/>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6"/>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6"/>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6"/>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6"/>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6"/>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6"/>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6"/>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6"/>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6"/>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6"/>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6"/>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6"/>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6"/>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6"/>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6"/>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6"/>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6"/>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6"/>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6"/>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6"/>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6"/>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6"/>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6"/>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6"/>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6"/>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6"/>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6"/>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6"/>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6"/>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6"/>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6"/>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6"/>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6"/>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6"/>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6"/>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6"/>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6"/>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6"/>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6"/>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6"/>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6"/>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6"/>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6"/>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6"/>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6"/>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6"/>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6"/>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6"/>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6"/>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6"/>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6"/>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6"/>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6"/>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6"/>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6"/>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6"/>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6"/>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6"/>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6"/>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6"/>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6"/>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6"/>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6"/>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6"/>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6"/>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6"/>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6"/>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6"/>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6"/>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6"/>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6"/>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6"/>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6"/>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6"/>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6"/>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6"/>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6"/>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6"/>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6"/>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6"/>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6"/>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6"/>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6"/>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6"/>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6"/>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6"/>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6"/>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6"/>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6"/>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6"/>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6"/>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6"/>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6"/>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6"/>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6"/>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6"/>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6"/>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6"/>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6"/>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6"/>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6"/>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6"/>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6"/>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6"/>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6"/>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6"/>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6"/>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6"/>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6"/>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6"/>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6"/>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6"/>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6"/>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6"/>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6"/>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6"/>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6"/>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6"/>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6"/>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6"/>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6"/>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6"/>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6"/>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6"/>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6"/>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6"/>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6"/>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6"/>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6"/>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6"/>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6"/>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6"/>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6"/>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6"/>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6"/>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6"/>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6"/>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6"/>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6"/>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6"/>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6"/>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6"/>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6"/>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6"/>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6"/>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6"/>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6"/>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6"/>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6"/>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6"/>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6"/>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6"/>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6"/>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6"/>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6"/>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6"/>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6"/>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6"/>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6"/>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6"/>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6"/>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6"/>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6"/>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6"/>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6"/>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6"/>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6"/>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6"/>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6"/>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6"/>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6"/>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6"/>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6"/>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6"/>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6"/>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6"/>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6"/>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6"/>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6"/>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6"/>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6"/>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6"/>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6"/>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国有建设用地使用权。根据《国有土地使用证》[]，估价对象（分摊）出让国有建设用地使用权面积为80775.5平方米。根据《建设工程规划许可证》[]、《出让合同》[]，估价对象规划建筑面积为177705.36平方米。</v>
      </c>
    </row>
    <row r="7" spans="1:4" ht="93.75">
      <c r="A7" s="2897"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本次评估为委托估价方了解标的物之市场价格提供参考依据而评估国有建设用地使用权市场价格。</v>
      </c>
    </row>
    <row r="10" spans="1:4" ht="18.75">
      <c r="A10" s="1797" t="s">
        <v>2029</v>
      </c>
    </row>
    <row r="11" spans="1:4" ht="18.75">
      <c r="A11" s="1780" t="str">
        <f>TEXT(项目基本情况!D3,"yyyy年m月d日;;")&amp;IF(项目基本情况!B3=项目基本情况!D3,"（评估专业人员勘察现场之日）","")</f>
        <v>2018年4月19日（评估专业人员勘察现场之日）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根据《国有土地使用证》[]，估价对象（分摊）出让国有建设用地使用权面积为80775.5平方米。根据《建设工程规划许可证》[]、《出让合同》[]，估价对象规划建筑面积为177705.36平方米。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9" t="s">
        <v>2753</v>
      </c>
    </row>
    <row r="24" spans="1:1" ht="18.75">
      <c r="A24" s="1791" t="s">
        <v>2078</v>
      </c>
    </row>
    <row r="25" spans="1:1" ht="150">
      <c r="A25" s="17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4月19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1"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2792</v>
      </c>
      <c r="C1" s="3027">
        <f>项目基本情况!D3</f>
        <v>43209</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2823</v>
      </c>
      <c r="C2" s="3028">
        <f>'数据-取费表'!B22</f>
        <v>2</v>
      </c>
      <c r="D2" s="3023" t="s">
        <v>2793</v>
      </c>
      <c r="E2" s="3026">
        <f ca="1">INDIRECT("I"&amp;$I$1)/100</f>
        <v>4.7500000000000001E-2</v>
      </c>
      <c r="G2" s="2963"/>
      <c r="H2" s="2963"/>
      <c r="I2" s="2963" t="s">
        <v>2794</v>
      </c>
      <c r="K2" s="2963"/>
      <c r="L2" s="2963"/>
      <c r="M2" s="2963"/>
      <c r="N2" s="2963" t="s">
        <v>2795</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2825</v>
      </c>
      <c r="C3" s="3025">
        <f>'数据-取费表'!B19</f>
        <v>0</v>
      </c>
      <c r="D3" s="3023" t="s">
        <v>2793</v>
      </c>
      <c r="E3" s="3026">
        <f ca="1">INDIRECT("J"&amp;$J$1)/100</f>
        <v>0</v>
      </c>
      <c r="G3" s="2965" t="s">
        <v>2796</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2824</v>
      </c>
      <c r="C4" s="3026">
        <f ca="1">N4/100</f>
        <v>1.4999999999999999E-2</v>
      </c>
      <c r="G4" s="2971" t="s">
        <v>2797</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2798</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2799</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2800</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2801</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2802</v>
      </c>
      <c r="C10" s="2990"/>
      <c r="D10" s="2990"/>
      <c r="E10" s="2990"/>
      <c r="F10" s="2990"/>
      <c r="G10" s="2990"/>
      <c r="H10" s="2990"/>
      <c r="I10" s="2964"/>
      <c r="J10" s="2964"/>
      <c r="K10" s="2990"/>
      <c r="L10" s="2991" t="s">
        <v>2803</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2804</v>
      </c>
      <c r="C11" s="2995" t="s">
        <v>2805</v>
      </c>
      <c r="D11" s="2996" t="s">
        <v>2806</v>
      </c>
      <c r="E11" s="2997"/>
      <c r="F11" s="2996" t="s">
        <v>2807</v>
      </c>
      <c r="G11" s="2998"/>
      <c r="H11" s="2997"/>
      <c r="I11" s="2996" t="s">
        <v>2808</v>
      </c>
      <c r="J11" s="2997"/>
      <c r="K11" s="2993"/>
      <c r="L11" s="2994" t="s">
        <v>2804</v>
      </c>
      <c r="M11" s="2995" t="s">
        <v>2805</v>
      </c>
      <c r="N11" s="2994" t="s">
        <v>2809</v>
      </c>
      <c r="O11" s="2996" t="s">
        <v>2810</v>
      </c>
      <c r="P11" s="2998"/>
      <c r="Q11" s="2998"/>
      <c r="R11" s="2998"/>
      <c r="S11" s="2998"/>
      <c r="T11" s="2997"/>
      <c r="U11" s="2996" t="s">
        <v>2811</v>
      </c>
      <c r="V11" s="2998"/>
      <c r="W11" s="2997"/>
      <c r="X11" s="2994" t="s">
        <v>2812</v>
      </c>
      <c r="Y11" s="2994" t="s">
        <v>2813</v>
      </c>
      <c r="Z11" s="2994" t="s">
        <v>2814</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2815</v>
      </c>
      <c r="E12" s="3003" t="s">
        <v>2816</v>
      </c>
      <c r="F12" s="3003" t="s">
        <v>2817</v>
      </c>
      <c r="G12" s="3003" t="s">
        <v>2818</v>
      </c>
      <c r="H12" s="3003" t="s">
        <v>2800</v>
      </c>
      <c r="I12" s="3004" t="s">
        <v>2819</v>
      </c>
      <c r="J12" s="3004" t="s">
        <v>2819</v>
      </c>
      <c r="K12" s="3000"/>
      <c r="L12" s="3001"/>
      <c r="M12" s="3002"/>
      <c r="N12" s="3001"/>
      <c r="O12" s="3004" t="s">
        <v>2820</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2821</v>
      </c>
      <c r="C13" s="3008">
        <v>42301</v>
      </c>
      <c r="D13" s="3009">
        <v>4.3499999999999996</v>
      </c>
      <c r="E13" s="3009">
        <v>4.3499999999999996</v>
      </c>
      <c r="F13" s="3009">
        <v>4.75</v>
      </c>
      <c r="G13" s="3009">
        <v>4.75</v>
      </c>
      <c r="H13" s="3009">
        <v>4.9000000000000004</v>
      </c>
      <c r="I13" s="3009">
        <v>2.75</v>
      </c>
      <c r="J13" s="3009">
        <v>3.25</v>
      </c>
      <c r="K13" s="3006"/>
      <c r="L13" s="3007" t="s">
        <v>2821</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2822</v>
      </c>
      <c r="Y42" s="3013" t="s">
        <v>2822</v>
      </c>
      <c r="Z42" s="3013" t="s">
        <v>2822</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2822</v>
      </c>
      <c r="Y43" s="3013" t="s">
        <v>2822</v>
      </c>
      <c r="Z43" s="3013" t="s">
        <v>2822</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2822</v>
      </c>
      <c r="Y44" s="3013" t="s">
        <v>2822</v>
      </c>
      <c r="Z44" s="3013" t="s">
        <v>2822</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2822</v>
      </c>
      <c r="Y45" s="3013" t="s">
        <v>2822</v>
      </c>
      <c r="Z45" s="3013" t="s">
        <v>2822</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2822</v>
      </c>
      <c r="Y46" s="3013" t="s">
        <v>2822</v>
      </c>
      <c r="Z46" s="3013" t="s">
        <v>2822</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2822</v>
      </c>
      <c r="Y47" s="3013" t="s">
        <v>2822</v>
      </c>
      <c r="Z47" s="3013" t="s">
        <v>2822</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2822</v>
      </c>
      <c r="Y48" s="3013" t="s">
        <v>2822</v>
      </c>
      <c r="Z48" s="3013" t="s">
        <v>2822</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2822</v>
      </c>
      <c r="Y49" s="3013" t="s">
        <v>2822</v>
      </c>
      <c r="Z49" s="3013" t="s">
        <v>2822</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2822</v>
      </c>
      <c r="Y50" s="3013" t="s">
        <v>2822</v>
      </c>
      <c r="Z50" s="3013" t="s">
        <v>2822</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2822</v>
      </c>
      <c r="V51" s="3013" t="s">
        <v>2822</v>
      </c>
      <c r="W51" s="3013" t="s">
        <v>2822</v>
      </c>
      <c r="X51" s="3013" t="s">
        <v>2822</v>
      </c>
      <c r="Y51" s="3013" t="s">
        <v>2822</v>
      </c>
      <c r="Z51" s="3013" t="s">
        <v>2822</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2822</v>
      </c>
      <c r="J55" s="3013" t="s">
        <v>2822</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1:AC57"/>
  <sheetViews>
    <sheetView workbookViewId="0">
      <pane xSplit="4" ySplit="9" topLeftCell="E10" activePane="bottomRight" state="frozen"/>
      <selection pane="topRight"/>
      <selection pane="bottomLeft"/>
      <selection pane="bottomRight" activeCell="H39" sqref="H39"/>
    </sheetView>
  </sheetViews>
  <sheetFormatPr defaultColWidth="9" defaultRowHeight="13.5"/>
  <cols>
    <col min="1" max="1" width="1.875" style="3198" customWidth="1"/>
    <col min="2" max="2" width="6.625" style="3198" customWidth="1"/>
    <col min="3" max="3" width="18" style="3198" customWidth="1"/>
    <col min="4" max="4" width="12.125" style="3198" customWidth="1"/>
    <col min="5" max="5" width="16.125" style="3198" customWidth="1"/>
    <col min="6" max="8" width="13.125" style="3198" customWidth="1"/>
    <col min="9" max="9" width="18" style="3198" customWidth="1"/>
    <col min="10" max="10" width="13.125" style="3198" customWidth="1"/>
    <col min="11" max="11" width="16.625" style="3198" customWidth="1"/>
    <col min="12" max="12" width="12.625" style="3198" customWidth="1"/>
    <col min="13" max="13" width="13.125" style="3198" customWidth="1"/>
    <col min="14" max="14" width="14.125" style="3198" customWidth="1"/>
    <col min="15" max="15" width="10.625" style="3198" customWidth="1"/>
    <col min="16" max="16" width="12" style="3198" customWidth="1"/>
    <col min="17" max="17" width="10.625" style="3198" customWidth="1"/>
    <col min="18" max="18" width="9.625" style="3198" customWidth="1"/>
    <col min="19" max="19" width="10.625" style="3198" customWidth="1"/>
    <col min="20" max="20" width="12" style="3198" customWidth="1"/>
    <col min="21" max="23" width="10.625" style="3198" customWidth="1"/>
    <col min="24" max="16384" width="9" style="3198"/>
  </cols>
  <sheetData>
    <row r="1" spans="2:23" ht="30" customHeight="1" thickBot="1">
      <c r="B1" s="3600" t="s">
        <v>3175</v>
      </c>
      <c r="C1" s="3600"/>
      <c r="D1" s="3600"/>
      <c r="E1" s="3600"/>
      <c r="F1" s="3600"/>
      <c r="G1" s="3600"/>
      <c r="H1" s="3600"/>
      <c r="I1" s="3600"/>
      <c r="J1" s="3600"/>
      <c r="K1" s="3600"/>
      <c r="L1" s="3600"/>
      <c r="M1" s="3600"/>
      <c r="N1" s="3600"/>
      <c r="O1" s="3600"/>
      <c r="P1" s="3600"/>
      <c r="Q1" s="3197"/>
      <c r="R1" s="3197"/>
    </row>
    <row r="2" spans="2:23" ht="14.1" customHeight="1">
      <c r="B2" s="3601" t="s">
        <v>3176</v>
      </c>
      <c r="C2" s="3602"/>
      <c r="D2" s="3199">
        <f>57852+22923.5</f>
        <v>80775.5</v>
      </c>
      <c r="E2" s="3200" t="s">
        <v>3177</v>
      </c>
      <c r="F2" s="3201">
        <f>F4/G45</f>
        <v>0.7384922622804988</v>
      </c>
      <c r="G2" s="3202" t="s">
        <v>3178</v>
      </c>
      <c r="H2" s="3199">
        <f>2.2</f>
        <v>2.2000000000000002</v>
      </c>
      <c r="I2" s="3203" t="s">
        <v>3179</v>
      </c>
      <c r="J2" s="3204">
        <f>D2-D4-L2</f>
        <v>50734.400000000001</v>
      </c>
      <c r="K2" s="3203" t="s">
        <v>3180</v>
      </c>
      <c r="L2" s="3205">
        <v>15155.1</v>
      </c>
      <c r="M2" s="3603" t="s">
        <v>3181</v>
      </c>
      <c r="N2" s="3605"/>
      <c r="O2" s="3206"/>
    </row>
    <row r="3" spans="2:23" ht="14.1" customHeight="1">
      <c r="B3" s="3607" t="s">
        <v>3182</v>
      </c>
      <c r="C3" s="3608"/>
      <c r="D3" s="3207">
        <f>D2</f>
        <v>80775.5</v>
      </c>
      <c r="E3" s="3208" t="s">
        <v>3183</v>
      </c>
      <c r="F3" s="3209">
        <f>F4+F5</f>
        <v>174234.85</v>
      </c>
      <c r="G3" s="3210" t="s">
        <v>3184</v>
      </c>
      <c r="H3" s="3209">
        <f>H2*D2</f>
        <v>177706.1</v>
      </c>
      <c r="I3" s="3210" t="s">
        <v>3185</v>
      </c>
      <c r="J3" s="3211">
        <v>4</v>
      </c>
      <c r="K3" s="3210" t="s">
        <v>3186</v>
      </c>
      <c r="L3" s="3212" t="e">
        <f>L2/A2</f>
        <v>#DIV/0!</v>
      </c>
      <c r="M3" s="3604"/>
      <c r="N3" s="3606"/>
      <c r="O3" s="3206"/>
    </row>
    <row r="4" spans="2:23" ht="14.1" customHeight="1">
      <c r="B4" s="3609" t="s">
        <v>3187</v>
      </c>
      <c r="C4" s="3610"/>
      <c r="D4" s="3207">
        <f>E45</f>
        <v>14886</v>
      </c>
      <c r="E4" s="3208" t="s">
        <v>3188</v>
      </c>
      <c r="F4" s="3209">
        <f>N45</f>
        <v>174234.85</v>
      </c>
      <c r="G4" s="3210" t="s">
        <v>3189</v>
      </c>
      <c r="H4" s="3209">
        <f>V18</f>
        <v>1580</v>
      </c>
      <c r="I4" s="3210" t="s">
        <v>3190</v>
      </c>
      <c r="J4" s="3211"/>
      <c r="K4" s="3213" t="s">
        <v>3191</v>
      </c>
      <c r="L4" s="3214">
        <f>L5+L6</f>
        <v>1859</v>
      </c>
      <c r="M4" s="3210" t="s">
        <v>3192</v>
      </c>
      <c r="N4" s="3215" t="e">
        <f>L4/E4</f>
        <v>#VALUE!</v>
      </c>
    </row>
    <row r="5" spans="2:23" ht="14.1" customHeight="1">
      <c r="B5" s="3609" t="s">
        <v>3193</v>
      </c>
      <c r="C5" s="3610"/>
      <c r="D5" s="3613">
        <f>U45</f>
        <v>15800</v>
      </c>
      <c r="E5" s="3208" t="s">
        <v>3194</v>
      </c>
      <c r="F5" s="3209">
        <f>O18</f>
        <v>0</v>
      </c>
      <c r="G5" s="3615" t="s">
        <v>3008</v>
      </c>
      <c r="H5" s="3617">
        <f>D4/D2</f>
        <v>0.18428855284089854</v>
      </c>
      <c r="I5" s="3615" t="s">
        <v>3195</v>
      </c>
      <c r="J5" s="3598">
        <f>J2/D2</f>
        <v>0.62809143861690742</v>
      </c>
      <c r="K5" s="3213" t="s">
        <v>3196</v>
      </c>
      <c r="L5" s="3216">
        <v>250</v>
      </c>
      <c r="M5" s="3213" t="s">
        <v>3197</v>
      </c>
      <c r="N5" s="3217">
        <f>L5/L4</f>
        <v>0.13448090371167296</v>
      </c>
    </row>
    <row r="6" spans="2:23" ht="14.1" customHeight="1" thickBot="1">
      <c r="B6" s="3611"/>
      <c r="C6" s="3612"/>
      <c r="D6" s="3614"/>
      <c r="E6" s="3218" t="s">
        <v>3198</v>
      </c>
      <c r="F6" s="3219">
        <f>F4</f>
        <v>174234.85</v>
      </c>
      <c r="G6" s="3616"/>
      <c r="H6" s="3618"/>
      <c r="I6" s="3616"/>
      <c r="J6" s="3599"/>
      <c r="K6" s="3220" t="s">
        <v>3199</v>
      </c>
      <c r="L6" s="3221">
        <v>1609</v>
      </c>
      <c r="M6" s="3220" t="s">
        <v>3200</v>
      </c>
      <c r="N6" s="3222">
        <f>L6/L4</f>
        <v>0.86551909628832702</v>
      </c>
    </row>
    <row r="7" spans="2:23" ht="15.95" customHeight="1" thickBot="1">
      <c r="B7" s="3223"/>
      <c r="C7" s="3223"/>
      <c r="D7" s="3223"/>
      <c r="E7" s="3223"/>
      <c r="F7" s="3223"/>
      <c r="P7" s="3223"/>
      <c r="Q7" s="3223"/>
      <c r="R7" s="3206"/>
    </row>
    <row r="8" spans="2:23" ht="13.5" customHeight="1">
      <c r="B8" s="3589" t="s">
        <v>3201</v>
      </c>
      <c r="C8" s="3590"/>
      <c r="D8" s="3590"/>
      <c r="E8" s="3592" t="s">
        <v>3202</v>
      </c>
      <c r="F8" s="3592" t="s">
        <v>3203</v>
      </c>
      <c r="G8" s="3592" t="s">
        <v>3204</v>
      </c>
      <c r="H8" s="3592" t="s">
        <v>3205</v>
      </c>
      <c r="I8" s="3592" t="s">
        <v>3206</v>
      </c>
      <c r="J8" s="3596" t="s">
        <v>3207</v>
      </c>
      <c r="K8" s="3596" t="s">
        <v>3208</v>
      </c>
      <c r="L8" s="3596" t="s">
        <v>3209</v>
      </c>
      <c r="M8" s="3592" t="s">
        <v>3210</v>
      </c>
      <c r="N8" s="3592" t="s">
        <v>3211</v>
      </c>
      <c r="O8" s="3592" t="s">
        <v>3212</v>
      </c>
      <c r="P8" s="3592" t="s">
        <v>3213</v>
      </c>
      <c r="Q8" s="3592" t="s">
        <v>3214</v>
      </c>
      <c r="R8" s="3592" t="s">
        <v>3215</v>
      </c>
      <c r="S8" s="3592" t="s">
        <v>3216</v>
      </c>
      <c r="T8" s="3592" t="s">
        <v>3217</v>
      </c>
      <c r="U8" s="3592" t="s">
        <v>3218</v>
      </c>
      <c r="V8" s="3592" t="s">
        <v>3219</v>
      </c>
      <c r="W8" s="3594" t="s">
        <v>3220</v>
      </c>
    </row>
    <row r="9" spans="2:23" ht="13.5" customHeight="1">
      <c r="B9" s="3224" t="s">
        <v>3221</v>
      </c>
      <c r="C9" s="3225" t="s">
        <v>3222</v>
      </c>
      <c r="D9" s="3225" t="s">
        <v>3223</v>
      </c>
      <c r="E9" s="3593"/>
      <c r="F9" s="3593"/>
      <c r="G9" s="3593"/>
      <c r="H9" s="3593"/>
      <c r="I9" s="3593"/>
      <c r="J9" s="3597"/>
      <c r="K9" s="3597"/>
      <c r="L9" s="3597"/>
      <c r="M9" s="3593"/>
      <c r="N9" s="3593"/>
      <c r="O9" s="3593"/>
      <c r="P9" s="3593"/>
      <c r="Q9" s="3593"/>
      <c r="R9" s="3593"/>
      <c r="S9" s="3593"/>
      <c r="T9" s="3593"/>
      <c r="U9" s="3593"/>
      <c r="V9" s="3593"/>
      <c r="W9" s="3595"/>
    </row>
    <row r="10" spans="2:23" ht="17.100000000000001" customHeight="1">
      <c r="B10" s="3584" t="s">
        <v>923</v>
      </c>
      <c r="C10" s="3226" t="s">
        <v>3224</v>
      </c>
      <c r="D10" s="3227"/>
      <c r="E10" s="3228"/>
      <c r="F10" s="3228"/>
      <c r="G10" s="3229"/>
      <c r="H10" s="3228"/>
      <c r="I10" s="3230"/>
      <c r="J10" s="3230"/>
      <c r="K10" s="3230"/>
      <c r="L10" s="3230"/>
      <c r="M10" s="3231"/>
      <c r="N10" s="3228"/>
      <c r="O10" s="3228"/>
      <c r="P10" s="3228"/>
      <c r="Q10" s="3228"/>
      <c r="R10" s="3228"/>
      <c r="S10" s="3228"/>
      <c r="T10" s="3228"/>
      <c r="U10" s="3228"/>
      <c r="V10" s="3232">
        <v>0</v>
      </c>
      <c r="W10" s="3233"/>
    </row>
    <row r="11" spans="2:23" ht="17.100000000000001" customHeight="1">
      <c r="B11" s="3584"/>
      <c r="C11" s="3226" t="s">
        <v>3225</v>
      </c>
      <c r="D11" s="3227"/>
      <c r="E11" s="3234"/>
      <c r="F11" s="3234"/>
      <c r="G11" s="3235"/>
      <c r="H11" s="3234"/>
      <c r="I11" s="3236"/>
      <c r="J11" s="3236"/>
      <c r="K11" s="3236"/>
      <c r="L11" s="3236"/>
      <c r="M11" s="3237"/>
      <c r="N11" s="3234"/>
      <c r="O11" s="3234"/>
      <c r="P11" s="3234"/>
      <c r="Q11" s="3234"/>
      <c r="R11" s="3234"/>
      <c r="S11" s="3234"/>
      <c r="T11" s="3234"/>
      <c r="U11" s="3234"/>
      <c r="V11" s="3234">
        <v>0</v>
      </c>
      <c r="W11" s="3238"/>
    </row>
    <row r="12" spans="2:23" ht="17.100000000000001" customHeight="1">
      <c r="B12" s="3584"/>
      <c r="C12" s="3226" t="s">
        <v>3226</v>
      </c>
      <c r="D12" s="3227"/>
      <c r="E12" s="3234"/>
      <c r="F12" s="3234"/>
      <c r="G12" s="3235"/>
      <c r="H12" s="3234"/>
      <c r="I12" s="3236"/>
      <c r="J12" s="3236"/>
      <c r="K12" s="3236"/>
      <c r="L12" s="3236"/>
      <c r="M12" s="3237"/>
      <c r="N12" s="3234"/>
      <c r="O12" s="3234"/>
      <c r="P12" s="3234"/>
      <c r="Q12" s="3234"/>
      <c r="R12" s="3234"/>
      <c r="S12" s="3234"/>
      <c r="T12" s="3234"/>
      <c r="U12" s="3234"/>
      <c r="V12" s="3234">
        <v>0</v>
      </c>
      <c r="W12" s="3238"/>
    </row>
    <row r="13" spans="2:23" ht="17.100000000000001" customHeight="1">
      <c r="B13" s="3584"/>
      <c r="C13" s="3226" t="s">
        <v>3227</v>
      </c>
      <c r="D13" s="3239"/>
      <c r="E13" s="3234"/>
      <c r="F13" s="3234"/>
      <c r="G13" s="3235"/>
      <c r="H13" s="3234"/>
      <c r="I13" s="3236"/>
      <c r="J13" s="3236"/>
      <c r="K13" s="3236"/>
      <c r="L13" s="3236"/>
      <c r="M13" s="3237"/>
      <c r="N13" s="3234"/>
      <c r="O13" s="3234"/>
      <c r="P13" s="3234"/>
      <c r="Q13" s="3234"/>
      <c r="R13" s="3234"/>
      <c r="S13" s="3234"/>
      <c r="T13" s="3234"/>
      <c r="U13" s="3234"/>
      <c r="V13" s="3234">
        <v>0</v>
      </c>
      <c r="W13" s="3238"/>
    </row>
    <row r="14" spans="2:23" ht="17.100000000000001" customHeight="1">
      <c r="B14" s="3584"/>
      <c r="C14" s="3226" t="s">
        <v>3228</v>
      </c>
      <c r="D14" s="3240"/>
      <c r="E14" s="3241">
        <v>7280</v>
      </c>
      <c r="F14" s="3241">
        <v>65833.850000000006</v>
      </c>
      <c r="G14" s="3235">
        <f>SUM(H14:L14)</f>
        <v>73113.850000000006</v>
      </c>
      <c r="H14" s="3234">
        <v>65833.850000000006</v>
      </c>
      <c r="I14" s="3241">
        <v>7280</v>
      </c>
      <c r="J14" s="3234"/>
      <c r="K14" s="3234"/>
      <c r="L14" s="3234"/>
      <c r="M14" s="3237">
        <f>N14+O14</f>
        <v>65833.850000000006</v>
      </c>
      <c r="N14" s="3234">
        <v>65833.850000000006</v>
      </c>
      <c r="O14" s="3234"/>
      <c r="P14" s="3234">
        <f>G14+U14</f>
        <v>78683.850000000006</v>
      </c>
      <c r="Q14" s="3241">
        <v>31</v>
      </c>
      <c r="R14" s="3241">
        <v>31</v>
      </c>
      <c r="S14" s="3241">
        <v>557</v>
      </c>
      <c r="T14" s="3234">
        <f>N14</f>
        <v>65833.850000000006</v>
      </c>
      <c r="U14" s="3241">
        <v>5570</v>
      </c>
      <c r="V14" s="3234">
        <f>S14</f>
        <v>557</v>
      </c>
      <c r="W14" s="3242">
        <f>Q14*9</f>
        <v>279</v>
      </c>
    </row>
    <row r="15" spans="2:23" ht="17.100000000000001" customHeight="1">
      <c r="B15" s="3584"/>
      <c r="C15" s="3226" t="s">
        <v>3229</v>
      </c>
      <c r="D15" s="3240"/>
      <c r="E15" s="3241">
        <v>3532</v>
      </c>
      <c r="F15" s="3241">
        <v>52943</v>
      </c>
      <c r="G15" s="3235">
        <f t="shared" ref="G15:G16" si="0">SUM(H15:L15)</f>
        <v>56475</v>
      </c>
      <c r="H15" s="3234">
        <v>52943</v>
      </c>
      <c r="I15" s="3241">
        <f>E15</f>
        <v>3532</v>
      </c>
      <c r="J15" s="3234"/>
      <c r="K15" s="3234"/>
      <c r="L15" s="3234"/>
      <c r="M15" s="3237">
        <f>N15+O15</f>
        <v>52943</v>
      </c>
      <c r="N15" s="3234">
        <v>52943</v>
      </c>
      <c r="O15" s="3234"/>
      <c r="P15" s="3234">
        <f t="shared" ref="P15:P16" si="1">G15+U15</f>
        <v>61305</v>
      </c>
      <c r="Q15" s="3241">
        <v>16</v>
      </c>
      <c r="R15" s="3241">
        <v>22</v>
      </c>
      <c r="S15" s="3241">
        <v>483</v>
      </c>
      <c r="T15" s="3234">
        <v>52943</v>
      </c>
      <c r="U15" s="3241">
        <v>4830</v>
      </c>
      <c r="V15" s="3234">
        <f t="shared" ref="V15:V16" si="2">S15</f>
        <v>483</v>
      </c>
      <c r="W15" s="3242">
        <v>208</v>
      </c>
    </row>
    <row r="16" spans="2:23" ht="27.95" customHeight="1">
      <c r="B16" s="3584"/>
      <c r="C16" s="3226" t="s">
        <v>3230</v>
      </c>
      <c r="D16" s="3239"/>
      <c r="E16" s="3241">
        <v>2058</v>
      </c>
      <c r="F16" s="3241">
        <v>55458</v>
      </c>
      <c r="G16" s="3235">
        <f t="shared" si="0"/>
        <v>57516</v>
      </c>
      <c r="H16" s="3234">
        <v>55458</v>
      </c>
      <c r="I16" s="3243">
        <f>E16</f>
        <v>2058</v>
      </c>
      <c r="J16" s="3236"/>
      <c r="K16" s="3236"/>
      <c r="L16" s="3236"/>
      <c r="M16" s="3237">
        <f>N16+O16</f>
        <v>55458</v>
      </c>
      <c r="N16" s="3234">
        <v>55458</v>
      </c>
      <c r="O16" s="3234"/>
      <c r="P16" s="3234">
        <f t="shared" si="1"/>
        <v>62916</v>
      </c>
      <c r="Q16" s="3241">
        <v>3</v>
      </c>
      <c r="R16" s="3241">
        <v>10</v>
      </c>
      <c r="S16" s="3241">
        <v>540</v>
      </c>
      <c r="T16" s="3234">
        <f>N16</f>
        <v>55458</v>
      </c>
      <c r="U16" s="3241">
        <v>5400</v>
      </c>
      <c r="V16" s="3234">
        <f t="shared" si="2"/>
        <v>540</v>
      </c>
      <c r="W16" s="3242">
        <f>27*5</f>
        <v>135</v>
      </c>
    </row>
    <row r="17" spans="2:23" ht="26.1" customHeight="1">
      <c r="B17" s="3584"/>
      <c r="C17" s="3226" t="s">
        <v>3231</v>
      </c>
      <c r="D17" s="3239"/>
      <c r="E17" s="3234"/>
      <c r="F17" s="3234"/>
      <c r="G17" s="3235"/>
      <c r="H17" s="3234"/>
      <c r="I17" s="3236"/>
      <c r="J17" s="3236"/>
      <c r="K17" s="3236"/>
      <c r="L17" s="3236"/>
      <c r="M17" s="3237"/>
      <c r="N17" s="3234"/>
      <c r="O17" s="3234"/>
      <c r="P17" s="3234"/>
      <c r="Q17" s="3234"/>
      <c r="R17" s="3234"/>
      <c r="S17" s="3234"/>
      <c r="T17" s="3234"/>
      <c r="U17" s="3234"/>
      <c r="V17" s="3234"/>
      <c r="W17" s="3238"/>
    </row>
    <row r="18" spans="2:23" ht="17.100000000000001" customHeight="1">
      <c r="B18" s="3584"/>
      <c r="C18" s="3585" t="s">
        <v>27</v>
      </c>
      <c r="D18" s="3585"/>
      <c r="E18" s="3244">
        <f t="shared" ref="E18:W18" si="3">SUM(E10:E17)</f>
        <v>12870</v>
      </c>
      <c r="F18" s="3244">
        <f t="shared" si="3"/>
        <v>174234.85</v>
      </c>
      <c r="G18" s="3244">
        <f t="shared" si="3"/>
        <v>187104.85</v>
      </c>
      <c r="H18" s="3244">
        <f t="shared" si="3"/>
        <v>174234.85</v>
      </c>
      <c r="I18" s="3244">
        <f t="shared" si="3"/>
        <v>12870</v>
      </c>
      <c r="J18" s="3244">
        <f t="shared" si="3"/>
        <v>0</v>
      </c>
      <c r="K18" s="3244">
        <f t="shared" si="3"/>
        <v>0</v>
      </c>
      <c r="L18" s="3244">
        <f t="shared" si="3"/>
        <v>0</v>
      </c>
      <c r="M18" s="3244">
        <f t="shared" si="3"/>
        <v>174234.85</v>
      </c>
      <c r="N18" s="3244">
        <f t="shared" si="3"/>
        <v>174234.85</v>
      </c>
      <c r="O18" s="3244">
        <f t="shared" si="3"/>
        <v>0</v>
      </c>
      <c r="P18" s="3244">
        <f t="shared" si="3"/>
        <v>202904.85</v>
      </c>
      <c r="Q18" s="3244">
        <f t="shared" si="3"/>
        <v>50</v>
      </c>
      <c r="R18" s="3244">
        <f t="shared" si="3"/>
        <v>63</v>
      </c>
      <c r="S18" s="3244">
        <f t="shared" si="3"/>
        <v>1580</v>
      </c>
      <c r="T18" s="3244">
        <f t="shared" si="3"/>
        <v>174234.85</v>
      </c>
      <c r="U18" s="3244">
        <f t="shared" si="3"/>
        <v>15800</v>
      </c>
      <c r="V18" s="3244">
        <f t="shared" si="3"/>
        <v>1580</v>
      </c>
      <c r="W18" s="3245">
        <f t="shared" si="3"/>
        <v>622</v>
      </c>
    </row>
    <row r="19" spans="2:23" ht="17.100000000000001" customHeight="1">
      <c r="B19" s="3584" t="s">
        <v>3232</v>
      </c>
      <c r="C19" s="3240" t="s">
        <v>3233</v>
      </c>
      <c r="D19" s="3240"/>
      <c r="E19" s="3234"/>
      <c r="F19" s="3234"/>
      <c r="G19" s="3235"/>
      <c r="H19" s="3234"/>
      <c r="I19" s="3234"/>
      <c r="J19" s="3234"/>
      <c r="K19" s="3234"/>
      <c r="L19" s="3234"/>
      <c r="M19" s="3246"/>
      <c r="N19" s="3234"/>
      <c r="O19" s="3234"/>
      <c r="P19" s="3234"/>
      <c r="Q19" s="3247"/>
      <c r="R19" s="3234"/>
      <c r="S19" s="3234"/>
      <c r="T19" s="3234"/>
      <c r="U19" s="3234"/>
      <c r="V19" s="3248"/>
      <c r="W19" s="3238"/>
    </row>
    <row r="20" spans="2:23" ht="17.100000000000001" customHeight="1">
      <c r="B20" s="3584"/>
      <c r="C20" s="3240" t="s">
        <v>3234</v>
      </c>
      <c r="D20" s="3240"/>
      <c r="E20" s="3234"/>
      <c r="F20" s="3234"/>
      <c r="G20" s="3235"/>
      <c r="H20" s="3234"/>
      <c r="I20" s="3249"/>
      <c r="J20" s="3249"/>
      <c r="K20" s="3249"/>
      <c r="L20" s="3249"/>
      <c r="M20" s="3246"/>
      <c r="N20" s="3234"/>
      <c r="O20" s="3234"/>
      <c r="P20" s="3234"/>
      <c r="Q20" s="3247"/>
      <c r="R20" s="3234"/>
      <c r="S20" s="3234"/>
      <c r="T20" s="3234"/>
      <c r="U20" s="3234"/>
      <c r="V20" s="3248"/>
      <c r="W20" s="3238"/>
    </row>
    <row r="21" spans="2:23" ht="17.100000000000001" customHeight="1">
      <c r="B21" s="3584"/>
      <c r="C21" s="3240" t="s">
        <v>3235</v>
      </c>
      <c r="D21" s="3240"/>
      <c r="E21" s="3234"/>
      <c r="F21" s="3234"/>
      <c r="G21" s="3235">
        <f>SUM(H21:L21)</f>
        <v>0</v>
      </c>
      <c r="H21" s="3241">
        <v>0</v>
      </c>
      <c r="I21" s="3249"/>
      <c r="J21" s="3249"/>
      <c r="K21" s="3249"/>
      <c r="L21" s="3249"/>
      <c r="M21" s="3246">
        <f>N21</f>
        <v>0</v>
      </c>
      <c r="N21" s="3234">
        <f>H21</f>
        <v>0</v>
      </c>
      <c r="O21" s="3234"/>
      <c r="P21" s="3234"/>
      <c r="Q21" s="3247"/>
      <c r="R21" s="3234"/>
      <c r="S21" s="3234"/>
      <c r="T21" s="3234"/>
      <c r="U21" s="3234"/>
      <c r="V21" s="3248"/>
      <c r="W21" s="3238"/>
    </row>
    <row r="22" spans="2:23" ht="17.100000000000001" customHeight="1">
      <c r="B22" s="3584"/>
      <c r="C22" s="3240" t="s">
        <v>3236</v>
      </c>
      <c r="D22" s="3240"/>
      <c r="E22" s="3234"/>
      <c r="F22" s="3234"/>
      <c r="G22" s="3235"/>
      <c r="H22" s="3234"/>
      <c r="I22" s="3249"/>
      <c r="J22" s="3249"/>
      <c r="K22" s="3249"/>
      <c r="L22" s="3249"/>
      <c r="M22" s="3246"/>
      <c r="N22" s="3234"/>
      <c r="O22" s="3234"/>
      <c r="P22" s="3234"/>
      <c r="Q22" s="3247"/>
      <c r="R22" s="3234"/>
      <c r="S22" s="3234"/>
      <c r="T22" s="3234"/>
      <c r="U22" s="3234"/>
      <c r="V22" s="3248"/>
      <c r="W22" s="3238"/>
    </row>
    <row r="23" spans="2:23" ht="17.100000000000001" customHeight="1">
      <c r="B23" s="3584"/>
      <c r="C23" s="3240" t="s">
        <v>3237</v>
      </c>
      <c r="D23" s="3240"/>
      <c r="E23" s="3234"/>
      <c r="F23" s="3234"/>
      <c r="G23" s="3235"/>
      <c r="H23" s="3234"/>
      <c r="I23" s="3234"/>
      <c r="J23" s="3234"/>
      <c r="K23" s="3234"/>
      <c r="L23" s="3234"/>
      <c r="M23" s="3246"/>
      <c r="N23" s="3234"/>
      <c r="O23" s="3234"/>
      <c r="P23" s="3234"/>
      <c r="Q23" s="3247"/>
      <c r="R23" s="3234"/>
      <c r="S23" s="3234"/>
      <c r="T23" s="3234"/>
      <c r="U23" s="3234"/>
      <c r="V23" s="3248"/>
      <c r="W23" s="3238"/>
    </row>
    <row r="24" spans="2:23" ht="17.100000000000001" customHeight="1">
      <c r="B24" s="3584"/>
      <c r="C24" s="3240" t="s">
        <v>3238</v>
      </c>
      <c r="D24" s="3240"/>
      <c r="E24" s="3234"/>
      <c r="F24" s="3234"/>
      <c r="G24" s="3235"/>
      <c r="H24" s="3234"/>
      <c r="I24" s="3249">
        <v>0</v>
      </c>
      <c r="J24" s="3249"/>
      <c r="K24" s="3249"/>
      <c r="L24" s="3249"/>
      <c r="M24" s="3246"/>
      <c r="N24" s="3234"/>
      <c r="O24" s="3234"/>
      <c r="P24" s="3234"/>
      <c r="Q24" s="3247"/>
      <c r="R24" s="3234"/>
      <c r="S24" s="3234"/>
      <c r="T24" s="3234"/>
      <c r="U24" s="3234"/>
      <c r="V24" s="3248"/>
      <c r="W24" s="3238"/>
    </row>
    <row r="25" spans="2:23" ht="17.100000000000001" customHeight="1">
      <c r="B25" s="3584"/>
      <c r="C25" s="3240" t="s">
        <v>3239</v>
      </c>
      <c r="D25" s="3240"/>
      <c r="E25" s="3234"/>
      <c r="F25" s="3234"/>
      <c r="G25" s="3235"/>
      <c r="H25" s="3234"/>
      <c r="I25" s="3249">
        <v>0</v>
      </c>
      <c r="J25" s="3249"/>
      <c r="K25" s="3249"/>
      <c r="L25" s="3249"/>
      <c r="M25" s="3246"/>
      <c r="N25" s="3234"/>
      <c r="O25" s="3234"/>
      <c r="P25" s="3234"/>
      <c r="Q25" s="3247"/>
      <c r="R25" s="3234"/>
      <c r="S25" s="3234"/>
      <c r="T25" s="3234"/>
      <c r="U25" s="3234"/>
      <c r="V25" s="3248"/>
      <c r="W25" s="3238"/>
    </row>
    <row r="26" spans="2:23" ht="17.100000000000001" customHeight="1">
      <c r="B26" s="3584"/>
      <c r="C26" s="3240" t="s">
        <v>3240</v>
      </c>
      <c r="D26" s="3227"/>
      <c r="E26" s="3234"/>
      <c r="F26" s="3234"/>
      <c r="G26" s="3235"/>
      <c r="H26" s="3234"/>
      <c r="I26" s="3249">
        <v>0</v>
      </c>
      <c r="J26" s="3249"/>
      <c r="K26" s="3249"/>
      <c r="L26" s="3249"/>
      <c r="M26" s="3246"/>
      <c r="N26" s="3234"/>
      <c r="O26" s="3234"/>
      <c r="P26" s="3234"/>
      <c r="Q26" s="3247"/>
      <c r="R26" s="3234"/>
      <c r="S26" s="3234"/>
      <c r="T26" s="3234"/>
      <c r="U26" s="3234"/>
      <c r="V26" s="3248"/>
      <c r="W26" s="3238"/>
    </row>
    <row r="27" spans="2:23" ht="17.100000000000001" customHeight="1">
      <c r="B27" s="3584"/>
      <c r="C27" s="3240" t="s">
        <v>3241</v>
      </c>
      <c r="D27" s="3227"/>
      <c r="E27" s="3234"/>
      <c r="F27" s="3234"/>
      <c r="G27" s="3235"/>
      <c r="H27" s="3234"/>
      <c r="I27" s="3249">
        <v>0</v>
      </c>
      <c r="J27" s="3249"/>
      <c r="K27" s="3249"/>
      <c r="L27" s="3249"/>
      <c r="M27" s="3246"/>
      <c r="N27" s="3234"/>
      <c r="O27" s="3234"/>
      <c r="P27" s="3234"/>
      <c r="Q27" s="3247"/>
      <c r="R27" s="3234"/>
      <c r="S27" s="3234"/>
      <c r="T27" s="3234"/>
      <c r="U27" s="3234"/>
      <c r="V27" s="3248"/>
      <c r="W27" s="3238"/>
    </row>
    <row r="28" spans="2:23" ht="17.100000000000001" customHeight="1">
      <c r="B28" s="3584"/>
      <c r="C28" s="3240" t="s">
        <v>3242</v>
      </c>
      <c r="D28" s="3227"/>
      <c r="E28" s="3234"/>
      <c r="F28" s="3234"/>
      <c r="G28" s="3235"/>
      <c r="H28" s="3234"/>
      <c r="I28" s="3249">
        <v>0</v>
      </c>
      <c r="J28" s="3249"/>
      <c r="K28" s="3249"/>
      <c r="L28" s="3249"/>
      <c r="M28" s="3246"/>
      <c r="N28" s="3234"/>
      <c r="O28" s="3234"/>
      <c r="P28" s="3234"/>
      <c r="Q28" s="3247"/>
      <c r="R28" s="3234"/>
      <c r="S28" s="3234"/>
      <c r="T28" s="3234"/>
      <c r="U28" s="3234"/>
      <c r="V28" s="3248"/>
      <c r="W28" s="3238"/>
    </row>
    <row r="29" spans="2:23" ht="17.100000000000001" customHeight="1">
      <c r="B29" s="3584"/>
      <c r="C29" s="3240" t="s">
        <v>3243</v>
      </c>
      <c r="D29" s="3227"/>
      <c r="E29" s="3234"/>
      <c r="F29" s="3234"/>
      <c r="G29" s="3235"/>
      <c r="H29" s="3234"/>
      <c r="I29" s="3249">
        <v>0</v>
      </c>
      <c r="J29" s="3249"/>
      <c r="K29" s="3249"/>
      <c r="L29" s="3249"/>
      <c r="M29" s="3246"/>
      <c r="N29" s="3234"/>
      <c r="O29" s="3234"/>
      <c r="P29" s="3234"/>
      <c r="Q29" s="3247"/>
      <c r="R29" s="3234"/>
      <c r="S29" s="3234"/>
      <c r="T29" s="3234"/>
      <c r="U29" s="3234"/>
      <c r="V29" s="3248"/>
      <c r="W29" s="3238"/>
    </row>
    <row r="30" spans="2:23" ht="17.100000000000001" customHeight="1">
      <c r="B30" s="3584"/>
      <c r="C30" s="3240" t="s">
        <v>3244</v>
      </c>
      <c r="D30" s="3227"/>
      <c r="E30" s="3234"/>
      <c r="F30" s="3234"/>
      <c r="G30" s="3235"/>
      <c r="H30" s="3234"/>
      <c r="I30" s="3249">
        <v>0</v>
      </c>
      <c r="J30" s="3249"/>
      <c r="K30" s="3249"/>
      <c r="L30" s="3249"/>
      <c r="M30" s="3246"/>
      <c r="N30" s="3234"/>
      <c r="O30" s="3234"/>
      <c r="P30" s="3234"/>
      <c r="Q30" s="3247"/>
      <c r="R30" s="3234"/>
      <c r="S30" s="3234"/>
      <c r="T30" s="3234"/>
      <c r="U30" s="3234"/>
      <c r="V30" s="3248"/>
      <c r="W30" s="3238"/>
    </row>
    <row r="31" spans="2:23" ht="17.100000000000001" customHeight="1">
      <c r="B31" s="3584"/>
      <c r="C31" s="3585" t="s">
        <v>27</v>
      </c>
      <c r="D31" s="3585"/>
      <c r="E31" s="3244">
        <f>SUM(E19:E30)</f>
        <v>0</v>
      </c>
      <c r="F31" s="3244">
        <f t="shared" ref="F31:W31" si="4">SUM(F19:F30)</f>
        <v>0</v>
      </c>
      <c r="G31" s="3244">
        <f t="shared" si="4"/>
        <v>0</v>
      </c>
      <c r="H31" s="3244">
        <f t="shared" si="4"/>
        <v>0</v>
      </c>
      <c r="I31" s="3244">
        <f t="shared" si="4"/>
        <v>0</v>
      </c>
      <c r="J31" s="3244">
        <f t="shared" si="4"/>
        <v>0</v>
      </c>
      <c r="K31" s="3244">
        <f t="shared" si="4"/>
        <v>0</v>
      </c>
      <c r="L31" s="3244">
        <f t="shared" si="4"/>
        <v>0</v>
      </c>
      <c r="M31" s="3244">
        <f t="shared" si="4"/>
        <v>0</v>
      </c>
      <c r="N31" s="3244">
        <f t="shared" si="4"/>
        <v>0</v>
      </c>
      <c r="O31" s="3244">
        <f t="shared" si="4"/>
        <v>0</v>
      </c>
      <c r="P31" s="3244">
        <f t="shared" si="4"/>
        <v>0</v>
      </c>
      <c r="Q31" s="3244">
        <f t="shared" si="4"/>
        <v>0</v>
      </c>
      <c r="R31" s="3244">
        <f t="shared" si="4"/>
        <v>0</v>
      </c>
      <c r="S31" s="3250">
        <f t="shared" si="4"/>
        <v>0</v>
      </c>
      <c r="T31" s="3244">
        <f t="shared" si="4"/>
        <v>0</v>
      </c>
      <c r="U31" s="3244">
        <f t="shared" si="4"/>
        <v>0</v>
      </c>
      <c r="V31" s="3250">
        <f t="shared" si="4"/>
        <v>0</v>
      </c>
      <c r="W31" s="3245">
        <f t="shared" si="4"/>
        <v>0</v>
      </c>
    </row>
    <row r="32" spans="2:23" ht="17.100000000000001" customHeight="1">
      <c r="B32" s="3584" t="s">
        <v>3245</v>
      </c>
      <c r="C32" s="3239" t="s">
        <v>3246</v>
      </c>
      <c r="D32" s="3240"/>
      <c r="E32" s="3241">
        <v>0</v>
      </c>
      <c r="F32" s="3234"/>
      <c r="G32" s="3235">
        <f>SUM(H32:L32)</f>
        <v>9710</v>
      </c>
      <c r="H32" s="3251">
        <v>0</v>
      </c>
      <c r="I32" s="3241">
        <v>9710</v>
      </c>
      <c r="J32" s="3234"/>
      <c r="K32" s="3234"/>
      <c r="L32" s="3234"/>
      <c r="M32" s="3246">
        <f t="shared" ref="M32:M34" si="5">N32+O32</f>
        <v>0</v>
      </c>
      <c r="N32" s="3247">
        <v>0</v>
      </c>
      <c r="O32" s="3247">
        <v>0</v>
      </c>
      <c r="P32" s="3234">
        <f t="shared" ref="P32:P34" si="6">G32+U32</f>
        <v>9710</v>
      </c>
      <c r="Q32" s="3247">
        <v>0</v>
      </c>
      <c r="R32" s="3234"/>
      <c r="S32" s="3247">
        <v>0</v>
      </c>
      <c r="T32" s="3247">
        <v>0</v>
      </c>
      <c r="U32" s="3247">
        <v>0</v>
      </c>
      <c r="V32" s="3252">
        <v>0</v>
      </c>
      <c r="W32" s="3238"/>
    </row>
    <row r="33" spans="2:29" ht="17.100000000000001" customHeight="1">
      <c r="B33" s="3584"/>
      <c r="C33" s="3239" t="s">
        <v>3247</v>
      </c>
      <c r="D33" s="3240"/>
      <c r="E33" s="3234">
        <v>0</v>
      </c>
      <c r="F33" s="3234"/>
      <c r="G33" s="3235"/>
      <c r="H33" s="3249"/>
      <c r="I33" s="3241"/>
      <c r="J33" s="3234"/>
      <c r="K33" s="3234"/>
      <c r="L33" s="3234"/>
      <c r="M33" s="3246">
        <f t="shared" si="5"/>
        <v>0</v>
      </c>
      <c r="N33" s="3247">
        <v>0</v>
      </c>
      <c r="O33" s="3247">
        <v>0</v>
      </c>
      <c r="P33" s="3234">
        <f t="shared" si="6"/>
        <v>0</v>
      </c>
      <c r="Q33" s="3247">
        <v>0</v>
      </c>
      <c r="R33" s="3234"/>
      <c r="S33" s="3247">
        <v>0</v>
      </c>
      <c r="T33" s="3247">
        <v>0</v>
      </c>
      <c r="U33" s="3247">
        <v>0</v>
      </c>
      <c r="V33" s="3252">
        <v>0</v>
      </c>
      <c r="W33" s="3238"/>
    </row>
    <row r="34" spans="2:29" ht="21.95" customHeight="1">
      <c r="B34" s="3584"/>
      <c r="C34" s="3239" t="s">
        <v>3248</v>
      </c>
      <c r="D34" s="3240"/>
      <c r="E34" s="3241">
        <v>0</v>
      </c>
      <c r="F34" s="3234"/>
      <c r="G34" s="3235">
        <f>SUM(H34:L34)</f>
        <v>25322</v>
      </c>
      <c r="H34" s="3234">
        <v>0</v>
      </c>
      <c r="I34" s="3241">
        <f>25702+12490-I18</f>
        <v>25322</v>
      </c>
      <c r="J34" s="3234"/>
      <c r="K34" s="3234"/>
      <c r="L34" s="3234"/>
      <c r="M34" s="3246">
        <f t="shared" si="5"/>
        <v>25322</v>
      </c>
      <c r="N34" s="3234">
        <v>0</v>
      </c>
      <c r="O34" s="3234">
        <f>I34</f>
        <v>25322</v>
      </c>
      <c r="P34" s="3234">
        <f t="shared" si="6"/>
        <v>25322</v>
      </c>
      <c r="Q34" s="3247">
        <v>0</v>
      </c>
      <c r="R34" s="3234"/>
      <c r="S34" s="3247">
        <v>0</v>
      </c>
      <c r="T34" s="3247">
        <v>0</v>
      </c>
      <c r="U34" s="3247">
        <v>0</v>
      </c>
      <c r="V34" s="3252">
        <v>0</v>
      </c>
      <c r="W34" s="3238"/>
    </row>
    <row r="35" spans="2:29" ht="21.95" customHeight="1">
      <c r="B35" s="3584"/>
      <c r="C35" s="3239" t="s">
        <v>3249</v>
      </c>
      <c r="D35" s="3240"/>
      <c r="E35" s="3241">
        <v>0</v>
      </c>
      <c r="F35" s="3234"/>
      <c r="G35" s="3235"/>
      <c r="H35" s="3249"/>
      <c r="I35" s="3241"/>
      <c r="J35" s="3234"/>
      <c r="K35" s="3234"/>
      <c r="L35" s="3234"/>
      <c r="M35" s="3253">
        <v>0</v>
      </c>
      <c r="N35" s="3247">
        <v>0</v>
      </c>
      <c r="O35" s="3247">
        <v>0</v>
      </c>
      <c r="P35" s="3234">
        <v>0</v>
      </c>
      <c r="Q35" s="3247">
        <v>0</v>
      </c>
      <c r="R35" s="3234"/>
      <c r="S35" s="3247">
        <v>0</v>
      </c>
      <c r="T35" s="3247">
        <v>0</v>
      </c>
      <c r="U35" s="3247">
        <v>0</v>
      </c>
      <c r="V35" s="3252">
        <v>0</v>
      </c>
      <c r="W35" s="3238"/>
    </row>
    <row r="36" spans="2:29" ht="17.100000000000001" customHeight="1">
      <c r="B36" s="3584"/>
      <c r="C36" s="3239" t="s">
        <v>3250</v>
      </c>
      <c r="D36" s="3239"/>
      <c r="E36" s="3234"/>
      <c r="F36" s="3234"/>
      <c r="G36" s="3235"/>
      <c r="H36" s="3234"/>
      <c r="I36" s="3249"/>
      <c r="J36" s="3249"/>
      <c r="K36" s="3249"/>
      <c r="L36" s="3249"/>
      <c r="M36" s="3253">
        <v>0</v>
      </c>
      <c r="N36" s="3247">
        <v>0</v>
      </c>
      <c r="O36" s="3247">
        <v>0</v>
      </c>
      <c r="P36" s="3234">
        <v>0</v>
      </c>
      <c r="Q36" s="3247">
        <v>0</v>
      </c>
      <c r="R36" s="3234"/>
      <c r="S36" s="3247">
        <v>0</v>
      </c>
      <c r="T36" s="3234"/>
      <c r="U36" s="3234">
        <v>0</v>
      </c>
      <c r="V36" s="3252">
        <v>0</v>
      </c>
      <c r="W36" s="3238"/>
    </row>
    <row r="37" spans="2:29" ht="17.100000000000001" customHeight="1">
      <c r="B37" s="3584"/>
      <c r="C37" s="3227" t="s">
        <v>3251</v>
      </c>
      <c r="D37" s="3240"/>
      <c r="E37" s="3234"/>
      <c r="F37" s="3234"/>
      <c r="G37" s="3235"/>
      <c r="H37" s="3234"/>
      <c r="I37" s="3249"/>
      <c r="J37" s="3249"/>
      <c r="K37" s="3249"/>
      <c r="L37" s="3249"/>
      <c r="M37" s="3253">
        <v>0</v>
      </c>
      <c r="N37" s="3247">
        <v>0</v>
      </c>
      <c r="O37" s="3247">
        <v>0</v>
      </c>
      <c r="P37" s="3234">
        <v>0</v>
      </c>
      <c r="Q37" s="3247">
        <v>0</v>
      </c>
      <c r="R37" s="3234"/>
      <c r="S37" s="3247">
        <v>0</v>
      </c>
      <c r="T37" s="3234"/>
      <c r="U37" s="3234">
        <v>0</v>
      </c>
      <c r="V37" s="3252">
        <v>0</v>
      </c>
      <c r="W37" s="3238"/>
    </row>
    <row r="38" spans="2:29" ht="17.100000000000001" customHeight="1">
      <c r="B38" s="3584"/>
      <c r="C38" s="3239" t="s">
        <v>3252</v>
      </c>
      <c r="D38" s="3239"/>
      <c r="E38" s="3234"/>
      <c r="F38" s="3234"/>
      <c r="G38" s="3235"/>
      <c r="H38" s="3234"/>
      <c r="I38" s="3249"/>
      <c r="J38" s="3249"/>
      <c r="K38" s="3249"/>
      <c r="L38" s="3249"/>
      <c r="M38" s="3253">
        <v>0</v>
      </c>
      <c r="N38" s="3247">
        <v>0</v>
      </c>
      <c r="O38" s="3247">
        <v>0</v>
      </c>
      <c r="P38" s="3234">
        <f>G38+U38</f>
        <v>0</v>
      </c>
      <c r="Q38" s="3247">
        <v>0</v>
      </c>
      <c r="R38" s="3234"/>
      <c r="S38" s="3247">
        <v>0</v>
      </c>
      <c r="T38" s="3234"/>
      <c r="U38" s="3234">
        <v>0</v>
      </c>
      <c r="V38" s="3252">
        <v>0</v>
      </c>
      <c r="W38" s="3238"/>
    </row>
    <row r="39" spans="2:29" ht="17.100000000000001" customHeight="1">
      <c r="B39" s="3584"/>
      <c r="C39" s="3239" t="s">
        <v>3253</v>
      </c>
      <c r="D39" s="3254"/>
      <c r="E39" s="3241">
        <v>2016</v>
      </c>
      <c r="F39" s="3234">
        <v>3471.36</v>
      </c>
      <c r="G39" s="3235">
        <f t="shared" ref="G39:G42" si="7">SUM(H39:L39)</f>
        <v>3471.36</v>
      </c>
      <c r="H39" s="3241">
        <v>3471.36</v>
      </c>
      <c r="I39" s="3249"/>
      <c r="J39" s="3249"/>
      <c r="K39" s="3249"/>
      <c r="L39" s="3249"/>
      <c r="M39" s="3246">
        <f t="shared" ref="M39:M42" si="8">N39+O39</f>
        <v>0</v>
      </c>
      <c r="N39" s="3247">
        <v>0</v>
      </c>
      <c r="O39" s="3247">
        <v>0</v>
      </c>
      <c r="P39" s="3234">
        <f>G39+U39</f>
        <v>3471.36</v>
      </c>
      <c r="Q39" s="3247">
        <v>0</v>
      </c>
      <c r="R39" s="3234"/>
      <c r="S39" s="3247">
        <v>0</v>
      </c>
      <c r="T39" s="3234"/>
      <c r="U39" s="3234">
        <v>0</v>
      </c>
      <c r="V39" s="3252">
        <v>0</v>
      </c>
      <c r="W39" s="3238">
        <v>2</v>
      </c>
    </row>
    <row r="40" spans="2:29" ht="17.100000000000001" customHeight="1">
      <c r="B40" s="3584"/>
      <c r="C40" s="3239" t="s">
        <v>3254</v>
      </c>
      <c r="D40" s="3254"/>
      <c r="E40" s="3234"/>
      <c r="F40" s="3234"/>
      <c r="G40" s="3235"/>
      <c r="H40" s="3234"/>
      <c r="I40" s="3249"/>
      <c r="J40" s="3249"/>
      <c r="K40" s="3249"/>
      <c r="L40" s="3249"/>
      <c r="M40" s="3246">
        <f t="shared" si="8"/>
        <v>0</v>
      </c>
      <c r="N40" s="3247"/>
      <c r="O40" s="3247"/>
      <c r="P40" s="3234">
        <f>G40+U40</f>
        <v>0</v>
      </c>
      <c r="Q40" s="3247"/>
      <c r="R40" s="3234"/>
      <c r="S40" s="3247"/>
      <c r="T40" s="3234"/>
      <c r="U40" s="3234"/>
      <c r="V40" s="3252"/>
      <c r="W40" s="3238"/>
    </row>
    <row r="41" spans="2:29" ht="17.100000000000001" customHeight="1">
      <c r="B41" s="3584"/>
      <c r="C41" s="3239" t="s">
        <v>3255</v>
      </c>
      <c r="D41" s="3239"/>
      <c r="E41" s="3234"/>
      <c r="F41" s="3234"/>
      <c r="G41" s="3235">
        <f t="shared" si="7"/>
        <v>0</v>
      </c>
      <c r="H41" s="3234"/>
      <c r="I41" s="3249"/>
      <c r="J41" s="3249"/>
      <c r="K41" s="3249"/>
      <c r="L41" s="3249"/>
      <c r="M41" s="3246">
        <f t="shared" si="8"/>
        <v>0</v>
      </c>
      <c r="N41" s="3247">
        <v>0</v>
      </c>
      <c r="O41" s="3247">
        <v>0</v>
      </c>
      <c r="P41" s="3234">
        <f>G41+U41</f>
        <v>0</v>
      </c>
      <c r="Q41" s="3247">
        <v>0</v>
      </c>
      <c r="R41" s="3234"/>
      <c r="S41" s="3247">
        <v>0</v>
      </c>
      <c r="T41" s="3234"/>
      <c r="U41" s="3234">
        <v>0</v>
      </c>
      <c r="V41" s="3252">
        <v>0</v>
      </c>
      <c r="W41" s="3238"/>
    </row>
    <row r="42" spans="2:29" ht="17.100000000000001" customHeight="1">
      <c r="B42" s="3584"/>
      <c r="C42" s="3239" t="s">
        <v>3256</v>
      </c>
      <c r="D42" s="3239" t="s">
        <v>3257</v>
      </c>
      <c r="E42" s="3234"/>
      <c r="F42" s="3234"/>
      <c r="G42" s="3235">
        <f t="shared" si="7"/>
        <v>10325</v>
      </c>
      <c r="H42" s="3234"/>
      <c r="I42" s="3249">
        <f>9632+693</f>
        <v>10325</v>
      </c>
      <c r="J42" s="3249"/>
      <c r="K42" s="3249"/>
      <c r="L42" s="3249"/>
      <c r="M42" s="3246">
        <f t="shared" si="8"/>
        <v>0</v>
      </c>
      <c r="N42" s="3247"/>
      <c r="O42" s="3247"/>
      <c r="P42" s="3234">
        <f>G42+U42</f>
        <v>10325</v>
      </c>
      <c r="Q42" s="3247"/>
      <c r="R42" s="3234"/>
      <c r="S42" s="3247"/>
      <c r="T42" s="3234"/>
      <c r="U42" s="3234"/>
      <c r="V42" s="3252"/>
      <c r="W42" s="3238"/>
    </row>
    <row r="43" spans="2:29" ht="17.100000000000001" customHeight="1">
      <c r="B43" s="3584"/>
      <c r="C43" s="3239" t="s">
        <v>3258</v>
      </c>
      <c r="D43" s="3239"/>
      <c r="E43" s="3234"/>
      <c r="F43" s="3234"/>
      <c r="G43" s="3235"/>
      <c r="H43" s="3234"/>
      <c r="I43" s="3249"/>
      <c r="J43" s="3249"/>
      <c r="K43" s="3249"/>
      <c r="L43" s="3249"/>
      <c r="M43" s="3253"/>
      <c r="N43" s="3247"/>
      <c r="O43" s="3247"/>
      <c r="P43" s="3234"/>
      <c r="Q43" s="3247"/>
      <c r="R43" s="3234"/>
      <c r="S43" s="3247"/>
      <c r="T43" s="3234"/>
      <c r="U43" s="3234"/>
      <c r="V43" s="3252"/>
      <c r="W43" s="3238"/>
    </row>
    <row r="44" spans="2:29" ht="17.100000000000001" customHeight="1">
      <c r="B44" s="3584"/>
      <c r="C44" s="3585" t="s">
        <v>27</v>
      </c>
      <c r="D44" s="3585"/>
      <c r="E44" s="3244">
        <f>SUM(E32:E43)</f>
        <v>2016</v>
      </c>
      <c r="F44" s="3244">
        <f t="shared" ref="F44:W44" si="9">SUM(F32:F43)</f>
        <v>3471.36</v>
      </c>
      <c r="G44" s="3244">
        <f t="shared" si="9"/>
        <v>48828.36</v>
      </c>
      <c r="H44" s="3244">
        <f t="shared" si="9"/>
        <v>3471.36</v>
      </c>
      <c r="I44" s="3244">
        <f t="shared" si="9"/>
        <v>45357</v>
      </c>
      <c r="J44" s="3244">
        <f t="shared" si="9"/>
        <v>0</v>
      </c>
      <c r="K44" s="3244">
        <f t="shared" si="9"/>
        <v>0</v>
      </c>
      <c r="L44" s="3244">
        <f t="shared" si="9"/>
        <v>0</v>
      </c>
      <c r="M44" s="3244">
        <f t="shared" si="9"/>
        <v>25322</v>
      </c>
      <c r="N44" s="3244">
        <f t="shared" si="9"/>
        <v>0</v>
      </c>
      <c r="O44" s="3244">
        <f t="shared" si="9"/>
        <v>25322</v>
      </c>
      <c r="P44" s="3244">
        <f t="shared" si="9"/>
        <v>48828.36</v>
      </c>
      <c r="Q44" s="3244">
        <f t="shared" si="9"/>
        <v>0</v>
      </c>
      <c r="R44" s="3244">
        <f t="shared" si="9"/>
        <v>0</v>
      </c>
      <c r="S44" s="3244">
        <f t="shared" si="9"/>
        <v>0</v>
      </c>
      <c r="T44" s="3244">
        <f t="shared" si="9"/>
        <v>0</v>
      </c>
      <c r="U44" s="3244">
        <f t="shared" si="9"/>
        <v>0</v>
      </c>
      <c r="V44" s="3244">
        <f t="shared" si="9"/>
        <v>0</v>
      </c>
      <c r="W44" s="3244">
        <f t="shared" si="9"/>
        <v>2</v>
      </c>
    </row>
    <row r="45" spans="2:29" ht="18" customHeight="1" thickBot="1">
      <c r="B45" s="3586" t="s">
        <v>24</v>
      </c>
      <c r="C45" s="3587"/>
      <c r="D45" s="3587"/>
      <c r="E45" s="3255">
        <f>E44+E31+E18</f>
        <v>14886</v>
      </c>
      <c r="F45" s="3255">
        <f t="shared" ref="F45:W45" si="10">F44+F31+F18</f>
        <v>177706.21</v>
      </c>
      <c r="G45" s="3255">
        <f t="shared" si="10"/>
        <v>235933.21000000002</v>
      </c>
      <c r="H45" s="3255">
        <f t="shared" si="10"/>
        <v>177706.21</v>
      </c>
      <c r="I45" s="3255">
        <f t="shared" si="10"/>
        <v>58227</v>
      </c>
      <c r="J45" s="3255">
        <f t="shared" si="10"/>
        <v>0</v>
      </c>
      <c r="K45" s="3255">
        <f t="shared" si="10"/>
        <v>0</v>
      </c>
      <c r="L45" s="3255">
        <f t="shared" si="10"/>
        <v>0</v>
      </c>
      <c r="M45" s="3255">
        <f t="shared" si="10"/>
        <v>199556.85</v>
      </c>
      <c r="N45" s="3255">
        <f t="shared" si="10"/>
        <v>174234.85</v>
      </c>
      <c r="O45" s="3255">
        <f t="shared" si="10"/>
        <v>25322</v>
      </c>
      <c r="P45" s="3255">
        <f t="shared" si="10"/>
        <v>251733.21000000002</v>
      </c>
      <c r="Q45" s="3255">
        <f t="shared" si="10"/>
        <v>50</v>
      </c>
      <c r="R45" s="3255">
        <f t="shared" si="10"/>
        <v>63</v>
      </c>
      <c r="S45" s="3255">
        <f t="shared" si="10"/>
        <v>1580</v>
      </c>
      <c r="T45" s="3255">
        <f t="shared" si="10"/>
        <v>174234.85</v>
      </c>
      <c r="U45" s="3255">
        <f t="shared" si="10"/>
        <v>15800</v>
      </c>
      <c r="V45" s="3255">
        <f t="shared" si="10"/>
        <v>1580</v>
      </c>
      <c r="W45" s="3256">
        <f t="shared" si="10"/>
        <v>624</v>
      </c>
    </row>
    <row r="46" spans="2:29" ht="18" customHeight="1">
      <c r="B46" s="3588" t="s">
        <v>3259</v>
      </c>
      <c r="C46" s="3588"/>
      <c r="D46" s="3588"/>
      <c r="E46" s="3257"/>
      <c r="F46" s="3257"/>
      <c r="G46" s="3257"/>
      <c r="H46" s="3257"/>
      <c r="I46" s="3257"/>
      <c r="J46" s="3257"/>
      <c r="K46" s="3257"/>
      <c r="L46" s="3257"/>
      <c r="M46" s="3257"/>
      <c r="N46" s="3257"/>
      <c r="O46" s="3257"/>
      <c r="P46" s="3257"/>
      <c r="Q46" s="3257"/>
      <c r="R46" s="3257"/>
      <c r="S46" s="3257"/>
      <c r="T46" s="3257"/>
    </row>
    <row r="48" spans="2:29" ht="27" customHeight="1">
      <c r="B48" s="3589" t="s">
        <v>3260</v>
      </c>
      <c r="C48" s="3590"/>
      <c r="D48" s="3202" t="s">
        <v>3261</v>
      </c>
      <c r="E48" s="3202" t="s">
        <v>3262</v>
      </c>
      <c r="F48" s="3202" t="s">
        <v>3263</v>
      </c>
      <c r="G48" s="3202" t="s">
        <v>3264</v>
      </c>
      <c r="H48" s="3258" t="s">
        <v>3265</v>
      </c>
      <c r="I48" s="3259"/>
      <c r="J48" s="3259"/>
      <c r="K48" s="3259"/>
      <c r="L48" s="3259"/>
      <c r="N48" s="3260"/>
      <c r="O48" s="3261"/>
      <c r="P48" s="3260"/>
      <c r="Q48" s="3260"/>
      <c r="R48" s="3260"/>
      <c r="S48" s="3261"/>
      <c r="T48" s="3261"/>
      <c r="U48" s="3261"/>
      <c r="V48" s="3261"/>
      <c r="W48" s="3261"/>
      <c r="X48" s="3261"/>
      <c r="Y48" s="3261"/>
      <c r="Z48" s="3261"/>
      <c r="AA48" s="3261"/>
      <c r="AB48" s="3261"/>
      <c r="AC48" s="3261"/>
    </row>
    <row r="49" spans="2:29" ht="17.100000000000001" customHeight="1">
      <c r="B49" s="3584" t="s">
        <v>3266</v>
      </c>
      <c r="C49" s="3262" t="s">
        <v>3267</v>
      </c>
      <c r="D49" s="3263">
        <v>1348</v>
      </c>
      <c r="E49" s="3264">
        <v>48517</v>
      </c>
      <c r="F49" s="3265"/>
      <c r="G49" s="3266">
        <f>E49/D49</f>
        <v>35.991839762611278</v>
      </c>
      <c r="H49" s="3267">
        <v>3.3</v>
      </c>
      <c r="I49" s="3268">
        <f>D49*30</f>
        <v>40440</v>
      </c>
      <c r="J49" s="3268">
        <f>E49-I49</f>
        <v>8077</v>
      </c>
      <c r="K49" s="3268"/>
      <c r="L49" s="3268"/>
      <c r="N49" s="3269"/>
      <c r="O49" s="3261"/>
      <c r="P49" s="3260" t="s">
        <v>2994</v>
      </c>
      <c r="Q49" s="3260"/>
      <c r="R49" s="3260"/>
      <c r="S49" s="3261"/>
      <c r="T49" s="3261"/>
      <c r="U49" s="3261"/>
      <c r="V49" s="3261"/>
      <c r="W49" s="3261"/>
      <c r="X49" s="3261"/>
      <c r="Y49" s="3261"/>
      <c r="Z49" s="3261"/>
      <c r="AA49" s="3261"/>
      <c r="AB49" s="3261"/>
      <c r="AC49" s="3261"/>
    </row>
    <row r="50" spans="2:29" ht="17.100000000000001" customHeight="1">
      <c r="B50" s="3584"/>
      <c r="C50" s="3262" t="s">
        <v>3268</v>
      </c>
      <c r="D50" s="3263">
        <v>261</v>
      </c>
      <c r="E50" s="3270">
        <v>9710</v>
      </c>
      <c r="F50" s="3271"/>
      <c r="G50" s="3266">
        <f>E50/D50</f>
        <v>37.203065134099617</v>
      </c>
      <c r="H50" s="3272">
        <v>3.4</v>
      </c>
      <c r="I50" s="3268">
        <f>D50*30</f>
        <v>7830</v>
      </c>
      <c r="J50" s="3268">
        <f>E50-I50</f>
        <v>1880</v>
      </c>
      <c r="K50" s="3273"/>
      <c r="L50" s="3273"/>
      <c r="N50" s="3269"/>
      <c r="O50" s="3261"/>
      <c r="P50" s="3260"/>
      <c r="Q50" s="3260"/>
      <c r="R50" s="3274"/>
      <c r="S50" s="3261"/>
      <c r="T50" s="3261"/>
      <c r="U50" s="3261"/>
      <c r="V50" s="3261"/>
      <c r="W50" s="3261"/>
      <c r="X50" s="3261"/>
      <c r="Y50" s="3261"/>
      <c r="Z50" s="3261"/>
      <c r="AA50" s="3261"/>
      <c r="AB50" s="3261"/>
      <c r="AC50" s="3261"/>
    </row>
    <row r="51" spans="2:29" ht="17.100000000000001" customHeight="1">
      <c r="B51" s="3584"/>
      <c r="C51" s="3262" t="s">
        <v>3269</v>
      </c>
      <c r="D51" s="3275">
        <v>142</v>
      </c>
      <c r="E51" s="3264">
        <f>I42</f>
        <v>10325</v>
      </c>
      <c r="F51" s="3276"/>
      <c r="G51" s="3266">
        <f>E51/D51</f>
        <v>72.711267605633807</v>
      </c>
      <c r="H51" s="3277"/>
      <c r="I51" s="3268"/>
      <c r="J51" s="3268"/>
      <c r="K51" s="3268"/>
      <c r="L51" s="3268"/>
      <c r="N51" s="3260"/>
      <c r="O51" s="3261"/>
      <c r="P51" s="3260"/>
      <c r="Q51" s="3260"/>
      <c r="R51" s="3260"/>
      <c r="S51" s="3261"/>
      <c r="T51" s="3261"/>
      <c r="U51" s="3261"/>
      <c r="V51" s="3261"/>
      <c r="W51" s="3261"/>
      <c r="X51" s="3261"/>
      <c r="Y51" s="3261"/>
      <c r="Z51" s="3261"/>
      <c r="AA51" s="3261"/>
      <c r="AB51" s="3261"/>
      <c r="AC51" s="3261"/>
    </row>
    <row r="52" spans="2:29" ht="17.100000000000001" customHeight="1">
      <c r="B52" s="3584"/>
      <c r="C52" s="3262" t="s">
        <v>3270</v>
      </c>
      <c r="D52" s="3278"/>
      <c r="E52" s="3264"/>
      <c r="F52" s="3279"/>
      <c r="G52" s="3264"/>
      <c r="H52" s="3277"/>
      <c r="I52" s="3268"/>
      <c r="J52" s="3268"/>
      <c r="K52" s="3268"/>
      <c r="L52" s="3268"/>
      <c r="N52" s="3260"/>
      <c r="O52" s="3261"/>
      <c r="P52" s="3260"/>
      <c r="Q52" s="3260"/>
      <c r="R52" s="3260"/>
      <c r="S52" s="3261"/>
      <c r="T52" s="3261"/>
      <c r="U52" s="3261"/>
      <c r="V52" s="3261"/>
      <c r="W52" s="3261"/>
      <c r="X52" s="3261"/>
      <c r="Y52" s="3261"/>
      <c r="Z52" s="3261"/>
      <c r="AA52" s="3261"/>
      <c r="AB52" s="3261"/>
      <c r="AC52" s="3261"/>
    </row>
    <row r="53" spans="2:29" ht="17.100000000000001" customHeight="1">
      <c r="B53" s="3584"/>
      <c r="C53" s="3262" t="s">
        <v>3271</v>
      </c>
      <c r="D53" s="3280"/>
      <c r="E53" s="3264"/>
      <c r="F53" s="3264"/>
      <c r="G53" s="3264"/>
      <c r="H53" s="3277"/>
      <c r="I53" s="3268"/>
      <c r="J53" s="3268"/>
      <c r="K53" s="3268"/>
      <c r="L53" s="3268"/>
      <c r="N53" s="3260"/>
      <c r="O53" s="3260"/>
      <c r="P53" s="3260"/>
      <c r="Q53" s="3260"/>
      <c r="R53" s="3260"/>
      <c r="S53" s="3261"/>
      <c r="T53" s="3261"/>
      <c r="U53" s="3261"/>
      <c r="V53" s="3261"/>
      <c r="W53" s="3261"/>
      <c r="X53" s="3261"/>
      <c r="Y53" s="3261"/>
      <c r="Z53" s="3261"/>
      <c r="AA53" s="3261"/>
      <c r="AB53" s="3261"/>
      <c r="AC53" s="3261"/>
    </row>
    <row r="54" spans="2:29" ht="17.100000000000001" customHeight="1" thickBot="1">
      <c r="B54" s="3591"/>
      <c r="C54" s="3281" t="s">
        <v>27</v>
      </c>
      <c r="D54" s="3282"/>
      <c r="E54" s="3282"/>
      <c r="F54" s="3283"/>
      <c r="G54" s="3282"/>
      <c r="H54" s="3284"/>
      <c r="I54" s="3285"/>
      <c r="J54" s="3285"/>
      <c r="K54" s="3285"/>
      <c r="L54" s="3285"/>
      <c r="N54" s="3260"/>
      <c r="O54" s="3260"/>
      <c r="P54" s="3260"/>
      <c r="Q54" s="3260"/>
      <c r="R54" s="3260"/>
      <c r="S54" s="3261"/>
      <c r="T54" s="3261"/>
      <c r="U54" s="3261"/>
      <c r="V54" s="3261"/>
      <c r="W54" s="3261"/>
      <c r="X54" s="3261"/>
      <c r="Y54" s="3261"/>
      <c r="Z54" s="3261"/>
      <c r="AA54" s="3261"/>
      <c r="AB54" s="3261"/>
      <c r="AC54" s="3261"/>
    </row>
    <row r="56" spans="2:29">
      <c r="B56" s="3261" t="s">
        <v>3272</v>
      </c>
    </row>
    <row r="57" spans="2:29">
      <c r="B57" s="3261" t="s">
        <v>3273</v>
      </c>
    </row>
  </sheetData>
  <mergeCells count="42">
    <mergeCell ref="J5:J6"/>
    <mergeCell ref="B1:P1"/>
    <mergeCell ref="B2:C2"/>
    <mergeCell ref="M2:M3"/>
    <mergeCell ref="N2:N3"/>
    <mergeCell ref="B3:C3"/>
    <mergeCell ref="B4:C4"/>
    <mergeCell ref="B5:C6"/>
    <mergeCell ref="D5:D6"/>
    <mergeCell ref="G5:G6"/>
    <mergeCell ref="H5:H6"/>
    <mergeCell ref="I5:I6"/>
    <mergeCell ref="M8:M9"/>
    <mergeCell ref="N8:N9"/>
    <mergeCell ref="O8:O9"/>
    <mergeCell ref="B8:D8"/>
    <mergeCell ref="E8:E9"/>
    <mergeCell ref="F8:F9"/>
    <mergeCell ref="G8:G9"/>
    <mergeCell ref="H8:H9"/>
    <mergeCell ref="I8:I9"/>
    <mergeCell ref="B49:B54"/>
    <mergeCell ref="V8:V9"/>
    <mergeCell ref="W8:W9"/>
    <mergeCell ref="B10:B18"/>
    <mergeCell ref="C18:D18"/>
    <mergeCell ref="B19:B31"/>
    <mergeCell ref="C31:D31"/>
    <mergeCell ref="P8:P9"/>
    <mergeCell ref="Q8:Q9"/>
    <mergeCell ref="R8:R9"/>
    <mergeCell ref="S8:S9"/>
    <mergeCell ref="T8:T9"/>
    <mergeCell ref="U8:U9"/>
    <mergeCell ref="J8:J9"/>
    <mergeCell ref="K8:K9"/>
    <mergeCell ref="L8:L9"/>
    <mergeCell ref="B32:B44"/>
    <mergeCell ref="C44:D44"/>
    <mergeCell ref="B45:D45"/>
    <mergeCell ref="B46:D46"/>
    <mergeCell ref="B48:C48"/>
  </mergeCells>
  <phoneticPr fontId="233" type="noConversion"/>
  <printOptions horizontalCentered="1"/>
  <pageMargins left="0.35416666666666702" right="0.35416666666666702" top="0.59027777777777801" bottom="0.59027777777777801" header="0.51180555555555596" footer="0.51180555555555596"/>
  <pageSetup paperSize="8" scale="80"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J12" sqref="J12"/>
    </sheetView>
  </sheetViews>
  <sheetFormatPr defaultRowHeight="13.5"/>
  <sheetData>
    <row r="1" spans="1:7" ht="15" thickBot="1">
      <c r="A1" s="3176"/>
      <c r="B1" s="3177"/>
      <c r="C1" s="3177"/>
      <c r="D1" s="3177"/>
      <c r="E1" s="3177"/>
      <c r="F1" s="3177"/>
      <c r="G1" s="3177"/>
    </row>
    <row r="2" spans="1:7" ht="15" thickBot="1">
      <c r="A2" s="3619"/>
      <c r="B2" s="3619"/>
      <c r="C2" s="3178"/>
      <c r="D2" s="3178"/>
      <c r="E2" s="3178"/>
      <c r="F2" s="3178"/>
      <c r="G2" s="3178"/>
    </row>
    <row r="3" spans="1:7" ht="15" thickBot="1">
      <c r="A3" s="3621"/>
      <c r="B3" s="3621"/>
      <c r="C3" s="3178"/>
      <c r="D3" s="3178"/>
      <c r="E3" s="3178"/>
      <c r="F3" s="3179"/>
      <c r="G3" s="3178"/>
    </row>
    <row r="4" spans="1:7" ht="15" thickBot="1">
      <c r="A4" s="3619"/>
      <c r="B4" s="3619"/>
      <c r="C4" s="3178"/>
      <c r="D4" s="3178"/>
      <c r="E4" s="3178"/>
      <c r="F4" s="3178"/>
      <c r="G4" s="3178"/>
    </row>
    <row r="5" spans="1:7" ht="15" thickBot="1">
      <c r="A5" s="3620"/>
      <c r="B5" s="3620"/>
      <c r="C5" s="3178"/>
      <c r="D5" s="3178"/>
      <c r="E5" s="3178"/>
      <c r="F5" s="3178"/>
      <c r="G5" s="3178"/>
    </row>
    <row r="6" spans="1:7" ht="15" thickBot="1">
      <c r="A6" s="3621"/>
      <c r="B6" s="3621"/>
      <c r="C6" s="3178"/>
      <c r="D6" s="3178"/>
      <c r="E6" s="3178"/>
      <c r="F6" s="3179"/>
      <c r="G6" s="3178"/>
    </row>
    <row r="7" spans="1:7" ht="15" thickBot="1">
      <c r="A7" s="3619"/>
      <c r="B7" s="3619"/>
      <c r="C7" s="3178"/>
      <c r="D7" s="3178"/>
      <c r="E7" s="3178"/>
      <c r="F7" s="3178"/>
      <c r="G7" s="3178"/>
    </row>
    <row r="8" spans="1:7" ht="15" thickBot="1">
      <c r="A8" s="3620"/>
      <c r="B8" s="3620"/>
      <c r="C8" s="3178"/>
      <c r="D8" s="3178"/>
      <c r="E8" s="3178"/>
      <c r="F8" s="3178"/>
      <c r="G8" s="3178"/>
    </row>
    <row r="9" spans="1:7" ht="15" thickBot="1">
      <c r="A9" s="3621"/>
      <c r="B9" s="3621"/>
      <c r="C9" s="3178"/>
      <c r="D9" s="3178"/>
      <c r="E9" s="3178"/>
      <c r="F9" s="3179"/>
      <c r="G9" s="3178"/>
    </row>
    <row r="10" spans="1:7" ht="15" thickBot="1">
      <c r="A10" s="3619"/>
      <c r="B10" s="3619"/>
      <c r="C10" s="3178"/>
      <c r="D10" s="3178"/>
      <c r="E10" s="3178"/>
      <c r="F10" s="3178"/>
      <c r="G10" s="3178"/>
    </row>
    <row r="11" spans="1:7" ht="15" thickBot="1">
      <c r="A11" s="3620"/>
      <c r="B11" s="3620"/>
      <c r="C11" s="3178"/>
      <c r="D11" s="3178"/>
      <c r="E11" s="3178"/>
      <c r="F11" s="3178"/>
      <c r="G11" s="3178"/>
    </row>
    <row r="12" spans="1:7" ht="15" thickBot="1">
      <c r="A12" s="3621"/>
      <c r="B12" s="3621"/>
      <c r="C12" s="3178"/>
      <c r="D12" s="3178"/>
      <c r="E12" s="3178"/>
      <c r="F12" s="3179"/>
      <c r="G12" s="3178"/>
    </row>
    <row r="13" spans="1:7" ht="15" thickBot="1">
      <c r="A13" s="3619"/>
      <c r="B13" s="3619"/>
      <c r="C13" s="3178"/>
      <c r="D13" s="3178"/>
      <c r="E13" s="3178"/>
      <c r="F13" s="3178"/>
      <c r="G13" s="3178"/>
    </row>
    <row r="14" spans="1:7" ht="15" thickBot="1">
      <c r="A14" s="3620"/>
      <c r="B14" s="3620"/>
      <c r="C14" s="3178"/>
      <c r="D14" s="3178"/>
      <c r="E14" s="3178"/>
      <c r="F14" s="3178"/>
      <c r="G14" s="3178"/>
    </row>
    <row r="15" spans="1:7" ht="15" thickBot="1">
      <c r="A15" s="3621"/>
      <c r="B15" s="3621"/>
      <c r="C15" s="3178"/>
      <c r="D15" s="3178"/>
      <c r="E15" s="3178"/>
      <c r="F15" s="3179"/>
      <c r="G15" s="3178"/>
    </row>
    <row r="16" spans="1:7" ht="15" thickBot="1">
      <c r="A16" s="3180"/>
      <c r="B16" s="3179"/>
      <c r="C16" s="3179"/>
      <c r="D16" s="3178"/>
      <c r="E16" s="3178"/>
      <c r="F16" s="3178"/>
      <c r="G16" s="3178"/>
    </row>
    <row r="18" spans="2:2">
      <c r="B18" s="3181"/>
    </row>
    <row r="19" spans="2:2">
      <c r="B19" s="3181"/>
    </row>
  </sheetData>
  <mergeCells count="10">
    <mergeCell ref="A10:A12"/>
    <mergeCell ref="B10:B12"/>
    <mergeCell ref="A13:A15"/>
    <mergeCell ref="B13:B15"/>
    <mergeCell ref="A2:A3"/>
    <mergeCell ref="B2:B3"/>
    <mergeCell ref="A4:A6"/>
    <mergeCell ref="B4:B6"/>
    <mergeCell ref="A7:A9"/>
    <mergeCell ref="B7:B9"/>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
  <sheetViews>
    <sheetView topLeftCell="X1" workbookViewId="0">
      <selection activeCell="AL26" sqref="AL26"/>
    </sheetView>
  </sheetViews>
  <sheetFormatPr defaultRowHeight="13.5"/>
  <sheetData>
    <row r="1" spans="1:44" s="3189" customFormat="1">
      <c r="A1" s="3286" t="s">
        <v>3275</v>
      </c>
      <c r="B1" s="3189" t="s">
        <v>3040</v>
      </c>
      <c r="C1" s="3189" t="s">
        <v>3041</v>
      </c>
      <c r="D1" s="3189" t="s">
        <v>3042</v>
      </c>
      <c r="E1" s="3189" t="s">
        <v>2822</v>
      </c>
      <c r="F1" s="3189" t="s">
        <v>3039</v>
      </c>
      <c r="G1" s="3189" t="s">
        <v>3043</v>
      </c>
      <c r="H1" s="3189" t="s">
        <v>3044</v>
      </c>
      <c r="I1" s="3189" t="s">
        <v>3045</v>
      </c>
      <c r="J1" s="3189">
        <v>149306</v>
      </c>
      <c r="K1" s="3189">
        <v>223959</v>
      </c>
      <c r="L1" s="3189">
        <v>1.5</v>
      </c>
      <c r="M1" s="3189" t="s">
        <v>2822</v>
      </c>
      <c r="N1" s="3189" t="s">
        <v>3047</v>
      </c>
      <c r="O1" s="3189" t="s">
        <v>3048</v>
      </c>
      <c r="P1" s="3189" t="s">
        <v>2822</v>
      </c>
      <c r="Q1" s="3189" t="s">
        <v>2822</v>
      </c>
      <c r="R1" s="3189" t="s">
        <v>2822</v>
      </c>
      <c r="S1" s="3189" t="s">
        <v>2822</v>
      </c>
      <c r="T1" s="3189" t="s">
        <v>2822</v>
      </c>
      <c r="U1" s="3189" t="s">
        <v>2822</v>
      </c>
      <c r="V1" s="3189" t="s">
        <v>2822</v>
      </c>
      <c r="W1" s="3189" t="s">
        <v>3049</v>
      </c>
      <c r="X1" s="3189" t="s">
        <v>3050</v>
      </c>
      <c r="Y1" s="3189" t="s">
        <v>3051</v>
      </c>
      <c r="Z1" s="3189" t="s">
        <v>3052</v>
      </c>
      <c r="AA1" s="3189" t="s">
        <v>3052</v>
      </c>
      <c r="AB1" s="3189" t="s">
        <v>3053</v>
      </c>
      <c r="AC1" s="3189" t="s">
        <v>3054</v>
      </c>
      <c r="AD1" s="3189" t="s">
        <v>3055</v>
      </c>
      <c r="AE1" s="3189">
        <v>14862</v>
      </c>
      <c r="AF1" s="3189">
        <v>74309.600000000006</v>
      </c>
      <c r="AG1" s="3189">
        <v>96929.44</v>
      </c>
      <c r="AH1" s="3189">
        <v>331.8</v>
      </c>
      <c r="AI1" s="3189">
        <v>432.8</v>
      </c>
      <c r="AJ1" s="3189">
        <v>3318</v>
      </c>
      <c r="AK1" s="3189">
        <v>4328</v>
      </c>
      <c r="AL1" s="3189">
        <f>ROUND(AG1*10000/J1,0)</f>
        <v>6492</v>
      </c>
      <c r="AM1" s="3189" t="s">
        <v>2822</v>
      </c>
      <c r="AN1" s="3189">
        <v>30.44</v>
      </c>
      <c r="AO1" s="3189" t="s">
        <v>3056</v>
      </c>
      <c r="AP1" s="3189" t="s">
        <v>2822</v>
      </c>
      <c r="AQ1" s="3189" t="s">
        <v>2822</v>
      </c>
      <c r="AR1" s="3189" t="s">
        <v>2822</v>
      </c>
    </row>
    <row r="2" spans="1:44" s="3189" customFormat="1">
      <c r="A2" s="3286" t="s">
        <v>3276</v>
      </c>
      <c r="B2" s="3189" t="s">
        <v>3040</v>
      </c>
      <c r="C2" s="3189" t="s">
        <v>3068</v>
      </c>
      <c r="D2" s="3189" t="s">
        <v>3042</v>
      </c>
      <c r="E2" s="3189" t="s">
        <v>2822</v>
      </c>
      <c r="F2" s="3189" t="s">
        <v>3100</v>
      </c>
      <c r="G2" s="3189" t="s">
        <v>3043</v>
      </c>
      <c r="H2" s="3189">
        <v>201706007</v>
      </c>
      <c r="I2" s="3189" t="s">
        <v>3101</v>
      </c>
      <c r="J2" s="3189">
        <v>97645</v>
      </c>
      <c r="K2" s="3189">
        <v>205054.5</v>
      </c>
      <c r="L2" s="3189">
        <v>2.1</v>
      </c>
      <c r="M2" s="3189" t="s">
        <v>2822</v>
      </c>
      <c r="N2" s="3189">
        <v>35</v>
      </c>
      <c r="O2" s="3189" t="s">
        <v>2822</v>
      </c>
      <c r="P2" s="3189" t="s">
        <v>2822</v>
      </c>
      <c r="Q2" s="3189" t="s">
        <v>2822</v>
      </c>
      <c r="R2" s="3189" t="s">
        <v>2822</v>
      </c>
      <c r="S2" s="3189" t="s">
        <v>2822</v>
      </c>
      <c r="T2" s="3189" t="s">
        <v>2822</v>
      </c>
      <c r="U2" s="3189" t="s">
        <v>2822</v>
      </c>
      <c r="V2" s="3189" t="s">
        <v>2822</v>
      </c>
      <c r="W2" s="3189" t="s">
        <v>3092</v>
      </c>
      <c r="X2" s="3189" t="s">
        <v>3103</v>
      </c>
      <c r="Y2" s="3189" t="s">
        <v>3104</v>
      </c>
      <c r="Z2" s="3189" t="s">
        <v>3105</v>
      </c>
      <c r="AA2" s="3189" t="s">
        <v>3105</v>
      </c>
      <c r="AB2" s="3189" t="s">
        <v>3106</v>
      </c>
      <c r="AC2" s="3189" t="s">
        <v>3054</v>
      </c>
      <c r="AD2" s="3189" t="s">
        <v>3110</v>
      </c>
      <c r="AE2" s="3189">
        <v>8000</v>
      </c>
      <c r="AF2" s="3189">
        <v>40600.79</v>
      </c>
      <c r="AG2" s="3189">
        <v>71933.11</v>
      </c>
      <c r="AH2" s="3189">
        <v>277.2</v>
      </c>
      <c r="AI2" s="3189">
        <v>491.12</v>
      </c>
      <c r="AJ2" s="3189">
        <v>1980</v>
      </c>
      <c r="AK2" s="3189">
        <v>3508</v>
      </c>
      <c r="AL2" s="3189">
        <f t="shared" ref="AL2:AL3" si="0">ROUND(AG2*10000/J2,0)</f>
        <v>7367</v>
      </c>
      <c r="AM2" s="3189" t="s">
        <v>2822</v>
      </c>
      <c r="AN2" s="3189">
        <v>77.17</v>
      </c>
      <c r="AO2" s="3189">
        <v>70</v>
      </c>
      <c r="AP2" s="3189" t="s">
        <v>2822</v>
      </c>
      <c r="AQ2" s="3189" t="s">
        <v>2822</v>
      </c>
      <c r="AR2" s="3189" t="s">
        <v>2822</v>
      </c>
    </row>
    <row r="3" spans="1:44" s="3189" customFormat="1">
      <c r="A3" s="3286" t="s">
        <v>3277</v>
      </c>
      <c r="B3" s="3189" t="s">
        <v>3040</v>
      </c>
      <c r="C3" s="3189" t="s">
        <v>3068</v>
      </c>
      <c r="D3" s="3189" t="s">
        <v>3042</v>
      </c>
      <c r="E3" s="3189" t="s">
        <v>2822</v>
      </c>
      <c r="F3" s="3189" t="s">
        <v>3100</v>
      </c>
      <c r="G3" s="3189" t="s">
        <v>3043</v>
      </c>
      <c r="H3" s="3189">
        <v>201706009</v>
      </c>
      <c r="I3" s="3189" t="s">
        <v>3112</v>
      </c>
      <c r="J3" s="3189">
        <v>25338</v>
      </c>
      <c r="K3" s="3189">
        <v>55996.98</v>
      </c>
      <c r="L3" s="3189">
        <v>2.21</v>
      </c>
      <c r="M3" s="3189" t="s">
        <v>2822</v>
      </c>
      <c r="N3" s="3189">
        <v>35</v>
      </c>
      <c r="O3" s="3189" t="s">
        <v>2822</v>
      </c>
      <c r="P3" s="3189" t="s">
        <v>2822</v>
      </c>
      <c r="Q3" s="3189" t="s">
        <v>2822</v>
      </c>
      <c r="R3" s="3189" t="s">
        <v>2822</v>
      </c>
      <c r="S3" s="3189" t="s">
        <v>2822</v>
      </c>
      <c r="T3" s="3189" t="s">
        <v>2822</v>
      </c>
      <c r="U3" s="3189" t="s">
        <v>2822</v>
      </c>
      <c r="V3" s="3189" t="s">
        <v>2822</v>
      </c>
      <c r="W3" s="3189" t="s">
        <v>3092</v>
      </c>
      <c r="X3" s="3189" t="s">
        <v>3103</v>
      </c>
      <c r="Y3" s="3189" t="s">
        <v>3104</v>
      </c>
      <c r="Z3" s="3189" t="s">
        <v>3105</v>
      </c>
      <c r="AA3" s="3189" t="s">
        <v>3105</v>
      </c>
      <c r="AB3" s="3189" t="s">
        <v>3106</v>
      </c>
      <c r="AC3" s="3189" t="s">
        <v>3054</v>
      </c>
      <c r="AD3" s="3189" t="s">
        <v>3114</v>
      </c>
      <c r="AE3" s="3189">
        <v>2200</v>
      </c>
      <c r="AF3" s="3189">
        <v>10695.42</v>
      </c>
      <c r="AG3" s="3189">
        <v>15959.13</v>
      </c>
      <c r="AH3" s="3189">
        <v>281.41000000000003</v>
      </c>
      <c r="AI3" s="3189">
        <v>419.9</v>
      </c>
      <c r="AJ3" s="3189">
        <v>1909.99</v>
      </c>
      <c r="AK3" s="3189">
        <v>2850</v>
      </c>
      <c r="AL3" s="3189">
        <f t="shared" si="0"/>
        <v>6298</v>
      </c>
      <c r="AM3" s="3189" t="s">
        <v>2822</v>
      </c>
      <c r="AN3" s="3189">
        <v>49.21</v>
      </c>
      <c r="AO3" s="3189">
        <v>70</v>
      </c>
      <c r="AP3" s="3189" t="s">
        <v>2822</v>
      </c>
      <c r="AQ3" s="3189" t="s">
        <v>2822</v>
      </c>
      <c r="AR3" s="3189" t="s">
        <v>2822</v>
      </c>
    </row>
    <row r="4" spans="1:44" s="3186" customFormat="1">
      <c r="A4" s="3186" t="s">
        <v>2996</v>
      </c>
      <c r="B4" s="3186" t="s">
        <v>2997</v>
      </c>
      <c r="C4" s="3186" t="s">
        <v>2998</v>
      </c>
      <c r="D4" s="3186" t="s">
        <v>2999</v>
      </c>
      <c r="E4" s="3186" t="s">
        <v>3000</v>
      </c>
      <c r="F4" s="3186" t="s">
        <v>3001</v>
      </c>
      <c r="G4" s="3186" t="s">
        <v>3002</v>
      </c>
      <c r="H4" s="3186" t="s">
        <v>3003</v>
      </c>
      <c r="I4" s="3186" t="s">
        <v>3004</v>
      </c>
      <c r="J4" s="3186" t="s">
        <v>3005</v>
      </c>
      <c r="K4" s="3186" t="s">
        <v>3006</v>
      </c>
      <c r="L4" s="3186" t="s">
        <v>2035</v>
      </c>
      <c r="M4" s="3186" t="s">
        <v>3007</v>
      </c>
      <c r="N4" s="3186" t="s">
        <v>3008</v>
      </c>
      <c r="O4" s="3186" t="s">
        <v>3009</v>
      </c>
      <c r="P4" s="3186" t="s">
        <v>3010</v>
      </c>
      <c r="Q4" s="3186" t="s">
        <v>3011</v>
      </c>
      <c r="R4" s="3186" t="s">
        <v>3012</v>
      </c>
      <c r="S4" s="3186" t="s">
        <v>3013</v>
      </c>
      <c r="T4" s="3186" t="s">
        <v>3014</v>
      </c>
      <c r="U4" s="3186" t="s">
        <v>3015</v>
      </c>
      <c r="V4" s="3186" t="s">
        <v>3016</v>
      </c>
      <c r="W4" s="3186" t="s">
        <v>3017</v>
      </c>
      <c r="X4" s="3186" t="s">
        <v>3018</v>
      </c>
      <c r="Y4" s="3186" t="s">
        <v>3019</v>
      </c>
      <c r="Z4" s="3186" t="s">
        <v>3020</v>
      </c>
      <c r="AA4" s="3186" t="s">
        <v>3021</v>
      </c>
      <c r="AB4" s="3186" t="s">
        <v>3022</v>
      </c>
      <c r="AC4" s="3186" t="s">
        <v>3023</v>
      </c>
      <c r="AD4" s="3186" t="s">
        <v>3024</v>
      </c>
      <c r="AE4" s="3186" t="s">
        <v>3025</v>
      </c>
      <c r="AF4" s="3186" t="s">
        <v>3026</v>
      </c>
      <c r="AG4" s="3186" t="s">
        <v>3027</v>
      </c>
      <c r="AH4" s="3186" t="s">
        <v>3028</v>
      </c>
      <c r="AI4" s="3186" t="s">
        <v>3029</v>
      </c>
      <c r="AJ4" s="3186" t="s">
        <v>3030</v>
      </c>
      <c r="AK4" s="3186" t="s">
        <v>3031</v>
      </c>
      <c r="AL4" s="3187" t="s">
        <v>3032</v>
      </c>
      <c r="AM4" s="3186" t="s">
        <v>3033</v>
      </c>
      <c r="AN4" s="3186" t="s">
        <v>3034</v>
      </c>
      <c r="AO4" s="3186" t="s">
        <v>3035</v>
      </c>
      <c r="AP4" s="3186" t="s">
        <v>3036</v>
      </c>
      <c r="AQ4" s="3186" t="s">
        <v>3037</v>
      </c>
      <c r="AR4" s="3186" t="s">
        <v>3038</v>
      </c>
    </row>
    <row r="5" spans="1:44" s="3186" customFormat="1">
      <c r="A5" s="3186" t="s">
        <v>3039</v>
      </c>
      <c r="B5" s="3186" t="s">
        <v>3040</v>
      </c>
      <c r="C5" s="3186" t="s">
        <v>3041</v>
      </c>
      <c r="D5" s="3186" t="s">
        <v>3042</v>
      </c>
      <c r="E5" s="3186" t="s">
        <v>2822</v>
      </c>
      <c r="F5" s="3186" t="s">
        <v>3039</v>
      </c>
      <c r="G5" s="3186" t="s">
        <v>3043</v>
      </c>
      <c r="H5" s="3186" t="s">
        <v>3044</v>
      </c>
      <c r="I5" s="3186" t="s">
        <v>3045</v>
      </c>
      <c r="J5" s="3186">
        <v>149306</v>
      </c>
      <c r="K5" s="3186">
        <v>223959</v>
      </c>
      <c r="L5" s="3186" t="s">
        <v>3046</v>
      </c>
      <c r="M5" s="3186" t="s">
        <v>2822</v>
      </c>
      <c r="N5" s="3186" t="s">
        <v>3047</v>
      </c>
      <c r="O5" s="3186" t="s">
        <v>3048</v>
      </c>
      <c r="P5" s="3186" t="s">
        <v>2822</v>
      </c>
      <c r="Q5" s="3186" t="s">
        <v>2822</v>
      </c>
      <c r="R5" s="3186" t="s">
        <v>2822</v>
      </c>
      <c r="S5" s="3186" t="s">
        <v>2822</v>
      </c>
      <c r="T5" s="3186" t="s">
        <v>2822</v>
      </c>
      <c r="U5" s="3186" t="s">
        <v>2822</v>
      </c>
      <c r="V5" s="3186" t="s">
        <v>2822</v>
      </c>
      <c r="W5" s="3186" t="s">
        <v>3049</v>
      </c>
      <c r="X5" s="3186" t="s">
        <v>3050</v>
      </c>
      <c r="Y5" s="3186" t="s">
        <v>3051</v>
      </c>
      <c r="Z5" s="3186" t="s">
        <v>3052</v>
      </c>
      <c r="AA5" s="3186" t="s">
        <v>3052</v>
      </c>
      <c r="AB5" s="3186" t="s">
        <v>3053</v>
      </c>
      <c r="AC5" s="3186" t="s">
        <v>3054</v>
      </c>
      <c r="AD5" s="3186" t="s">
        <v>3055</v>
      </c>
      <c r="AE5" s="3186">
        <v>14862</v>
      </c>
      <c r="AF5" s="3186">
        <v>74309.600000000006</v>
      </c>
      <c r="AG5" s="3186">
        <v>96929.44</v>
      </c>
      <c r="AH5" s="3186">
        <v>331.8</v>
      </c>
      <c r="AI5" s="3186">
        <v>432.8</v>
      </c>
      <c r="AJ5" s="3186">
        <v>3318</v>
      </c>
      <c r="AK5" s="3186">
        <v>4328</v>
      </c>
      <c r="AL5" s="3189">
        <f>ROUND(AG5*10000/J5,0)</f>
        <v>6492</v>
      </c>
      <c r="AM5" s="3186" t="s">
        <v>2822</v>
      </c>
      <c r="AN5" s="3186">
        <v>30.44</v>
      </c>
      <c r="AO5" s="3186" t="s">
        <v>3056</v>
      </c>
      <c r="AP5" s="3186" t="s">
        <v>2822</v>
      </c>
      <c r="AQ5" s="3186" t="s">
        <v>2822</v>
      </c>
      <c r="AR5" s="3186" t="s">
        <v>2822</v>
      </c>
    </row>
    <row r="6" spans="1:44" s="3186" customFormat="1">
      <c r="A6" s="3186" t="s">
        <v>3057</v>
      </c>
      <c r="B6" s="3186" t="s">
        <v>3040</v>
      </c>
      <c r="C6" s="3186" t="s">
        <v>3041</v>
      </c>
      <c r="D6" s="3186" t="s">
        <v>3042</v>
      </c>
      <c r="E6" s="3186" t="s">
        <v>2822</v>
      </c>
      <c r="F6" s="3186" t="s">
        <v>3058</v>
      </c>
      <c r="G6" s="3186" t="s">
        <v>3043</v>
      </c>
      <c r="H6" s="3186" t="s">
        <v>3057</v>
      </c>
      <c r="I6" s="3186" t="s">
        <v>3059</v>
      </c>
      <c r="J6" s="3186">
        <v>79956</v>
      </c>
      <c r="K6" s="3186">
        <v>175903.2</v>
      </c>
      <c r="L6" s="3186" t="s">
        <v>3060</v>
      </c>
      <c r="M6" s="3186" t="s">
        <v>2822</v>
      </c>
      <c r="N6" s="3186" t="s">
        <v>3061</v>
      </c>
      <c r="O6" s="3186" t="s">
        <v>3062</v>
      </c>
      <c r="P6" s="3186" t="s">
        <v>2822</v>
      </c>
      <c r="Q6" s="3186" t="s">
        <v>2822</v>
      </c>
      <c r="R6" s="3186" t="s">
        <v>2822</v>
      </c>
      <c r="S6" s="3186" t="s">
        <v>2822</v>
      </c>
      <c r="T6" s="3186" t="s">
        <v>2822</v>
      </c>
      <c r="U6" s="3186" t="s">
        <v>2822</v>
      </c>
      <c r="V6" s="3186" t="s">
        <v>2822</v>
      </c>
      <c r="W6" s="3186" t="s">
        <v>3049</v>
      </c>
      <c r="X6" s="3186" t="s">
        <v>3063</v>
      </c>
      <c r="Y6" s="3186" t="s">
        <v>3064</v>
      </c>
      <c r="Z6" s="3186" t="s">
        <v>3051</v>
      </c>
      <c r="AA6" s="3186" t="s">
        <v>3051</v>
      </c>
      <c r="AB6" s="3186" t="s">
        <v>3065</v>
      </c>
      <c r="AC6" s="3186" t="s">
        <v>3054</v>
      </c>
      <c r="AD6" s="3186" t="s">
        <v>3066</v>
      </c>
      <c r="AE6" s="3186">
        <v>15000</v>
      </c>
      <c r="AF6" s="3186">
        <v>68602.25</v>
      </c>
      <c r="AG6" s="3186">
        <v>99209.41</v>
      </c>
      <c r="AH6" s="3186">
        <v>572</v>
      </c>
      <c r="AI6" s="3186">
        <v>827.2</v>
      </c>
      <c r="AJ6" s="3186">
        <v>3900</v>
      </c>
      <c r="AK6" s="3186">
        <v>5640</v>
      </c>
      <c r="AL6" s="3186">
        <f t="shared" ref="AL6:AL18" si="1">ROUND(AG6*10000/J6,0)</f>
        <v>12408</v>
      </c>
      <c r="AM6" s="3186" t="s">
        <v>2822</v>
      </c>
      <c r="AN6" s="3186">
        <v>44.62</v>
      </c>
      <c r="AO6" s="3186" t="s">
        <v>3056</v>
      </c>
      <c r="AP6" s="3186" t="s">
        <v>2822</v>
      </c>
      <c r="AQ6" s="3186" t="s">
        <v>2822</v>
      </c>
      <c r="AR6" s="3186" t="s">
        <v>2822</v>
      </c>
    </row>
    <row r="7" spans="1:44" s="3186" customFormat="1">
      <c r="A7" s="3186" t="s">
        <v>3067</v>
      </c>
      <c r="B7" s="3186" t="s">
        <v>3040</v>
      </c>
      <c r="C7" s="3186" t="s">
        <v>3068</v>
      </c>
      <c r="D7" s="3186" t="s">
        <v>3042</v>
      </c>
      <c r="E7" s="3186" t="s">
        <v>2822</v>
      </c>
      <c r="F7" s="3186" t="s">
        <v>3067</v>
      </c>
      <c r="G7" s="3186" t="s">
        <v>3043</v>
      </c>
      <c r="H7" s="3186" t="s">
        <v>3069</v>
      </c>
      <c r="I7" s="3186" t="s">
        <v>3045</v>
      </c>
      <c r="J7" s="3186">
        <v>45108</v>
      </c>
      <c r="K7" s="3186">
        <v>81194.399999999994</v>
      </c>
      <c r="L7" s="3186" t="s">
        <v>3070</v>
      </c>
      <c r="M7" s="3186" t="s">
        <v>2822</v>
      </c>
      <c r="N7" s="3186" t="s">
        <v>3047</v>
      </c>
      <c r="O7" s="3186" t="s">
        <v>3071</v>
      </c>
      <c r="P7" s="3186" t="s">
        <v>2822</v>
      </c>
      <c r="Q7" s="3186" t="s">
        <v>2822</v>
      </c>
      <c r="R7" s="3186" t="s">
        <v>2822</v>
      </c>
      <c r="S7" s="3186" t="s">
        <v>2822</v>
      </c>
      <c r="T7" s="3186" t="s">
        <v>2822</v>
      </c>
      <c r="U7" s="3186" t="s">
        <v>2822</v>
      </c>
      <c r="V7" s="3186" t="s">
        <v>2822</v>
      </c>
      <c r="W7" s="3186" t="s">
        <v>3049</v>
      </c>
      <c r="X7" s="3186" t="s">
        <v>3072</v>
      </c>
      <c r="Y7" s="3186" t="s">
        <v>3073</v>
      </c>
      <c r="Z7" s="3186" t="s">
        <v>3074</v>
      </c>
      <c r="AA7" s="3186" t="s">
        <v>3074</v>
      </c>
      <c r="AB7" s="3186" t="s">
        <v>3075</v>
      </c>
      <c r="AC7" s="3186" t="s">
        <v>3054</v>
      </c>
      <c r="AD7" s="3186" t="s">
        <v>3076</v>
      </c>
      <c r="AE7" s="3186">
        <v>20000</v>
      </c>
      <c r="AF7" s="3186">
        <v>77134.67</v>
      </c>
      <c r="AG7" s="3186">
        <v>125039.39</v>
      </c>
      <c r="AH7" s="3186">
        <v>1140</v>
      </c>
      <c r="AI7" s="3186">
        <v>1848</v>
      </c>
      <c r="AJ7" s="3186">
        <v>9500</v>
      </c>
      <c r="AK7" s="3186">
        <v>15400</v>
      </c>
      <c r="AL7" s="3186">
        <f t="shared" si="1"/>
        <v>27720</v>
      </c>
      <c r="AM7" s="3186" t="s">
        <v>2822</v>
      </c>
      <c r="AN7" s="3186">
        <v>62.11</v>
      </c>
      <c r="AO7" s="3186" t="s">
        <v>3077</v>
      </c>
      <c r="AP7" s="3186" t="s">
        <v>2822</v>
      </c>
      <c r="AQ7" s="3186" t="s">
        <v>2822</v>
      </c>
      <c r="AR7" s="3186" t="s">
        <v>2822</v>
      </c>
    </row>
    <row r="8" spans="1:44" s="3188" customFormat="1" ht="14.25">
      <c r="A8" s="3188" t="s">
        <v>3078</v>
      </c>
      <c r="B8" s="3188" t="s">
        <v>3040</v>
      </c>
      <c r="C8" s="3188" t="s">
        <v>3068</v>
      </c>
      <c r="D8" s="3188" t="s">
        <v>3042</v>
      </c>
      <c r="E8" s="3188" t="s">
        <v>2822</v>
      </c>
      <c r="F8" s="3188" t="s">
        <v>3078</v>
      </c>
      <c r="G8" s="3188" t="s">
        <v>3043</v>
      </c>
      <c r="H8" s="3188">
        <v>20170621</v>
      </c>
      <c r="I8" s="3188" t="s">
        <v>3045</v>
      </c>
      <c r="J8" s="3188">
        <v>87392</v>
      </c>
      <c r="K8" s="3188">
        <v>174784</v>
      </c>
      <c r="L8" s="3188" t="s">
        <v>3079</v>
      </c>
      <c r="M8" s="3188" t="s">
        <v>2822</v>
      </c>
      <c r="N8" s="3188" t="s">
        <v>3080</v>
      </c>
      <c r="O8" s="3188" t="s">
        <v>3081</v>
      </c>
      <c r="P8" s="3188" t="s">
        <v>3082</v>
      </c>
      <c r="Q8" s="3188" t="s">
        <v>2822</v>
      </c>
      <c r="R8" s="3188">
        <v>23600</v>
      </c>
      <c r="S8" s="3188" t="s">
        <v>2822</v>
      </c>
      <c r="T8" s="3188" t="s">
        <v>2822</v>
      </c>
      <c r="U8" s="3188" t="s">
        <v>3083</v>
      </c>
      <c r="V8" s="3188" t="s">
        <v>2822</v>
      </c>
      <c r="W8" s="3188" t="s">
        <v>3049</v>
      </c>
      <c r="X8" s="3188" t="s">
        <v>3084</v>
      </c>
      <c r="Y8" s="3188" t="s">
        <v>3085</v>
      </c>
      <c r="Z8" s="3188" t="s">
        <v>3086</v>
      </c>
      <c r="AA8" s="3188" t="s">
        <v>3086</v>
      </c>
      <c r="AB8" s="3188" t="s">
        <v>3087</v>
      </c>
      <c r="AC8" s="3188" t="s">
        <v>3054</v>
      </c>
      <c r="AD8" s="3188" t="s">
        <v>3088</v>
      </c>
      <c r="AE8" s="3188">
        <v>13000</v>
      </c>
      <c r="AF8" s="3188">
        <v>60999.62</v>
      </c>
      <c r="AG8" s="3188">
        <v>121999.19</v>
      </c>
      <c r="AH8" s="3188">
        <v>465.33</v>
      </c>
      <c r="AI8" s="3188">
        <v>930.67</v>
      </c>
      <c r="AJ8" s="3188">
        <v>3490</v>
      </c>
      <c r="AK8" s="3188">
        <v>6980</v>
      </c>
      <c r="AL8" s="3186">
        <f t="shared" si="1"/>
        <v>13960</v>
      </c>
      <c r="AM8" s="3188" t="s">
        <v>2822</v>
      </c>
      <c r="AN8" s="3188">
        <v>100</v>
      </c>
      <c r="AO8" s="3188" t="s">
        <v>3077</v>
      </c>
      <c r="AP8" s="3188" t="s">
        <v>2822</v>
      </c>
      <c r="AQ8" s="3188" t="s">
        <v>2822</v>
      </c>
      <c r="AR8" s="3188" t="s">
        <v>2822</v>
      </c>
    </row>
    <row r="9" spans="1:44" s="3186" customFormat="1">
      <c r="A9" s="3287" t="s">
        <v>3278</v>
      </c>
      <c r="B9" s="3186" t="s">
        <v>3040</v>
      </c>
      <c r="C9" s="3186" t="s">
        <v>3041</v>
      </c>
      <c r="D9" s="3186" t="s">
        <v>3042</v>
      </c>
      <c r="E9" s="3186" t="s">
        <v>2822</v>
      </c>
      <c r="F9" s="3186" t="s">
        <v>3090</v>
      </c>
      <c r="G9" s="3186" t="s">
        <v>3043</v>
      </c>
      <c r="H9" s="3186" t="s">
        <v>3089</v>
      </c>
      <c r="I9" s="3186" t="s">
        <v>3059</v>
      </c>
      <c r="J9" s="3186">
        <v>106266</v>
      </c>
      <c r="K9" s="3186">
        <v>223158.6</v>
      </c>
      <c r="L9" s="3186" t="s">
        <v>3091</v>
      </c>
      <c r="M9" s="3186" t="s">
        <v>2822</v>
      </c>
      <c r="N9" s="3186" t="s">
        <v>3047</v>
      </c>
      <c r="O9" s="3186" t="s">
        <v>2822</v>
      </c>
      <c r="P9" s="3186" t="s">
        <v>2822</v>
      </c>
      <c r="Q9" s="3186" t="s">
        <v>2822</v>
      </c>
      <c r="R9" s="3186" t="s">
        <v>2822</v>
      </c>
      <c r="S9" s="3186" t="s">
        <v>2822</v>
      </c>
      <c r="T9" s="3186" t="s">
        <v>2822</v>
      </c>
      <c r="U9" s="3186" t="s">
        <v>2822</v>
      </c>
      <c r="V9" s="3186" t="s">
        <v>2822</v>
      </c>
      <c r="W9" s="3186" t="s">
        <v>3092</v>
      </c>
      <c r="X9" s="3186" t="s">
        <v>3093</v>
      </c>
      <c r="Y9" s="3186" t="s">
        <v>3094</v>
      </c>
      <c r="Z9" s="3186" t="s">
        <v>3095</v>
      </c>
      <c r="AA9" s="3186" t="s">
        <v>3095</v>
      </c>
      <c r="AB9" s="3186" t="s">
        <v>3096</v>
      </c>
      <c r="AC9" s="3186" t="s">
        <v>3054</v>
      </c>
      <c r="AD9" s="3186" t="s">
        <v>3097</v>
      </c>
      <c r="AE9" s="3186">
        <v>10000</v>
      </c>
      <c r="AF9" s="3186">
        <v>47644.36</v>
      </c>
      <c r="AG9" s="3186">
        <v>87701.33</v>
      </c>
      <c r="AH9" s="3186">
        <v>298.89999999999998</v>
      </c>
      <c r="AI9" s="3186">
        <v>550.20000000000005</v>
      </c>
      <c r="AJ9" s="3186">
        <v>2135</v>
      </c>
      <c r="AK9" s="3186">
        <v>3930</v>
      </c>
      <c r="AL9" s="3186">
        <f t="shared" si="1"/>
        <v>8253</v>
      </c>
      <c r="AM9" s="3186" t="s">
        <v>2822</v>
      </c>
      <c r="AN9" s="3186">
        <v>84.07</v>
      </c>
      <c r="AO9" s="3186" t="s">
        <v>3098</v>
      </c>
      <c r="AP9" s="3186" t="s">
        <v>2822</v>
      </c>
      <c r="AQ9" s="3186" t="s">
        <v>2822</v>
      </c>
      <c r="AR9" s="3186" t="s">
        <v>2822</v>
      </c>
    </row>
    <row r="10" spans="1:44" s="3186" customFormat="1">
      <c r="A10" s="3186" t="s">
        <v>3099</v>
      </c>
      <c r="B10" s="3186" t="s">
        <v>3040</v>
      </c>
      <c r="C10" s="3186" t="s">
        <v>3068</v>
      </c>
      <c r="D10" s="3186" t="s">
        <v>3042</v>
      </c>
      <c r="E10" s="3186" t="s">
        <v>2822</v>
      </c>
      <c r="F10" s="3186" t="s">
        <v>3100</v>
      </c>
      <c r="G10" s="3186" t="s">
        <v>3043</v>
      </c>
      <c r="H10" s="3186">
        <v>201706008</v>
      </c>
      <c r="I10" s="3186" t="s">
        <v>3101</v>
      </c>
      <c r="J10" s="3186">
        <v>133854</v>
      </c>
      <c r="K10" s="3186">
        <v>281093.40000000002</v>
      </c>
      <c r="L10" s="3186" t="s">
        <v>3102</v>
      </c>
      <c r="M10" s="3186" t="s">
        <v>2822</v>
      </c>
      <c r="N10" s="3186">
        <v>35</v>
      </c>
      <c r="O10" s="3186" t="s">
        <v>2822</v>
      </c>
      <c r="P10" s="3186" t="s">
        <v>2822</v>
      </c>
      <c r="Q10" s="3186" t="s">
        <v>2822</v>
      </c>
      <c r="R10" s="3186" t="s">
        <v>2822</v>
      </c>
      <c r="S10" s="3186" t="s">
        <v>2822</v>
      </c>
      <c r="T10" s="3186" t="s">
        <v>2822</v>
      </c>
      <c r="U10" s="3186" t="s">
        <v>2822</v>
      </c>
      <c r="V10" s="3186" t="s">
        <v>2822</v>
      </c>
      <c r="W10" s="3186" t="s">
        <v>3092</v>
      </c>
      <c r="X10" s="3186" t="s">
        <v>3103</v>
      </c>
      <c r="Y10" s="3186" t="s">
        <v>3104</v>
      </c>
      <c r="Z10" s="3186" t="s">
        <v>3105</v>
      </c>
      <c r="AA10" s="3186" t="s">
        <v>3105</v>
      </c>
      <c r="AB10" s="3186" t="s">
        <v>3106</v>
      </c>
      <c r="AC10" s="3186" t="s">
        <v>3054</v>
      </c>
      <c r="AD10" s="3186" t="s">
        <v>3107</v>
      </c>
      <c r="AE10" s="3186">
        <v>13000</v>
      </c>
      <c r="AF10" s="3186">
        <v>61278.36</v>
      </c>
      <c r="AG10" s="3186">
        <v>122556.69</v>
      </c>
      <c r="AH10" s="3186">
        <v>305.2</v>
      </c>
      <c r="AI10" s="3186">
        <v>610.4</v>
      </c>
      <c r="AJ10" s="3186">
        <v>2180</v>
      </c>
      <c r="AK10" s="3186">
        <v>4360</v>
      </c>
      <c r="AL10" s="3186">
        <f t="shared" si="1"/>
        <v>9156</v>
      </c>
      <c r="AM10" s="3186" t="s">
        <v>2822</v>
      </c>
      <c r="AN10" s="3186">
        <v>100</v>
      </c>
      <c r="AO10" s="3186">
        <v>70</v>
      </c>
      <c r="AP10" s="3186" t="s">
        <v>2822</v>
      </c>
      <c r="AQ10" s="3186" t="s">
        <v>2822</v>
      </c>
      <c r="AR10" s="3186" t="s">
        <v>2822</v>
      </c>
    </row>
    <row r="11" spans="1:44" s="3186" customFormat="1">
      <c r="A11" s="3186" t="s">
        <v>3108</v>
      </c>
      <c r="B11" s="3186" t="s">
        <v>3040</v>
      </c>
      <c r="C11" s="3186" t="s">
        <v>3068</v>
      </c>
      <c r="D11" s="3186" t="s">
        <v>3042</v>
      </c>
      <c r="E11" s="3186" t="s">
        <v>2822</v>
      </c>
      <c r="F11" s="3186" t="s">
        <v>3100</v>
      </c>
      <c r="G11" s="3186" t="s">
        <v>3043</v>
      </c>
      <c r="H11" s="3186">
        <v>201706007</v>
      </c>
      <c r="I11" s="3186" t="s">
        <v>3101</v>
      </c>
      <c r="J11" s="3186">
        <v>97645</v>
      </c>
      <c r="K11" s="3186">
        <v>205054.5</v>
      </c>
      <c r="L11" s="3186" t="s">
        <v>3109</v>
      </c>
      <c r="M11" s="3186" t="s">
        <v>2822</v>
      </c>
      <c r="N11" s="3186">
        <v>35</v>
      </c>
      <c r="O11" s="3186" t="s">
        <v>2822</v>
      </c>
      <c r="P11" s="3186" t="s">
        <v>2822</v>
      </c>
      <c r="Q11" s="3186" t="s">
        <v>2822</v>
      </c>
      <c r="R11" s="3186" t="s">
        <v>2822</v>
      </c>
      <c r="S11" s="3186" t="s">
        <v>2822</v>
      </c>
      <c r="T11" s="3186" t="s">
        <v>2822</v>
      </c>
      <c r="U11" s="3186" t="s">
        <v>2822</v>
      </c>
      <c r="V11" s="3186" t="s">
        <v>2822</v>
      </c>
      <c r="W11" s="3186" t="s">
        <v>3092</v>
      </c>
      <c r="X11" s="3186" t="s">
        <v>3103</v>
      </c>
      <c r="Y11" s="3186" t="s">
        <v>3104</v>
      </c>
      <c r="Z11" s="3186" t="s">
        <v>3105</v>
      </c>
      <c r="AA11" s="3186" t="s">
        <v>3105</v>
      </c>
      <c r="AB11" s="3186" t="s">
        <v>3106</v>
      </c>
      <c r="AC11" s="3186" t="s">
        <v>3054</v>
      </c>
      <c r="AD11" s="3186" t="s">
        <v>3110</v>
      </c>
      <c r="AE11" s="3186">
        <v>8000</v>
      </c>
      <c r="AF11" s="3186">
        <v>40600.79</v>
      </c>
      <c r="AG11" s="3186">
        <v>71933.11</v>
      </c>
      <c r="AH11" s="3186">
        <v>277.2</v>
      </c>
      <c r="AI11" s="3186">
        <v>491.12</v>
      </c>
      <c r="AJ11" s="3186">
        <v>1980</v>
      </c>
      <c r="AK11" s="3186">
        <v>3508</v>
      </c>
      <c r="AL11" s="3189">
        <f t="shared" si="1"/>
        <v>7367</v>
      </c>
      <c r="AM11" s="3186" t="s">
        <v>2822</v>
      </c>
      <c r="AN11" s="3186">
        <v>77.17</v>
      </c>
      <c r="AO11" s="3186">
        <v>70</v>
      </c>
      <c r="AP11" s="3186" t="s">
        <v>2822</v>
      </c>
      <c r="AQ11" s="3186" t="s">
        <v>2822</v>
      </c>
      <c r="AR11" s="3186" t="s">
        <v>2822</v>
      </c>
    </row>
    <row r="12" spans="1:44" s="3186" customFormat="1">
      <c r="A12" s="3186" t="s">
        <v>3111</v>
      </c>
      <c r="B12" s="3186" t="s">
        <v>3040</v>
      </c>
      <c r="C12" s="3186" t="s">
        <v>3068</v>
      </c>
      <c r="D12" s="3186" t="s">
        <v>3042</v>
      </c>
      <c r="E12" s="3186" t="s">
        <v>2822</v>
      </c>
      <c r="F12" s="3186" t="s">
        <v>3100</v>
      </c>
      <c r="G12" s="3186" t="s">
        <v>3043</v>
      </c>
      <c r="H12" s="3186">
        <v>201706009</v>
      </c>
      <c r="I12" s="3186" t="s">
        <v>3112</v>
      </c>
      <c r="J12" s="3186">
        <v>25338</v>
      </c>
      <c r="K12" s="3186">
        <v>55996.98</v>
      </c>
      <c r="L12" s="3186" t="s">
        <v>3113</v>
      </c>
      <c r="M12" s="3186" t="s">
        <v>2822</v>
      </c>
      <c r="N12" s="3186">
        <v>35</v>
      </c>
      <c r="O12" s="3186" t="s">
        <v>2822</v>
      </c>
      <c r="P12" s="3186" t="s">
        <v>2822</v>
      </c>
      <c r="Q12" s="3186" t="s">
        <v>2822</v>
      </c>
      <c r="R12" s="3186" t="s">
        <v>2822</v>
      </c>
      <c r="S12" s="3186" t="s">
        <v>2822</v>
      </c>
      <c r="T12" s="3186" t="s">
        <v>2822</v>
      </c>
      <c r="U12" s="3186" t="s">
        <v>2822</v>
      </c>
      <c r="V12" s="3186" t="s">
        <v>2822</v>
      </c>
      <c r="W12" s="3186" t="s">
        <v>3092</v>
      </c>
      <c r="X12" s="3186" t="s">
        <v>3103</v>
      </c>
      <c r="Y12" s="3186" t="s">
        <v>3104</v>
      </c>
      <c r="Z12" s="3186" t="s">
        <v>3105</v>
      </c>
      <c r="AA12" s="3186" t="s">
        <v>3105</v>
      </c>
      <c r="AB12" s="3186" t="s">
        <v>3106</v>
      </c>
      <c r="AC12" s="3186" t="s">
        <v>3054</v>
      </c>
      <c r="AD12" s="3186" t="s">
        <v>3114</v>
      </c>
      <c r="AE12" s="3186">
        <v>2200</v>
      </c>
      <c r="AF12" s="3186">
        <v>10695.42</v>
      </c>
      <c r="AG12" s="3186">
        <v>15959.13</v>
      </c>
      <c r="AH12" s="3186">
        <v>281.41000000000003</v>
      </c>
      <c r="AI12" s="3186">
        <v>419.9</v>
      </c>
      <c r="AJ12" s="3186">
        <v>1909.99</v>
      </c>
      <c r="AK12" s="3186">
        <v>2850</v>
      </c>
      <c r="AL12" s="3189">
        <f t="shared" si="1"/>
        <v>6298</v>
      </c>
      <c r="AM12" s="3186" t="s">
        <v>2822</v>
      </c>
      <c r="AN12" s="3186">
        <v>49.21</v>
      </c>
      <c r="AO12" s="3186">
        <v>70</v>
      </c>
      <c r="AP12" s="3186" t="s">
        <v>2822</v>
      </c>
      <c r="AQ12" s="3186" t="s">
        <v>2822</v>
      </c>
      <c r="AR12" s="3186" t="s">
        <v>2822</v>
      </c>
    </row>
    <row r="13" spans="1:44" s="3186" customFormat="1">
      <c r="A13" s="3287" t="s">
        <v>3279</v>
      </c>
      <c r="B13" s="3186" t="s">
        <v>3040</v>
      </c>
      <c r="C13" s="3186" t="s">
        <v>3068</v>
      </c>
      <c r="D13" s="3186" t="s">
        <v>3042</v>
      </c>
      <c r="E13" s="3186" t="s">
        <v>2822</v>
      </c>
      <c r="F13" s="3186" t="s">
        <v>3100</v>
      </c>
      <c r="G13" s="3186" t="s">
        <v>3043</v>
      </c>
      <c r="H13" s="3186">
        <v>201706006</v>
      </c>
      <c r="I13" s="3186" t="s">
        <v>3115</v>
      </c>
      <c r="J13" s="3186">
        <v>133702</v>
      </c>
      <c r="K13" s="3186">
        <v>240663.6</v>
      </c>
      <c r="L13" s="3186" t="s">
        <v>3116</v>
      </c>
      <c r="M13" s="3186" t="s">
        <v>2822</v>
      </c>
      <c r="N13" s="3186">
        <v>30</v>
      </c>
      <c r="O13" s="3186" t="s">
        <v>2822</v>
      </c>
      <c r="P13" s="3186" t="s">
        <v>2822</v>
      </c>
      <c r="Q13" s="3186" t="s">
        <v>2822</v>
      </c>
      <c r="R13" s="3186" t="s">
        <v>2822</v>
      </c>
      <c r="S13" s="3186" t="s">
        <v>2822</v>
      </c>
      <c r="T13" s="3186" t="s">
        <v>2822</v>
      </c>
      <c r="U13" s="3186" t="s">
        <v>2822</v>
      </c>
      <c r="V13" s="3186" t="s">
        <v>2822</v>
      </c>
      <c r="W13" s="3186" t="s">
        <v>3092</v>
      </c>
      <c r="X13" s="3186" t="s">
        <v>3103</v>
      </c>
      <c r="Y13" s="3186" t="s">
        <v>3104</v>
      </c>
      <c r="Z13" s="3186" t="s">
        <v>3105</v>
      </c>
      <c r="AA13" s="3186" t="s">
        <v>3105</v>
      </c>
      <c r="AB13" s="3186" t="s">
        <v>3106</v>
      </c>
      <c r="AC13" s="3186" t="s">
        <v>3054</v>
      </c>
      <c r="AD13" s="3186" t="s">
        <v>3110</v>
      </c>
      <c r="AE13" s="3186">
        <v>11000</v>
      </c>
      <c r="AF13" s="3186">
        <v>52224</v>
      </c>
      <c r="AG13" s="3186">
        <v>104448</v>
      </c>
      <c r="AH13" s="3186">
        <v>260.39999999999998</v>
      </c>
      <c r="AI13" s="3186">
        <v>520.79999999999995</v>
      </c>
      <c r="AJ13" s="3186">
        <v>2170</v>
      </c>
      <c r="AK13" s="3186">
        <v>4340</v>
      </c>
      <c r="AL13" s="3186">
        <f t="shared" si="1"/>
        <v>7812</v>
      </c>
      <c r="AM13" s="3186" t="s">
        <v>2822</v>
      </c>
      <c r="AN13" s="3186">
        <v>100</v>
      </c>
      <c r="AO13" s="3186">
        <v>70</v>
      </c>
      <c r="AP13" s="3186" t="s">
        <v>2822</v>
      </c>
      <c r="AQ13" s="3186" t="s">
        <v>2822</v>
      </c>
      <c r="AR13" s="3186" t="s">
        <v>2822</v>
      </c>
    </row>
    <row r="14" spans="1:44" s="3186" customFormat="1">
      <c r="A14" s="3186" t="s">
        <v>3117</v>
      </c>
      <c r="B14" s="3186" t="s">
        <v>3040</v>
      </c>
      <c r="C14" s="3186" t="s">
        <v>3068</v>
      </c>
      <c r="D14" s="3186" t="s">
        <v>3042</v>
      </c>
      <c r="E14" s="3186" t="s">
        <v>2822</v>
      </c>
      <c r="F14" s="3186" t="s">
        <v>3118</v>
      </c>
      <c r="G14" s="3186" t="s">
        <v>3043</v>
      </c>
      <c r="H14" s="3186">
        <v>201706005</v>
      </c>
      <c r="I14" s="3186" t="s">
        <v>923</v>
      </c>
      <c r="J14" s="3186">
        <v>99174</v>
      </c>
      <c r="K14" s="3186">
        <v>100165.7</v>
      </c>
      <c r="L14" s="3186" t="s">
        <v>3119</v>
      </c>
      <c r="M14" s="3186" t="s">
        <v>2822</v>
      </c>
      <c r="N14" s="3186">
        <v>35</v>
      </c>
      <c r="O14" s="3186">
        <v>24</v>
      </c>
      <c r="P14" s="3186" t="s">
        <v>2822</v>
      </c>
      <c r="Q14" s="3186" t="s">
        <v>2822</v>
      </c>
      <c r="R14" s="3186" t="s">
        <v>2822</v>
      </c>
      <c r="S14" s="3186" t="s">
        <v>2822</v>
      </c>
      <c r="T14" s="3186" t="s">
        <v>2822</v>
      </c>
      <c r="U14" s="3186" t="s">
        <v>2822</v>
      </c>
      <c r="V14" s="3186" t="s">
        <v>2822</v>
      </c>
      <c r="W14" s="3186" t="s">
        <v>3092</v>
      </c>
      <c r="X14" s="3186" t="s">
        <v>3120</v>
      </c>
      <c r="Y14" s="3186" t="s">
        <v>3093</v>
      </c>
      <c r="Z14" s="3186" t="s">
        <v>3121</v>
      </c>
      <c r="AA14" s="3186" t="s">
        <v>3121</v>
      </c>
      <c r="AB14" s="3186" t="s">
        <v>3122</v>
      </c>
      <c r="AC14" s="3186" t="s">
        <v>3054</v>
      </c>
      <c r="AD14" s="3186" t="s">
        <v>3107</v>
      </c>
      <c r="AE14" s="3186">
        <v>12000</v>
      </c>
      <c r="AF14" s="3186">
        <v>56693.8</v>
      </c>
      <c r="AG14" s="3186">
        <v>113387.6</v>
      </c>
      <c r="AH14" s="3186">
        <v>381.11</v>
      </c>
      <c r="AI14" s="3186">
        <v>762.21</v>
      </c>
      <c r="AJ14" s="3186">
        <v>5660</v>
      </c>
      <c r="AK14" s="3186">
        <v>11320</v>
      </c>
      <c r="AL14" s="3186">
        <f t="shared" si="1"/>
        <v>11433</v>
      </c>
      <c r="AM14" s="3186" t="s">
        <v>2822</v>
      </c>
      <c r="AN14" s="3186">
        <v>100</v>
      </c>
      <c r="AO14" s="3186">
        <v>70</v>
      </c>
      <c r="AP14" s="3186" t="s">
        <v>2822</v>
      </c>
      <c r="AQ14" s="3186" t="s">
        <v>2822</v>
      </c>
      <c r="AR14" s="3186" t="s">
        <v>2822</v>
      </c>
    </row>
    <row r="15" spans="1:44" s="3288" customFormat="1">
      <c r="A15" s="3287" t="s">
        <v>3280</v>
      </c>
      <c r="B15" s="3288" t="s">
        <v>3040</v>
      </c>
      <c r="C15" s="3288" t="s">
        <v>3068</v>
      </c>
      <c r="D15" s="3288" t="s">
        <v>3042</v>
      </c>
      <c r="E15" s="3288" t="s">
        <v>2822</v>
      </c>
      <c r="F15" s="3288" t="s">
        <v>3123</v>
      </c>
      <c r="G15" s="3288" t="s">
        <v>3043</v>
      </c>
      <c r="H15" s="3288">
        <v>2016027</v>
      </c>
      <c r="I15" s="3288" t="s">
        <v>3115</v>
      </c>
      <c r="J15" s="3288">
        <v>47663</v>
      </c>
      <c r="K15" s="3288">
        <v>50046.15</v>
      </c>
      <c r="L15" s="3288" t="s">
        <v>3124</v>
      </c>
      <c r="M15" s="3288" t="s">
        <v>2822</v>
      </c>
      <c r="N15" s="3288" t="s">
        <v>3125</v>
      </c>
      <c r="O15" s="3288" t="s">
        <v>3126</v>
      </c>
      <c r="P15" s="3288" t="s">
        <v>2822</v>
      </c>
      <c r="Q15" s="3288" t="s">
        <v>2822</v>
      </c>
      <c r="R15" s="3288" t="s">
        <v>2822</v>
      </c>
      <c r="S15" s="3288" t="s">
        <v>2822</v>
      </c>
      <c r="T15" s="3288" t="s">
        <v>2822</v>
      </c>
      <c r="U15" s="3288" t="s">
        <v>2822</v>
      </c>
      <c r="V15" s="3288" t="s">
        <v>2822</v>
      </c>
      <c r="W15" s="3288" t="s">
        <v>3092</v>
      </c>
      <c r="X15" s="3288" t="s">
        <v>3127</v>
      </c>
      <c r="Y15" s="3288" t="s">
        <v>3128</v>
      </c>
      <c r="Z15" s="3288" t="s">
        <v>3129</v>
      </c>
      <c r="AA15" s="3288" t="s">
        <v>3129</v>
      </c>
      <c r="AB15" s="3288" t="s">
        <v>3130</v>
      </c>
      <c r="AC15" s="3288" t="s">
        <v>3054</v>
      </c>
      <c r="AD15" s="3288" t="s">
        <v>3131</v>
      </c>
      <c r="AE15" s="3288">
        <v>4600</v>
      </c>
      <c r="AF15" s="3288">
        <v>22520.77</v>
      </c>
      <c r="AG15" s="3288">
        <v>41688.44</v>
      </c>
      <c r="AH15" s="3288">
        <v>315</v>
      </c>
      <c r="AI15" s="3288">
        <v>583.1</v>
      </c>
      <c r="AJ15" s="3288">
        <v>4500</v>
      </c>
      <c r="AK15" s="3288">
        <v>8330</v>
      </c>
      <c r="AL15" s="3288">
        <f t="shared" si="1"/>
        <v>8746</v>
      </c>
      <c r="AM15" s="3288" t="s">
        <v>2822</v>
      </c>
      <c r="AN15" s="3288">
        <v>85.11</v>
      </c>
      <c r="AO15" s="3288" t="s">
        <v>3077</v>
      </c>
      <c r="AP15" s="3288" t="s">
        <v>2822</v>
      </c>
      <c r="AQ15" s="3288" t="s">
        <v>2822</v>
      </c>
      <c r="AR15" s="3288" t="s">
        <v>2822</v>
      </c>
    </row>
    <row r="16" spans="1:44" s="3186" customFormat="1">
      <c r="A16" s="3186" t="s">
        <v>3132</v>
      </c>
      <c r="B16" s="3186" t="s">
        <v>3040</v>
      </c>
      <c r="C16" s="3186" t="s">
        <v>3068</v>
      </c>
      <c r="D16" s="3186" t="s">
        <v>3042</v>
      </c>
      <c r="E16" s="3186" t="s">
        <v>2822</v>
      </c>
      <c r="F16" s="3186" t="s">
        <v>3133</v>
      </c>
      <c r="G16" s="3186" t="s">
        <v>3043</v>
      </c>
      <c r="H16" s="3186" t="s">
        <v>3132</v>
      </c>
      <c r="I16" s="3186" t="s">
        <v>3134</v>
      </c>
      <c r="J16" s="3186">
        <v>17950</v>
      </c>
      <c r="K16" s="3186">
        <v>21540</v>
      </c>
      <c r="L16" s="3186" t="s">
        <v>3135</v>
      </c>
      <c r="M16" s="3186" t="s">
        <v>2822</v>
      </c>
      <c r="N16" s="3186">
        <v>35</v>
      </c>
      <c r="O16" s="3186" t="s">
        <v>2822</v>
      </c>
      <c r="P16" s="3186" t="s">
        <v>2822</v>
      </c>
      <c r="Q16" s="3186" t="s">
        <v>2822</v>
      </c>
      <c r="R16" s="3186" t="s">
        <v>2822</v>
      </c>
      <c r="S16" s="3186" t="s">
        <v>2822</v>
      </c>
      <c r="T16" s="3186" t="s">
        <v>2822</v>
      </c>
      <c r="U16" s="3186" t="s">
        <v>2822</v>
      </c>
      <c r="V16" s="3186" t="s">
        <v>2822</v>
      </c>
      <c r="W16" s="3186" t="s">
        <v>3092</v>
      </c>
      <c r="X16" s="3186" t="s">
        <v>3136</v>
      </c>
      <c r="Y16" s="3186" t="s">
        <v>3137</v>
      </c>
      <c r="Z16" s="3186" t="s">
        <v>3138</v>
      </c>
      <c r="AA16" s="3186" t="s">
        <v>3138</v>
      </c>
      <c r="AB16" s="3186" t="s">
        <v>3139</v>
      </c>
      <c r="AC16" s="3186" t="s">
        <v>3054</v>
      </c>
      <c r="AD16" s="3186" t="s">
        <v>3140</v>
      </c>
      <c r="AE16" s="3186">
        <v>1400</v>
      </c>
      <c r="AF16" s="3186">
        <v>2670.96</v>
      </c>
      <c r="AG16" s="3186">
        <v>2670.96</v>
      </c>
      <c r="AH16" s="3186">
        <v>99.2</v>
      </c>
      <c r="AI16" s="3186">
        <v>99.2</v>
      </c>
      <c r="AJ16" s="3186">
        <v>1240</v>
      </c>
      <c r="AK16" s="3186">
        <v>1240</v>
      </c>
      <c r="AL16" s="3186">
        <f t="shared" si="1"/>
        <v>1488</v>
      </c>
      <c r="AM16" s="3186" t="s">
        <v>2822</v>
      </c>
      <c r="AN16" s="3186">
        <v>0</v>
      </c>
      <c r="AO16" s="3186" t="s">
        <v>3141</v>
      </c>
      <c r="AP16" s="3186" t="s">
        <v>2822</v>
      </c>
      <c r="AQ16" s="3186" t="s">
        <v>2822</v>
      </c>
      <c r="AR16" s="3186" t="s">
        <v>2822</v>
      </c>
    </row>
    <row r="17" spans="1:44" s="3186" customFormat="1">
      <c r="A17" s="3186" t="s">
        <v>3142</v>
      </c>
      <c r="B17" s="3186" t="s">
        <v>3040</v>
      </c>
      <c r="C17" s="3186" t="s">
        <v>3068</v>
      </c>
      <c r="D17" s="3186" t="s">
        <v>3042</v>
      </c>
      <c r="E17" s="3186" t="s">
        <v>2822</v>
      </c>
      <c r="F17" s="3186" t="s">
        <v>3143</v>
      </c>
      <c r="G17" s="3186" t="s">
        <v>3043</v>
      </c>
      <c r="H17" s="3186">
        <v>2016005</v>
      </c>
      <c r="I17" s="3186" t="s">
        <v>3115</v>
      </c>
      <c r="J17" s="3186">
        <v>8816</v>
      </c>
      <c r="K17" s="3186">
        <v>10579.2</v>
      </c>
      <c r="L17" s="3186" t="s">
        <v>3144</v>
      </c>
      <c r="M17" s="3186" t="s">
        <v>2822</v>
      </c>
      <c r="N17" s="3186" t="s">
        <v>3145</v>
      </c>
      <c r="O17" s="3186" t="s">
        <v>2822</v>
      </c>
      <c r="P17" s="3186" t="s">
        <v>2822</v>
      </c>
      <c r="Q17" s="3186" t="s">
        <v>2822</v>
      </c>
      <c r="R17" s="3186" t="s">
        <v>2822</v>
      </c>
      <c r="S17" s="3186" t="s">
        <v>2822</v>
      </c>
      <c r="T17" s="3186" t="s">
        <v>2822</v>
      </c>
      <c r="U17" s="3186" t="s">
        <v>2822</v>
      </c>
      <c r="V17" s="3186" t="s">
        <v>2822</v>
      </c>
      <c r="W17" s="3186" t="s">
        <v>3092</v>
      </c>
      <c r="X17" s="3186" t="s">
        <v>3146</v>
      </c>
      <c r="Y17" s="3186" t="s">
        <v>3147</v>
      </c>
      <c r="Z17" s="3186" t="s">
        <v>3148</v>
      </c>
      <c r="AA17" s="3186" t="s">
        <v>3148</v>
      </c>
      <c r="AB17" s="3186" t="s">
        <v>3149</v>
      </c>
      <c r="AC17" s="3186" t="s">
        <v>3054</v>
      </c>
      <c r="AD17" s="3186" t="s">
        <v>3150</v>
      </c>
      <c r="AE17" s="3186">
        <v>1200</v>
      </c>
      <c r="AF17" s="3186">
        <v>2215.2800000000002</v>
      </c>
      <c r="AG17" s="3186">
        <v>2215.2800000000002</v>
      </c>
      <c r="AH17" s="3186">
        <v>167.52</v>
      </c>
      <c r="AI17" s="3186">
        <v>167.52</v>
      </c>
      <c r="AJ17" s="3186">
        <v>2093.9899999999998</v>
      </c>
      <c r="AK17" s="3186">
        <v>2094</v>
      </c>
      <c r="AL17" s="3186">
        <f t="shared" si="1"/>
        <v>2513</v>
      </c>
      <c r="AM17" s="3186" t="s">
        <v>2822</v>
      </c>
      <c r="AN17" s="3186">
        <v>0</v>
      </c>
      <c r="AO17" s="3186" t="s">
        <v>3077</v>
      </c>
      <c r="AP17" s="3186" t="s">
        <v>2822</v>
      </c>
      <c r="AQ17" s="3186" t="s">
        <v>2822</v>
      </c>
      <c r="AR17" s="3186" t="s">
        <v>2822</v>
      </c>
    </row>
    <row r="18" spans="1:44" s="3186" customFormat="1">
      <c r="A18" s="3186" t="s">
        <v>3151</v>
      </c>
      <c r="B18" s="3186" t="s">
        <v>3040</v>
      </c>
      <c r="C18" s="3186" t="s">
        <v>3068</v>
      </c>
      <c r="D18" s="3186" t="s">
        <v>3042</v>
      </c>
      <c r="E18" s="3186" t="s">
        <v>2822</v>
      </c>
      <c r="F18" s="3186" t="s">
        <v>3152</v>
      </c>
      <c r="G18" s="3186" t="s">
        <v>3043</v>
      </c>
      <c r="H18" s="3186" t="s">
        <v>3151</v>
      </c>
      <c r="I18" s="3186" t="s">
        <v>3068</v>
      </c>
      <c r="J18" s="3186">
        <v>49621</v>
      </c>
      <c r="K18" s="3186">
        <v>99242</v>
      </c>
      <c r="L18" s="3186" t="s">
        <v>3153</v>
      </c>
      <c r="M18" s="3186" t="s">
        <v>2822</v>
      </c>
      <c r="N18" s="3186" t="s">
        <v>2822</v>
      </c>
      <c r="O18" s="3186" t="s">
        <v>2822</v>
      </c>
      <c r="P18" s="3186" t="s">
        <v>2822</v>
      </c>
      <c r="Q18" s="3186" t="s">
        <v>2822</v>
      </c>
      <c r="R18" s="3186" t="s">
        <v>2822</v>
      </c>
      <c r="S18" s="3186" t="s">
        <v>2822</v>
      </c>
      <c r="T18" s="3186" t="s">
        <v>2822</v>
      </c>
      <c r="U18" s="3186" t="s">
        <v>2822</v>
      </c>
      <c r="V18" s="3186" t="s">
        <v>2822</v>
      </c>
      <c r="W18" s="3186" t="s">
        <v>3154</v>
      </c>
      <c r="X18" s="3186" t="s">
        <v>3155</v>
      </c>
      <c r="Y18" s="3186" t="s">
        <v>3156</v>
      </c>
      <c r="Z18" s="3186" t="s">
        <v>3157</v>
      </c>
      <c r="AA18" s="3186" t="s">
        <v>3157</v>
      </c>
      <c r="AB18" s="3186" t="s">
        <v>3158</v>
      </c>
      <c r="AC18" s="3186" t="s">
        <v>3054</v>
      </c>
      <c r="AD18" s="3186" t="s">
        <v>3159</v>
      </c>
      <c r="AE18" s="3186">
        <v>2000</v>
      </c>
      <c r="AF18" s="3186">
        <v>9973.81</v>
      </c>
      <c r="AG18" s="3186">
        <v>9973.81</v>
      </c>
      <c r="AH18" s="3186">
        <v>134</v>
      </c>
      <c r="AI18" s="3186">
        <v>134</v>
      </c>
      <c r="AJ18" s="3186">
        <v>1004.99</v>
      </c>
      <c r="AK18" s="3186">
        <v>1005</v>
      </c>
      <c r="AL18" s="3186">
        <f t="shared" si="1"/>
        <v>2010</v>
      </c>
      <c r="AM18" s="3186" t="s">
        <v>2822</v>
      </c>
      <c r="AN18" s="3186">
        <v>0</v>
      </c>
      <c r="AO18" s="3186" t="s">
        <v>3077</v>
      </c>
      <c r="AP18" s="3186" t="s">
        <v>2822</v>
      </c>
      <c r="AQ18" s="3186" t="s">
        <v>2822</v>
      </c>
      <c r="AR18" s="3186" t="s">
        <v>2822</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3" t="s">
        <v>2041</v>
      </c>
      <c r="B1" s="3293"/>
      <c r="C1" s="3293"/>
      <c r="D1" s="3293"/>
      <c r="E1" s="3293"/>
      <c r="F1" s="3293"/>
      <c r="G1" s="3293"/>
      <c r="H1" s="3293"/>
      <c r="I1" s="3293"/>
      <c r="J1" s="3293"/>
      <c r="K1" s="3293"/>
      <c r="L1" s="3293"/>
      <c r="M1" s="3293"/>
      <c r="N1" s="3293"/>
      <c r="O1" s="3293"/>
      <c r="P1" s="3293"/>
      <c r="Q1" s="3293"/>
      <c r="R1" s="3293"/>
    </row>
    <row r="2" spans="1:18">
      <c r="A2" s="1807" t="s">
        <v>2043</v>
      </c>
      <c r="B2" s="1807"/>
      <c r="C2" s="1807"/>
      <c r="D2" s="1807"/>
      <c r="E2" s="1807"/>
      <c r="F2" s="1807"/>
      <c r="G2" s="1807"/>
      <c r="H2" s="1807"/>
      <c r="I2" s="1808"/>
      <c r="J2" s="1808"/>
      <c r="K2" s="1809" t="str">
        <f>"估价期日："&amp;TEXT(项目基本情况!D3,"yyyy年m月d日;;")</f>
        <v>估价期日：2018年4月19日</v>
      </c>
      <c r="L2" s="1807"/>
      <c r="M2" s="1807"/>
      <c r="N2" s="1807"/>
      <c r="O2" s="1807"/>
      <c r="P2" s="1807"/>
      <c r="Q2" s="1807"/>
      <c r="R2" s="1809" t="str">
        <f>"估价期日的国有建设用地使用权性质："&amp;项目基本情况!B16</f>
        <v>估价期日的国有建设用地使用权性质：</v>
      </c>
    </row>
    <row r="3" spans="1:18" ht="23.25" customHeight="1">
      <c r="A3" s="3294" t="s">
        <v>2032</v>
      </c>
      <c r="B3" s="3294" t="s">
        <v>2735</v>
      </c>
      <c r="C3" s="3295" t="s">
        <v>2033</v>
      </c>
      <c r="D3" s="3294" t="s">
        <v>2739</v>
      </c>
      <c r="E3" s="3297" t="s">
        <v>2034</v>
      </c>
      <c r="F3" s="3297"/>
      <c r="G3" s="3297"/>
      <c r="H3" s="3297" t="s">
        <v>2035</v>
      </c>
      <c r="I3" s="3297"/>
      <c r="J3" s="3297"/>
      <c r="K3" s="3295" t="s">
        <v>2036</v>
      </c>
      <c r="L3" s="3295" t="s">
        <v>2037</v>
      </c>
      <c r="M3" s="3294" t="s">
        <v>2736</v>
      </c>
      <c r="N3" s="3296" t="str">
        <f>"（分摊）"&amp;项目基本情况!B16&amp;"国有建设用地使用权面积/㎡"</f>
        <v>（分摊）国有建设用地使用权面积/㎡</v>
      </c>
      <c r="O3" s="3294" t="s">
        <v>2066</v>
      </c>
      <c r="P3" s="3295" t="s">
        <v>2046</v>
      </c>
      <c r="Q3" s="3295" t="s">
        <v>2067</v>
      </c>
      <c r="R3" s="3295" t="s">
        <v>2038</v>
      </c>
    </row>
    <row r="4" spans="1:18" ht="36.75" customHeight="1">
      <c r="A4" s="3294"/>
      <c r="B4" s="3294"/>
      <c r="C4" s="3295"/>
      <c r="D4" s="3294"/>
      <c r="E4" s="2673" t="s">
        <v>2045</v>
      </c>
      <c r="F4" s="2673" t="s">
        <v>2748</v>
      </c>
      <c r="G4" s="2673" t="s">
        <v>2039</v>
      </c>
      <c r="H4" s="2673" t="s">
        <v>2040</v>
      </c>
      <c r="I4" s="2673" t="s">
        <v>2749</v>
      </c>
      <c r="J4" s="2673" t="s">
        <v>2039</v>
      </c>
      <c r="K4" s="3295"/>
      <c r="L4" s="3295"/>
      <c r="M4" s="3294"/>
      <c r="N4" s="3296"/>
      <c r="O4" s="3294"/>
      <c r="P4" s="3295"/>
      <c r="Q4" s="3295"/>
      <c r="R4" s="3295"/>
    </row>
    <row r="5" spans="1:18" ht="135" customHeight="1">
      <c r="A5" s="1943" t="s">
        <v>2659</v>
      </c>
      <c r="B5" s="2891" t="s">
        <v>2657</v>
      </c>
      <c r="C5" s="2672">
        <v>22</v>
      </c>
      <c r="D5" s="2671" t="s">
        <v>2658</v>
      </c>
      <c r="E5" s="1810">
        <f>项目基本情况!B12</f>
        <v>0</v>
      </c>
      <c r="F5" s="2671">
        <v>258</v>
      </c>
      <c r="G5" s="1810">
        <f>项目基本情况!B13</f>
        <v>0</v>
      </c>
      <c r="H5" s="2671">
        <v>1.5</v>
      </c>
      <c r="I5" s="2671">
        <v>1.5</v>
      </c>
      <c r="J5" s="267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v>
      </c>
      <c r="N5" s="1810">
        <f>项目基本情况!C22</f>
        <v>80775.5</v>
      </c>
      <c r="O5" s="1810">
        <f>项目基本情况!C21</f>
        <v>177705.36</v>
      </c>
      <c r="P5" s="1810">
        <f ca="1">结果表!E42</f>
        <v>10738</v>
      </c>
      <c r="Q5" s="1810">
        <f ca="1">结果表!D42</f>
        <v>4881</v>
      </c>
      <c r="R5" s="1811">
        <f ca="1">结果表!C42</f>
        <v>86738</v>
      </c>
    </row>
    <row r="6" spans="1:18">
      <c r="A6" s="3290" t="str">
        <f>IF(项目基本情况!B9="市场价格","——","抵押价格")</f>
        <v>抵押价格</v>
      </c>
      <c r="B6" s="3291"/>
      <c r="C6" s="3291"/>
      <c r="D6" s="3291"/>
      <c r="E6" s="3291"/>
      <c r="F6" s="3291"/>
      <c r="G6" s="3291"/>
      <c r="H6" s="3291"/>
      <c r="I6" s="3291"/>
      <c r="J6" s="3291"/>
      <c r="K6" s="3291"/>
      <c r="L6" s="3291"/>
      <c r="M6" s="3291"/>
      <c r="N6" s="3291"/>
      <c r="O6" s="3291"/>
      <c r="P6" s="3291"/>
      <c r="Q6" s="3292"/>
      <c r="R6" s="1812" t="str">
        <f>结果表!O39</f>
        <v>——</v>
      </c>
    </row>
    <row r="7" spans="1:18">
      <c r="A7" s="3290" t="str">
        <f>IF(项目基本情况!B9="市场价格","——",IF(项目基本情况!E8="已注销及未注销","抵押担保权已注销时的抵押价格","——"))</f>
        <v>——</v>
      </c>
      <c r="B7" s="3291"/>
      <c r="C7" s="3291"/>
      <c r="D7" s="3291"/>
      <c r="E7" s="3291"/>
      <c r="F7" s="3291"/>
      <c r="G7" s="3291"/>
      <c r="H7" s="3291"/>
      <c r="I7" s="3291"/>
      <c r="J7" s="3291"/>
      <c r="K7" s="3291"/>
      <c r="L7" s="3291"/>
      <c r="M7" s="3291"/>
      <c r="N7" s="3291"/>
      <c r="O7" s="3291"/>
      <c r="P7" s="3291"/>
      <c r="Q7" s="3292"/>
      <c r="R7" s="1812" t="str">
        <f>结果表!O40</f>
        <v>——</v>
      </c>
    </row>
    <row r="8" spans="1:18">
      <c r="A8" s="3290">
        <f>IF(项目基本情况!B9="市场价格","——",项目基本情况!E9)</f>
        <v>0</v>
      </c>
      <c r="B8" s="3291"/>
      <c r="C8" s="3291"/>
      <c r="D8" s="3291"/>
      <c r="E8" s="3291"/>
      <c r="F8" s="3291"/>
      <c r="G8" s="3291"/>
      <c r="H8" s="3291"/>
      <c r="I8" s="3291"/>
      <c r="J8" s="3291"/>
      <c r="K8" s="3291"/>
      <c r="L8" s="3291"/>
      <c r="M8" s="3291"/>
      <c r="N8" s="3291"/>
      <c r="O8" s="3291"/>
      <c r="P8" s="3291"/>
      <c r="Q8" s="3292"/>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99" t="s">
        <v>2068</v>
      </c>
      <c r="B1" s="3299"/>
      <c r="C1" s="3299"/>
      <c r="D1" s="3299"/>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9"/>
      <c r="C3" s="3299"/>
      <c r="D3" s="3299"/>
    </row>
    <row r="4" spans="1:4" ht="36.75" customHeight="1">
      <c r="A4" s="3299" t="str">
        <f>"3.估价规划限制条件：详见"&amp;项目基本情况!E21&amp;"。"</f>
        <v>3.估价规划限制条件：详见《建设工程规划许可证》[]、《出让合同》[]。</v>
      </c>
      <c r="B4" s="3299"/>
      <c r="C4" s="3299"/>
      <c r="D4" s="3299"/>
    </row>
    <row r="5" spans="1:4">
      <c r="A5" s="3298" t="s">
        <v>2069</v>
      </c>
      <c r="B5" s="3298"/>
      <c r="C5" s="3298"/>
      <c r="D5" s="3298"/>
    </row>
    <row r="6" spans="1:4">
      <c r="A6" s="3299" t="s">
        <v>2047</v>
      </c>
      <c r="B6" s="3299"/>
      <c r="C6" s="3299"/>
      <c r="D6" s="3299"/>
    </row>
    <row r="7" spans="1:4" ht="33" customHeight="1">
      <c r="A7" s="3299" t="s">
        <v>2579</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9"/>
      <c r="C8" s="3299"/>
      <c r="D8" s="3299"/>
    </row>
    <row r="9" spans="1:4" ht="33.75" customHeight="1">
      <c r="A9" s="3299" t="str">
        <f>IF(项目基本情况!B8="抵押","3.抵押双方在办理抵押登记手续时，应使用本公司出具的正式《土地估价报告》，特提请报告使用者注意。","——")</f>
        <v>——</v>
      </c>
      <c r="B9" s="3299"/>
      <c r="C9" s="3299"/>
      <c r="D9" s="3299"/>
    </row>
    <row r="10" spans="1:4">
      <c r="A10" s="3299" t="str">
        <f>IF(项目基本情况!B8="抵押","4.估价师所知悉的法定优先受偿款情况为：","——")</f>
        <v>——</v>
      </c>
      <c r="B10" s="3299"/>
      <c r="C10" s="3299"/>
      <c r="D10" s="3299"/>
    </row>
    <row r="11" spans="1:4" ht="37.5" customHeight="1">
      <c r="A11" s="3301" t="str">
        <f>IF(项目基本情况!B8="抵押","（1）"&amp;CONCATENATE(项目基本情况!L24,项目基本情况!L25,项目基本情况!L26),"——")</f>
        <v>——</v>
      </c>
      <c r="B11" s="3301"/>
      <c r="C11" s="3301"/>
      <c r="D11" s="3301"/>
    </row>
    <row r="12" spans="1:4" ht="168" customHeight="1">
      <c r="A12" s="3298" t="s">
        <v>2071</v>
      </c>
      <c r="B12" s="3298"/>
      <c r="C12" s="3298"/>
      <c r="D12" s="3298"/>
    </row>
    <row r="13" spans="1:4">
      <c r="A13" s="3302" t="s">
        <v>2750</v>
      </c>
      <c r="B13" s="3302"/>
      <c r="C13" s="3302"/>
      <c r="D13" s="3302"/>
    </row>
    <row r="14" spans="1:4">
      <c r="A14" s="3301" t="str">
        <f>IF(项目基本情况!B8="抵押","综上，"&amp;结果表!K47,"——")</f>
        <v>——</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2706</v>
      </c>
      <c r="B17" s="3299"/>
      <c r="C17" s="3299"/>
      <c r="D17" s="3299"/>
    </row>
    <row r="18" spans="1:4">
      <c r="A18" s="3299" t="s">
        <v>2698</v>
      </c>
      <c r="B18" s="3299"/>
      <c r="C18" s="3299"/>
      <c r="D18" s="3299"/>
    </row>
    <row r="19" spans="1:4">
      <c r="A19" s="2892" t="s">
        <v>2699</v>
      </c>
      <c r="B19" s="2892" t="s">
        <v>2700</v>
      </c>
      <c r="C19" s="2892" t="s">
        <v>2701</v>
      </c>
      <c r="D19" s="2892" t="s">
        <v>2702</v>
      </c>
    </row>
    <row r="20" spans="1:4">
      <c r="A20" s="2892" t="str">
        <f>项目基本情况!B4</f>
        <v>土地估价师</v>
      </c>
      <c r="B20" s="2892">
        <f>项目基本情况!C4</f>
        <v>0</v>
      </c>
      <c r="C20" s="2894"/>
      <c r="D20" s="1800" t="s">
        <v>2707</v>
      </c>
    </row>
    <row r="21" spans="1:4">
      <c r="A21" s="2892" t="str">
        <f>项目基本情况!D4</f>
        <v>土地估价师</v>
      </c>
      <c r="B21" s="2892">
        <f>项目基本情况!E4</f>
        <v>0</v>
      </c>
      <c r="C21" s="2894"/>
      <c r="D21" s="1800" t="s">
        <v>2708</v>
      </c>
    </row>
    <row r="23" spans="1:4">
      <c r="A23" s="3299" t="s">
        <v>2703</v>
      </c>
      <c r="B23" s="3299"/>
      <c r="C23" s="3299"/>
      <c r="D23" s="3299"/>
    </row>
    <row r="24" spans="1:4">
      <c r="A24" s="2892" t="s">
        <v>2699</v>
      </c>
      <c r="B24" s="2892" t="s">
        <v>2704</v>
      </c>
      <c r="C24" s="2892" t="s">
        <v>2701</v>
      </c>
      <c r="D24" s="2892" t="s">
        <v>2702</v>
      </c>
    </row>
    <row r="25" spans="1:4">
      <c r="A25" s="2895" t="s">
        <v>2705</v>
      </c>
      <c r="B25" s="2892" t="s">
        <v>952</v>
      </c>
      <c r="C25" s="2894"/>
      <c r="D25" s="1800" t="s">
        <v>2708</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310" t="s">
        <v>53</v>
      </c>
      <c r="B15" s="3311" t="s">
        <v>846</v>
      </c>
      <c r="C15" s="3307"/>
    </row>
    <row r="16" spans="1:7" ht="14.25">
      <c r="A16" s="3310"/>
      <c r="B16" s="3308" t="s">
        <v>54</v>
      </c>
      <c r="C16" s="1171" t="s">
        <v>53</v>
      </c>
    </row>
    <row r="17" spans="1:3" ht="14.25">
      <c r="A17" s="3310"/>
      <c r="B17" s="3308"/>
      <c r="C17" s="1171" t="s">
        <v>55</v>
      </c>
    </row>
    <row r="18" spans="1:3" ht="14.25">
      <c r="A18" s="3310"/>
      <c r="B18" s="3308"/>
      <c r="C18" s="1171" t="s">
        <v>56</v>
      </c>
    </row>
    <row r="19" spans="1:3" ht="14.25">
      <c r="A19" s="3310"/>
      <c r="B19" s="3306" t="s">
        <v>57</v>
      </c>
      <c r="C19" s="3307"/>
    </row>
    <row r="20" spans="1:3" ht="14.25">
      <c r="A20" s="1172" t="s">
        <v>58</v>
      </c>
      <c r="B20" s="1173"/>
      <c r="C20" s="1174"/>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75" t="s">
        <v>837</v>
      </c>
    </row>
    <row r="25" spans="1:3" ht="14.25">
      <c r="A25" s="3309"/>
      <c r="B25" s="3313"/>
      <c r="C25" s="1175" t="s">
        <v>838</v>
      </c>
    </row>
    <row r="26" spans="1:3" ht="14.25">
      <c r="A26" s="3309"/>
      <c r="B26" s="3313"/>
      <c r="C26" s="1175" t="s">
        <v>839</v>
      </c>
    </row>
    <row r="27" spans="1:3" ht="14.25">
      <c r="A27" s="3309"/>
      <c r="B27" s="3313"/>
      <c r="C27" s="1175" t="s">
        <v>840</v>
      </c>
    </row>
    <row r="28" spans="1:3" ht="14.25">
      <c r="A28" s="3309"/>
      <c r="B28" s="3313"/>
      <c r="C28" s="1175" t="s">
        <v>841</v>
      </c>
    </row>
    <row r="29" spans="1:3" ht="14.25">
      <c r="A29" s="3309"/>
      <c r="B29" s="3313"/>
      <c r="C29" s="1175" t="s">
        <v>842</v>
      </c>
    </row>
    <row r="30" spans="1:3" ht="14.25">
      <c r="A30" s="3309"/>
      <c r="B30" s="3313"/>
      <c r="C30" s="1175" t="s">
        <v>843</v>
      </c>
    </row>
    <row r="31" spans="1:3" ht="14.25">
      <c r="A31" s="3309"/>
      <c r="B31" s="3313"/>
      <c r="C31" s="1175" t="s">
        <v>844</v>
      </c>
    </row>
    <row r="32" spans="1:3" ht="14.25">
      <c r="A32" s="3309"/>
      <c r="B32" s="3313"/>
      <c r="C32" s="1175" t="s">
        <v>1647</v>
      </c>
    </row>
    <row r="33" spans="1:3" ht="14.25">
      <c r="A33" s="3309"/>
      <c r="B33" s="3303" t="s">
        <v>1653</v>
      </c>
      <c r="C33" s="1175" t="s">
        <v>1648</v>
      </c>
    </row>
    <row r="34" spans="1:3" ht="14.25">
      <c r="A34" s="3309"/>
      <c r="B34" s="3304"/>
      <c r="C34" s="1180" t="s">
        <v>1649</v>
      </c>
    </row>
    <row r="35" spans="1:3" ht="14.25">
      <c r="A35" s="3309"/>
      <c r="B35" s="3304"/>
      <c r="C35" s="1181" t="s">
        <v>1650</v>
      </c>
    </row>
    <row r="36" spans="1:3" ht="14.25">
      <c r="A36" s="3309"/>
      <c r="B36" s="3304"/>
      <c r="C36" s="1181" t="s">
        <v>1651</v>
      </c>
    </row>
    <row r="37" spans="1:3" ht="14.25">
      <c r="A37" s="3309"/>
      <c r="B37" s="330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43209</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9">
        <v>43849</v>
      </c>
      <c r="D4" s="2343" t="s">
        <v>1915</v>
      </c>
      <c r="E4" s="2343">
        <f ca="1">IF(F4&lt;B2,"已过期",96010014)</f>
        <v>96010014</v>
      </c>
      <c r="F4" s="3030">
        <v>47118</v>
      </c>
    </row>
    <row r="5" spans="1:6" ht="20.25" customHeight="1">
      <c r="A5" s="2343" t="s">
        <v>1916</v>
      </c>
      <c r="B5" s="2343">
        <f ca="1">IF(C5&lt;B2,"已过期",1119970074)</f>
        <v>1119970074</v>
      </c>
      <c r="C5" s="3029">
        <v>43849</v>
      </c>
      <c r="D5" s="2343" t="s">
        <v>1916</v>
      </c>
      <c r="E5" s="2343">
        <f ca="1">IF(F5&lt;B2,"已过期",2002110027)</f>
        <v>2002110027</v>
      </c>
      <c r="F5" s="3030">
        <v>46752</v>
      </c>
    </row>
    <row r="6" spans="1:6" ht="20.25" customHeight="1">
      <c r="A6" s="2343" t="s">
        <v>1917</v>
      </c>
      <c r="B6" s="2343">
        <f ca="1">IF(C6&lt;B2,"已过期",1119970111)</f>
        <v>1119970111</v>
      </c>
      <c r="C6" s="3029">
        <v>43849</v>
      </c>
      <c r="D6" s="2343" t="s">
        <v>1917</v>
      </c>
      <c r="E6" s="2343">
        <f ca="1">IF(F6&lt;B2,"已过期",94010078)</f>
        <v>94010078</v>
      </c>
      <c r="F6" s="3030">
        <v>46387</v>
      </c>
    </row>
    <row r="7" spans="1:6" ht="20.25" customHeight="1">
      <c r="A7" s="2343" t="s">
        <v>1918</v>
      </c>
      <c r="B7" s="2343">
        <f ca="1">IF(C7&lt;B2,"已过期",1120050019)</f>
        <v>1120050019</v>
      </c>
      <c r="C7" s="3029">
        <v>43359</v>
      </c>
      <c r="D7" s="2343" t="s">
        <v>1918</v>
      </c>
      <c r="E7" s="2343">
        <f ca="1">IF(F7&lt;B2,"已过期",2002110030)</f>
        <v>2002110030</v>
      </c>
      <c r="F7" s="3030">
        <v>46387</v>
      </c>
    </row>
    <row r="8" spans="1:6" ht="20.25" customHeight="1">
      <c r="A8" s="2343" t="s">
        <v>1919</v>
      </c>
      <c r="B8" s="2343">
        <f ca="1">IF(C8&lt;B2,"已过期",1120000080)</f>
        <v>1120000080</v>
      </c>
      <c r="C8" s="3029">
        <v>43849</v>
      </c>
      <c r="D8" s="2343" t="s">
        <v>1919</v>
      </c>
      <c r="E8" s="2343">
        <f ca="1">IF(F8&lt;B2,"已过期",2000110082)</f>
        <v>2000110082</v>
      </c>
      <c r="F8" s="3030">
        <v>46387</v>
      </c>
    </row>
    <row r="9" spans="1:6" ht="20.25" customHeight="1">
      <c r="A9" s="2343" t="s">
        <v>1920</v>
      </c>
      <c r="B9" s="2343">
        <f ca="1">IF(C9&lt;B2,"已过期",1419970001)</f>
        <v>1419970001</v>
      </c>
      <c r="C9" s="3029">
        <v>43867</v>
      </c>
      <c r="D9" s="2343" t="s">
        <v>1920</v>
      </c>
      <c r="E9" s="2343">
        <f ca="1">IF(F9&lt;B2,"已过期",2002110125)</f>
        <v>2002110125</v>
      </c>
      <c r="F9" s="3030">
        <v>47118</v>
      </c>
    </row>
    <row r="10" spans="1:6" ht="20.25" customHeight="1">
      <c r="A10" s="2343" t="s">
        <v>1921</v>
      </c>
      <c r="B10" s="2343">
        <f ca="1">IF(C10&lt;B2,"已过期",1120060040)</f>
        <v>1120060040</v>
      </c>
      <c r="C10" s="3029">
        <v>43483</v>
      </c>
      <c r="D10" s="2343" t="s">
        <v>1921</v>
      </c>
      <c r="E10" s="2343">
        <f ca="1">IF(F10&lt;B2,"已过期",2004110096)</f>
        <v>2004110096</v>
      </c>
      <c r="F10" s="3030">
        <v>47118</v>
      </c>
    </row>
    <row r="11" spans="1:6" ht="20.25" customHeight="1">
      <c r="A11" s="2343" t="s">
        <v>1922</v>
      </c>
      <c r="B11" s="2343">
        <f ca="1">IF(C11&lt;B2,"已过期",1120100036)</f>
        <v>1120100036</v>
      </c>
      <c r="C11" s="3029">
        <v>43622</v>
      </c>
      <c r="D11" s="2343" t="s">
        <v>1922</v>
      </c>
      <c r="E11" s="2343">
        <f ca="1">IF(F11&lt;B2,"已过期",2010110070)</f>
        <v>2010110070</v>
      </c>
      <c r="F11" s="3030">
        <v>47907</v>
      </c>
    </row>
    <row r="12" spans="1:6" ht="20.25" customHeight="1">
      <c r="A12" s="2343"/>
      <c r="B12" s="2343"/>
      <c r="C12" s="3029"/>
      <c r="D12" s="2343"/>
      <c r="E12" s="2343"/>
      <c r="F12" s="2343"/>
    </row>
    <row r="13" spans="1:6" ht="20.25" customHeight="1">
      <c r="A13" s="2343" t="s">
        <v>1923</v>
      </c>
      <c r="B13" s="2343">
        <f ca="1">IF(C13&lt;B2,"已过期",1120070131)</f>
        <v>1120070131</v>
      </c>
      <c r="C13" s="3029">
        <v>43814</v>
      </c>
      <c r="D13" s="2343" t="s">
        <v>1923</v>
      </c>
      <c r="E13" s="2343">
        <v>2014110011</v>
      </c>
      <c r="F13" s="3030">
        <v>49302</v>
      </c>
    </row>
    <row r="14" spans="1:6" ht="20.25" customHeight="1">
      <c r="A14" s="2343" t="s">
        <v>1924</v>
      </c>
      <c r="B14" s="2343">
        <f ca="1">IF(C14&lt;B2,"已过期",1120130020)</f>
        <v>1120130020</v>
      </c>
      <c r="C14" s="3029">
        <v>43622</v>
      </c>
      <c r="D14" s="2343"/>
      <c r="E14" s="2343"/>
      <c r="F14" s="2343"/>
    </row>
    <row r="15" spans="1:6" ht="20.25" customHeight="1">
      <c r="A15" s="2343" t="s">
        <v>2578</v>
      </c>
      <c r="B15" s="2343">
        <v>1120070085</v>
      </c>
      <c r="C15" s="3029">
        <v>43814</v>
      </c>
      <c r="D15" s="2343" t="s">
        <v>2578</v>
      </c>
      <c r="E15" s="2343">
        <v>2004110128</v>
      </c>
      <c r="F15" s="3030">
        <v>47118</v>
      </c>
    </row>
    <row r="16" spans="1:6" ht="20.25" customHeight="1">
      <c r="A16" s="2343" t="s">
        <v>1925</v>
      </c>
      <c r="B16" s="2343">
        <f ca="1">IF(C16&lt;B2,"已过期",1120140022)</f>
        <v>1120140022</v>
      </c>
      <c r="C16" s="3029">
        <v>44029</v>
      </c>
      <c r="D16" s="2343" t="s">
        <v>1925</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1926</v>
      </c>
      <c r="E21" s="2343">
        <f ca="1">IF(F21&lt;B2,"已过期",2011110090)</f>
        <v>2011110090</v>
      </c>
      <c r="F21" s="3030">
        <v>48302</v>
      </c>
    </row>
    <row r="22" spans="1:7" ht="20.25" customHeight="1">
      <c r="A22" s="2343" t="s">
        <v>1927</v>
      </c>
      <c r="B22" s="2343">
        <f ca="1">IF(C22&lt;B2,"已过期",1120020033)</f>
        <v>1120020033</v>
      </c>
      <c r="C22" s="3029">
        <v>43304</v>
      </c>
      <c r="D22" s="2343" t="s">
        <v>1927</v>
      </c>
      <c r="E22" s="2343">
        <f ca="1">IF(F22&lt;B2,"已过期",2000110137)</f>
        <v>2000110137</v>
      </c>
      <c r="F22" s="3030">
        <v>46387</v>
      </c>
    </row>
    <row r="23" spans="1:7" ht="20.25" customHeight="1">
      <c r="A23" s="2343" t="s">
        <v>1928</v>
      </c>
      <c r="B23" s="2343">
        <f ca="1">IF(C23&lt;B2,"已过期",1120130048)</f>
        <v>1120130048</v>
      </c>
      <c r="C23" s="3029">
        <v>43686</v>
      </c>
      <c r="D23" s="2343"/>
      <c r="E23" s="2343"/>
      <c r="F23" s="2343"/>
    </row>
    <row r="24" spans="1:7" s="2347" customFormat="1" ht="20.25" customHeight="1">
      <c r="A24" s="2345" t="s">
        <v>2056</v>
      </c>
      <c r="B24" s="2345" t="s">
        <v>2056</v>
      </c>
      <c r="C24" s="3029"/>
      <c r="D24" s="3031" t="s">
        <v>2056</v>
      </c>
      <c r="E24" s="2345" t="s">
        <v>2056</v>
      </c>
      <c r="F24" s="2346"/>
    </row>
    <row r="25" spans="1:7" ht="20.25" customHeight="1">
      <c r="A25" s="3314" t="s">
        <v>1929</v>
      </c>
      <c r="B25" s="3314"/>
      <c r="C25" s="3314"/>
      <c r="D25" s="3314"/>
      <c r="E25" s="3314"/>
      <c r="F25" s="3314"/>
      <c r="G25" s="3314"/>
    </row>
    <row r="26" spans="1:7" ht="20.25" customHeight="1">
      <c r="A26" s="3315" t="s">
        <v>1930</v>
      </c>
      <c r="B26" s="3315"/>
      <c r="C26" s="3315"/>
      <c r="D26" s="3315" t="s">
        <v>1931</v>
      </c>
      <c r="E26" s="3315"/>
      <c r="F26" s="3315"/>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2547</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8" t="s">
        <v>2960</v>
      </c>
      <c r="C18" s="1553"/>
    </row>
    <row r="19" spans="1:3">
      <c r="A19" s="8" t="s">
        <v>120</v>
      </c>
      <c r="B19" s="3138" t="s">
        <v>2968</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7"/>
    </row>
    <row r="52" spans="1:5">
      <c r="A52" s="1765" t="s">
        <v>1989</v>
      </c>
      <c r="B52" s="1768" t="s">
        <v>1990</v>
      </c>
      <c r="C52" s="1766" t="s">
        <v>1991</v>
      </c>
      <c r="D52" s="1766" t="s">
        <v>1992</v>
      </c>
      <c r="E52" s="1767"/>
    </row>
    <row r="53" spans="1:5">
      <c r="A53" s="3316"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4月19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7"/>
      <c r="E53" s="1767"/>
    </row>
    <row r="54" spans="1:5">
      <c r="A54" s="3316"/>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7"/>
      <c r="E54" s="1767"/>
    </row>
    <row r="55" spans="1:5">
      <c r="A55" s="3316"/>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7"/>
      <c r="E55" s="1767"/>
    </row>
    <row r="56" spans="1:5">
      <c r="A56" s="3316"/>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7"/>
      <c r="E56" s="1767"/>
    </row>
    <row r="57" spans="1:5">
      <c r="A57" s="3316"/>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表1 规划指标</vt:lpstr>
      <vt:lpstr>指标</vt:lpstr>
      <vt:lpstr>土地案例</vt:lpstr>
      <vt:lpstr>'表1 规划指标'!Print_Area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2018-04-19T08:24:13Z</dcterms:modified>
</cp:coreProperties>
</file>