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汉威国际四期\"/>
    </mc:Choice>
  </mc:AlternateContent>
  <xr:revisionPtr revIDLastSave="0" documentId="13_ncr:1_{12C28553-9A85-41E6-B964-922D628B34AA}" xr6:coauthVersionLast="47" xr6:coauthVersionMax="47" xr10:uidLastSave="{00000000-0000-0000-0000-000000000000}"/>
  <bookViews>
    <workbookView xWindow="-276" yWindow="204" windowWidth="13908" windowHeight="1152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收益法" sheetId="15" r:id="rId22"/>
    <sheet name="结果表 (2)" sheetId="82" r:id="rId23"/>
    <sheet name="基准地价修正" sheetId="43" r:id="rId24"/>
    <sheet name="成本法" sheetId="68"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地下" sheetId="83"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s>
  <definedNames>
    <definedName name="_xlnm._FilterDatabase" localSheetId="20" hidden="1">Sheet1!$A$1:$W$41</definedName>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'结果表 (2)'!$A$1:$I$127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44">收益法地下!$A$1:$F$43,收益法地下!$H$3:$M$29,收益法地下!$A$46:$F$71,收益法地下!$I$46:$N$65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12">'[2]比较法-办公'!$B$119:$M$119</definedName>
    <definedName name="办公层高">'比较法-办公'!$B$119:$M$119</definedName>
    <definedName name="办公朝向" localSheetId="20">'[1]比较法-办公'!$B$91:$M$91</definedName>
    <definedName name="办公朝向" localSheetId="12">'[2]比较法-办公'!$B$91:$M$91</definedName>
    <definedName name="办公朝向">'比较法-办公'!$B$91:$M$91</definedName>
    <definedName name="办公道路级别" localSheetId="20">'[1]比较法-办公'!$B$87:$M$87</definedName>
    <definedName name="办公道路级别" localSheetId="12">'[2]比较法-办公'!$B$87:$M$87</definedName>
    <definedName name="办公道路级别">'比较法-办公'!$B$87:$M$87</definedName>
    <definedName name="办公公共部分装修" localSheetId="20">'[1]比较法-办公'!$B$108:$M$108</definedName>
    <definedName name="办公公共部分装修" localSheetId="12">'[2]比较法-办公'!$B$108:$M$108</definedName>
    <definedName name="办公公共部分装修">'比较法-办公'!$B$108:$M$108</definedName>
    <definedName name="办公基础设施水平" localSheetId="20">'[1]比较法-办公'!$B$117:$M$117</definedName>
    <definedName name="办公基础设施水平" localSheetId="12">'[2]比较法-办公'!$B$117:$M$117</definedName>
    <definedName name="办公基础设施水平">'比较法-办公'!$B$117:$M$117</definedName>
    <definedName name="办公集聚程度" localSheetId="20">[1]定义!$M$1:$M$6</definedName>
    <definedName name="办公集聚程度" localSheetId="12">[2]定义!$M$1:$M$6</definedName>
    <definedName name="办公集聚程度">定义!$M$1:$M$6</definedName>
    <definedName name="办公建筑结构" localSheetId="20">'[1]比较法-办公'!$B$106:$M$106</definedName>
    <definedName name="办公建筑结构" localSheetId="12">'[2]比较法-办公'!$B$106:$M$106</definedName>
    <definedName name="办公建筑结构">'比较法-办公'!$B$106:$M$106</definedName>
    <definedName name="办公建筑类型" localSheetId="20">'[1]比较法-办公'!$B$101:$M$101</definedName>
    <definedName name="办公建筑类型" localSheetId="12">'[2]比较法-办公'!$B$101:$M$101</definedName>
    <definedName name="办公建筑类型">'比较法-办公'!$B$101:$M$101</definedName>
    <definedName name="办公交易情况" localSheetId="20">'[1]比较法-办公'!$A$62:$M$62</definedName>
    <definedName name="办公交易情况" localSheetId="12">'[2]比较法-办公'!$A$62:$M$62</definedName>
    <definedName name="办公交易情况">'比较法-办公'!$A$62:$M$62</definedName>
    <definedName name="办公楼层" localSheetId="20">'[1]比较法-办公'!$B$89:$M$89</definedName>
    <definedName name="办公楼层" localSheetId="12">'[2]比较法-办公'!$B$89:$M$89</definedName>
    <definedName name="办公楼层">'比较法-办公'!$B$89:$M$89</definedName>
    <definedName name="办公内部装修" localSheetId="20">'[1]比较法-办公'!$B$123:$M$123</definedName>
    <definedName name="办公内部装修" localSheetId="12">'[2]比较法-办公'!$B$123:$M$123</definedName>
    <definedName name="办公内部装修">'比较法-办公'!$B$123:$M$123</definedName>
    <definedName name="办公物业管理" localSheetId="20">'[1]比较法-办公'!$B$115:$M$115</definedName>
    <definedName name="办公物业管理" localSheetId="12">'[2]比较法-办公'!$B$115:$M$115</definedName>
    <definedName name="办公物业管理">'比较法-办公'!$B$115:$M$115</definedName>
    <definedName name="办公用途" localSheetId="20">'[1]比较法-办公'!$B$64:$M$64</definedName>
    <definedName name="办公用途" localSheetId="12">'[2]比较法-办公'!$B$64:$M$64</definedName>
    <definedName name="办公用途">'比较法-办公'!$B$64:$M$64</definedName>
    <definedName name="仓储公共部分装修" localSheetId="20">'[1]比较法-仓储'!$B$77:$M$77</definedName>
    <definedName name="仓储公共部分装修" localSheetId="12">'[2]比较法-仓储'!$B$77:$M$77</definedName>
    <definedName name="仓储公共部分装修">'比较法-仓储'!$B$77:$M$77</definedName>
    <definedName name="仓储交易情况" localSheetId="20">'[1]比较法-仓储'!$A$49:$M$49</definedName>
    <definedName name="仓储交易情况" localSheetId="12">'[2]比较法-仓储'!$A$49:$M$49</definedName>
    <definedName name="仓储交易情况">'比较法-仓储'!$A$49:$M$49</definedName>
    <definedName name="仓储楼层" localSheetId="20">'[1]比较法-仓储'!$B$69:$M$69</definedName>
    <definedName name="仓储楼层" localSheetId="12">'[2]比较法-仓储'!$B$69:$M$69</definedName>
    <definedName name="仓储楼层">'比较法-仓储'!$B$69:$M$69</definedName>
    <definedName name="仓储物业等级" localSheetId="20">'[1]比较法-仓储'!$B$82:$M$82</definedName>
    <definedName name="仓储物业等级" localSheetId="12">'[2]比较法-仓储'!$B$82:$M$82</definedName>
    <definedName name="仓储物业等级">'比较法-仓储'!$B$82:$M$82</definedName>
    <definedName name="仓储用途" localSheetId="20">'[1]比较法-仓储'!$B$51:$M$51</definedName>
    <definedName name="仓储用途" localSheetId="12">'[2]比较法-仓储'!$B$51:$M$51</definedName>
    <definedName name="仓储用途">'比较法-仓储'!$B$51:$M$51</definedName>
    <definedName name="产业集聚程度" localSheetId="20">[1]定义!$N$1:$N$6</definedName>
    <definedName name="产业集聚程度" localSheetId="12">[2]定义!$N$1:$N$6</definedName>
    <definedName name="产业集聚程度">定义!$N$1:$N$6</definedName>
    <definedName name="车位公共部分装修" localSheetId="20">'[1]比较法-车位'!$B$83:$M$83</definedName>
    <definedName name="车位公共部分装修" localSheetId="12">'[2]比较法-车位'!$B$83:$M$83</definedName>
    <definedName name="车位公共部分装修">'比较法-车位'!$B$83:$M$83</definedName>
    <definedName name="车位交易情况" localSheetId="20">'[1]比较法-车位'!$A$51:$M$51</definedName>
    <definedName name="车位交易情况" localSheetId="12">'[2]比较法-车位'!$A$51:$M$51</definedName>
    <definedName name="车位交易情况">'比较法-车位'!$A$51:$M$51</definedName>
    <definedName name="车位类型" localSheetId="20">'[1]比较法-车位'!$B$93:$M$93</definedName>
    <definedName name="车位类型" localSheetId="12">'[2]比较法-车位'!$B$93:$M$93</definedName>
    <definedName name="车位类型">'比较法-车位'!$B$93:$M$93</definedName>
    <definedName name="车位楼层" localSheetId="20">'[1]比较法-车位'!$B$71:$M$71</definedName>
    <definedName name="车位楼层" localSheetId="12">'[2]比较法-车位'!$B$71:$M$71</definedName>
    <definedName name="车位楼层">'比较法-车位'!$B$71:$M$71</definedName>
    <definedName name="车位配套类型" localSheetId="20">'[1]比较法-车位'!$B$79:$M$79</definedName>
    <definedName name="车位配套类型" localSheetId="12">'[2]比较法-车位'!$B$79:$M$79</definedName>
    <definedName name="车位配套类型">'比较法-车位'!$B$79:$M$79</definedName>
    <definedName name="车位物业等级" localSheetId="20">'[1]比较法-车位'!$B$88:$M$88</definedName>
    <definedName name="车位物业等级" localSheetId="12">'[2]比较法-车位'!$B$88:$M$88</definedName>
    <definedName name="车位物业等级">'比较法-车位'!$B$88:$M$88</definedName>
    <definedName name="车位用途" localSheetId="20">'[1]比较法-车位'!$B$53:$M$53</definedName>
    <definedName name="车位用途" localSheetId="12">'[2]比较法-车位'!$B$53:$M$53</definedName>
    <definedName name="车位用途">'比较法-车位'!$B$53:$M$53</definedName>
    <definedName name="城镇土地纳税等级分级范围" localSheetId="20">'[1]数据-取费表'!$A$53:$A$63</definedName>
    <definedName name="城镇土地纳税等级分级范围" localSheetId="12">'[2]数据-取费表'!$A$53:$A$63</definedName>
    <definedName name="城镇土地纳税等级分级范围">'数据-取费表'!$A$53:$A$63</definedName>
    <definedName name="单价内涵" localSheetId="20">[1]定义!$V$1:$V$3</definedName>
    <definedName name="单价内涵" localSheetId="12">[2]定义!$V$1:$V$3</definedName>
    <definedName name="单价内涵">定义!$V$1:$V$3</definedName>
    <definedName name="地类判定" localSheetId="20">[1]定义!$H$1:$H$9</definedName>
    <definedName name="地类判定" localSheetId="12">[2]定义!$H$1:$H$9</definedName>
    <definedName name="地类判定">定义!$H$1:$H$9</definedName>
    <definedName name="二级">区片价!$J$1:$J$21</definedName>
    <definedName name="二级分类" localSheetId="20">[1]修正!$C$19:$C$51</definedName>
    <definedName name="二级分类" localSheetId="12">[2]修正!$C$19:$C$51</definedName>
    <definedName name="二级分类">修正!$C$19:$C$51</definedName>
    <definedName name="法定最高年限" localSheetId="20">[1]定义!$G$1:$G$6</definedName>
    <definedName name="法定最高年限" localSheetId="12">[2]定义!$G$1:$G$6</definedName>
    <definedName name="法定最高年限">定义!$G$1:$G$6</definedName>
    <definedName name="工业公共部分装修" localSheetId="20">'[1]比较法-工业'!$B$95:$M$95</definedName>
    <definedName name="工业公共部分装修" localSheetId="12">'[2]比较法-工业'!$B$95:$M$95</definedName>
    <definedName name="工业公共部分装修">'比较法-工业'!$B$95:$M$95</definedName>
    <definedName name="工业基础设施水平" localSheetId="20">'[1]比较法-工业'!$B$102:$M$102</definedName>
    <definedName name="工业基础设施水平" localSheetId="12">'[2]比较法-工业'!$B$102:$M$102</definedName>
    <definedName name="工业基础设施水平">'比较法-工业'!$B$102:$M$102</definedName>
    <definedName name="工业建筑结构" localSheetId="20">'[1]比较法-工业'!$B$93:$M$93</definedName>
    <definedName name="工业建筑结构" localSheetId="12">'[2]比较法-工业'!$B$93:$M$93</definedName>
    <definedName name="工业建筑结构">'比较法-工业'!$B$93:$M$93</definedName>
    <definedName name="工业建筑类型" localSheetId="20">'[1]比较法-工业'!$B$88:$M$88</definedName>
    <definedName name="工业建筑类型" localSheetId="12">'[2]比较法-工业'!$B$88:$M$88</definedName>
    <definedName name="工业建筑类型">'比较法-工业'!$B$88:$M$88</definedName>
    <definedName name="工业交易情况" localSheetId="20">'[1]比较法-工业'!$A$55:$M$55</definedName>
    <definedName name="工业交易情况" localSheetId="12">'[2]比较法-工业'!$A$55:$M$55</definedName>
    <definedName name="工业交易情况">'比较法-工业'!$A$55:$M$55</definedName>
    <definedName name="工业内部装修" localSheetId="20">'[1]比较法-工业'!$B$104:$M$104</definedName>
    <definedName name="工业内部装修" localSheetId="12">'[2]比较法-工业'!$B$104:$M$104</definedName>
    <definedName name="工业内部装修">'比较法-工业'!$B$104:$M$104</definedName>
    <definedName name="工业物业管理" localSheetId="20">'[1]比较法-工业'!$B$100:$M$100</definedName>
    <definedName name="工业物业管理" localSheetId="12">'[2]比较法-工业'!$B$100:$M$100</definedName>
    <definedName name="工业物业管理">'比较法-工业'!$B$100:$M$100</definedName>
    <definedName name="工业用途" localSheetId="20">'[1]比较法-工业'!$B$57:$M$57</definedName>
    <definedName name="工业用途" localSheetId="12">'[2]比较法-工业'!$B$57:$M$57</definedName>
    <definedName name="工业用途">'比较法-工业'!$B$57:$M$57</definedName>
    <definedName name="公共配套设施" localSheetId="20">[1]定义!$Q$1:$Q$6</definedName>
    <definedName name="公共配套设施" localSheetId="12">[2]定义!$Q$1:$Q$6</definedName>
    <definedName name="公共配套设施">定义!$Q$1:$Q$6</definedName>
    <definedName name="估价范围判定" localSheetId="20">[1]定义!$D$1:$D$4</definedName>
    <definedName name="估价范围判定" localSheetId="12">[2]定义!$D$1:$D$4</definedName>
    <definedName name="估价范围判定">定义!$D$1:$D$4</definedName>
    <definedName name="估价方法" localSheetId="20">[1]定义!$B$1:$B$50</definedName>
    <definedName name="估价方法" localSheetId="12">[2]定义!$B$1:$B$50</definedName>
    <definedName name="估价方法">定义!$B$1:$B$50</definedName>
    <definedName name="环境" localSheetId="20">[1]定义!$S$1:$S$6</definedName>
    <definedName name="环境" localSheetId="12">[2]定义!$S$1:$S$6</definedName>
    <definedName name="环境">定义!$S$1:$S$6</definedName>
    <definedName name="基础设施水平" localSheetId="20">[1]定义!$R$1:$R$6</definedName>
    <definedName name="基础设施水平" localSheetId="12">[2]定义!$R$1:$R$6</definedName>
    <definedName name="基础设施水平">定义!$R$1:$R$6</definedName>
    <definedName name="季度">基准地价修正!$Q$19:$AD$19</definedName>
    <definedName name="价值类型2" localSheetId="20">[1]定义!$B$54:$B$56</definedName>
    <definedName name="价值类型2" localSheetId="12">[2]定义!$B$54:$B$56</definedName>
    <definedName name="价值类型2">定义!$B$54:$B$56</definedName>
    <definedName name="交通便捷度" localSheetId="20">[1]定义!$O$1:$O$6</definedName>
    <definedName name="交通便捷度" localSheetId="12">[2]定义!$O$1:$O$6</definedName>
    <definedName name="交通便捷度">定义!$O$1:$O$6</definedName>
    <definedName name="九级">区片价!$Q$1:$Q$51</definedName>
    <definedName name="居住社区成熟度" localSheetId="20">[1]定义!$K$1:$K$6</definedName>
    <definedName name="居住社区成熟度" localSheetId="12">[2]定义!$K$1:$K$6</definedName>
    <definedName name="居住社区成熟度">定义!$K$1:$K$6</definedName>
    <definedName name="可用科目">[3]隐藏数据!$B$1:$B$300</definedName>
    <definedName name="类别" localSheetId="20">[1]定义!$J$1:$J$3</definedName>
    <definedName name="类别" localSheetId="12">[2]定义!$J$1:$J$3</definedName>
    <definedName name="类别">定义!$J$1:$J$3</definedName>
    <definedName name="临街状况" localSheetId="20">[1]定义!$T$1:$T$5</definedName>
    <definedName name="临街状况" localSheetId="12">[2]定义!$T$1:$T$5</definedName>
    <definedName name="临街状况">定义!$T$1:$T$5</definedName>
    <definedName name="六级">区片价!$N$1:$N$64</definedName>
    <definedName name="内部装修维护情况" localSheetId="20">[1]定义!$U$1:$U$6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0">[1]修正!$A$8:$A$16</definedName>
    <definedName name="七通一平" localSheetId="12">[2]修正!$A$8:$A$16</definedName>
    <definedName name="七通一平">修正!$A$8:$A$16</definedName>
    <definedName name="区域土地利用方向" localSheetId="20">[1]定义!$P$1:$P$6</definedName>
    <definedName name="区域土地利用方向" localSheetId="12">[2]定义!$P$1:$P$6</definedName>
    <definedName name="区域土地利用方向">定义!$P$1:$P$6</definedName>
    <definedName name="三级">区片价!$K$1:$K$26</definedName>
    <definedName name="商业层高" localSheetId="20">'[1]比较法-商业'!$B$116:$M$116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0">[1]定义!$L$1:$L$6</definedName>
    <definedName name="商业繁华度" localSheetId="12">[2]定义!$L$1:$L$6</definedName>
    <definedName name="商业繁华度">定义!$L$1:$L$6</definedName>
    <definedName name="商业公共部分装修" localSheetId="20">'[1]比较法-商业'!$B$107:$M$107</definedName>
    <definedName name="商业公共部分装修" localSheetId="12">'[2]比较法-商业'!$B$107:$M$107</definedName>
    <definedName name="商业公共部分装修">'比较法-商业'!$B$107:$M$107</definedName>
    <definedName name="商业基础设施水平" localSheetId="20">'[1]比较法-商业'!$B$112:$M$112</definedName>
    <definedName name="商业基础设施水平" localSheetId="12">'[2]比较法-商业'!$B$112:$M$112</definedName>
    <definedName name="商业基础设施水平">'比较法-商业'!$B$112:$M$112</definedName>
    <definedName name="商业建筑结构" localSheetId="20">'[1]比较法-商业'!$B$105:$M$105</definedName>
    <definedName name="商业建筑结构" localSheetId="12">'[2]比较法-商业'!$B$105:$M$105</definedName>
    <definedName name="商业建筑结构">'比较法-商业'!$B$105:$M$105</definedName>
    <definedName name="商业交易情况" localSheetId="20">'[1]比较法-商业'!$A$61:$M$61</definedName>
    <definedName name="商业交易情况" localSheetId="12">'[2]比较法-商业'!$A$61:$M$61</definedName>
    <definedName name="商业交易情况">'比较法-商业'!$A$61:$M$61</definedName>
    <definedName name="商业街名称" localSheetId="20">[1]修正!$C$71:$C$138</definedName>
    <definedName name="商业街名称" localSheetId="12">[2]修正!$C$71:$C$138</definedName>
    <definedName name="商业街名称">修正!$C$71:$C$138</definedName>
    <definedName name="商业进深比" localSheetId="20">'[1]比较法-商业'!$B$120:$M$120</definedName>
    <definedName name="商业进深比" localSheetId="12">'[2]比较法-商业'!$B$120:$M$120</definedName>
    <definedName name="商业进深比">'比较法-商业'!$B$120:$M$120</definedName>
    <definedName name="商业类型" localSheetId="20">'[1]比较法-商业'!$B$100:$M$100</definedName>
    <definedName name="商业类型" localSheetId="12">'[2]比较法-商业'!$B$100:$M$100</definedName>
    <definedName name="商业类型">'比较法-商业'!$B$100:$M$100</definedName>
    <definedName name="商业临街状况" localSheetId="20">'[1]比较法-商业'!$B$86:$M$86</definedName>
    <definedName name="商业临街状况" localSheetId="12">'[2]比较法-商业'!$B$86:$M$86</definedName>
    <definedName name="商业临街状况">'比较法-商业'!$B$86:$M$86</definedName>
    <definedName name="商业楼层" localSheetId="20">'[1]比较法-商业'!$B$92:$M$92</definedName>
    <definedName name="商业楼层" localSheetId="12">'[2]比较法-商业'!$B$92:$M$92</definedName>
    <definedName name="商业楼层">'比较法-商业'!$B$92:$M$92</definedName>
    <definedName name="商业内部装修" localSheetId="20">'[1]比较法-商业'!$B$122:$M$122</definedName>
    <definedName name="商业内部装修" localSheetId="12">'[2]比较法-商业'!$B$122:$M$122</definedName>
    <definedName name="商业内部装修">'比较法-商业'!$B$122:$M$122</definedName>
    <definedName name="商业人流量" localSheetId="20">'[1]比较法-商业'!$B$90:$M$90</definedName>
    <definedName name="商业人流量" localSheetId="12">'[2]比较法-商业'!$B$90:$M$90</definedName>
    <definedName name="商业人流量">'比较法-商业'!$B$90:$M$90</definedName>
    <definedName name="商业业态" localSheetId="20">'[1]比较法-商业'!$B$114:$M$114</definedName>
    <definedName name="商业业态" localSheetId="12">'[2]比较法-商业'!$B$114:$M$114</definedName>
    <definedName name="商业业态">'比较法-商业'!$B$114:$M$114</definedName>
    <definedName name="商业用途" localSheetId="20">'[1]比较法-商业'!$B$63:$M$63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12">'[2]比较法-仓储'!$B$89:$M$89</definedName>
    <definedName name="是否封闭">'比较法-仓储'!$B$89:$M$89</definedName>
    <definedName name="是否直接入户" localSheetId="20">'[1]比较法-车位'!$B$95:$M$95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12">'[2]土地比较法-工业'!$B$97:$M$97</definedName>
    <definedName name="套工道路等级">'土地比较法-工业'!$B$97:$M$97</definedName>
    <definedName name="套工地质条件" localSheetId="20">'[1]土地比较法-工业'!$B$114:$M$114</definedName>
    <definedName name="套工地质条件" localSheetId="12">'[2]土地比较法-工业'!$B$114:$M$114</definedName>
    <definedName name="套工地质条件">'土地比较法-工业'!$B$114:$M$114</definedName>
    <definedName name="套工交易情况" localSheetId="20">'[1]土地比较法-住宅、综合'!$A$72:$M$72</definedName>
    <definedName name="套工交易情况" localSheetId="12">'[2]土地比较法-住宅、综合'!$A$72:$M$72</definedName>
    <definedName name="套工交易情况">'土地比较法-住宅、综合'!$A$72:$M$72</definedName>
    <definedName name="套工土地级别" localSheetId="20">'[1]土地比较法-工业'!$B$99:$M$99</definedName>
    <definedName name="套工土地级别" localSheetId="12">'[2]土地比较法-工业'!$B$99:$M$99</definedName>
    <definedName name="套工土地级别">'土地比较法-工业'!$B$99:$M$99</definedName>
    <definedName name="套工用途" localSheetId="20">'[1]土地比较法-工业'!$B$70:$M$70</definedName>
    <definedName name="套工用途" localSheetId="12">'[2]土地比较法-工业'!$B$70:$M$70</definedName>
    <definedName name="套工用途">'土地比较法-工业'!$B$70:$M$70</definedName>
    <definedName name="套工宗地开发程度" localSheetId="20">'[1]土地比较法-工业'!$B$112:$M$112</definedName>
    <definedName name="套工宗地开发程度" localSheetId="12">'[2]土地比较法-工业'!$B$112:$M$112</definedName>
    <definedName name="套工宗地开发程度">'土地比较法-工业'!$B$112:$M$112</definedName>
    <definedName name="套工宗地形状" localSheetId="20">'[1]土地比较法-工业'!$B$110:$M$110</definedName>
    <definedName name="套工宗地形状" localSheetId="12">'[2]土地比较法-工业'!$B$110:$M$110</definedName>
    <definedName name="套工宗地形状">'土地比较法-工业'!$B$110:$M$110</definedName>
    <definedName name="套综道路等级" localSheetId="20">'[1]土地比较法-住宅、综合'!$B$105:$M$105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0">'[1]土地比较法-住宅、综合'!$A$72:$M$72</definedName>
    <definedName name="套综交易情况" localSheetId="12">'[2]土地比较法-住宅、综合'!$A$72:$M$72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12">'[2]土地比较法-住宅、综合'!$B$107:$M$107</definedName>
    <definedName name="套综土地级别">'土地比较法-住宅、综合'!$B$107:$M$107</definedName>
    <definedName name="套综用途" localSheetId="20">'[1]土地比较法-住宅、综合'!$B$74:$M$74</definedName>
    <definedName name="套综用途" localSheetId="12">'[2]土地比较法-住宅、综合'!$B$74:$M$74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2">[2]定义!$E$2:$E$4</definedName>
    <definedName name="位置">定义!$E$2:$E$4</definedName>
    <definedName name="五等判定" localSheetId="20">[1]定义!$W$1:$W$6</definedName>
    <definedName name="五等判定" localSheetId="12">[2]定义!$W$1:$W$6</definedName>
    <definedName name="五等判定">定义!$W$1:$W$6</definedName>
    <definedName name="五级">区片价!$M$1:$M$41</definedName>
    <definedName name="项目类型" localSheetId="20">'[1]数据-汇总表'!$C$17:$C$26</definedName>
    <definedName name="项目类型" localSheetId="12">'[2]数据-汇总表'!$C$17:$C$26</definedName>
    <definedName name="项目类型" localSheetId="28">'[5]数据-汇总表'!$C$17:$C$26</definedName>
    <definedName name="项目类型">'数据-汇总表'!$C$17:$C$26</definedName>
    <definedName name="写字楼等级" localSheetId="20">'[1]比较法-办公'!$B$113:$M$113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0">[1]典型户型修正!$5:$5</definedName>
    <definedName name="一修多修正项2" localSheetId="12">[2]典型户型修正!$5:$5</definedName>
    <definedName name="一修多修正项2">典型户型修正!$5:$5</definedName>
    <definedName name="一修多修正项3" localSheetId="20">[1]典型户型修正!$7:$7</definedName>
    <definedName name="一修多修正项3" localSheetId="12">[2]典型户型修正!$7:$7</definedName>
    <definedName name="一修多修正项3">典型户型修正!$7:$7</definedName>
    <definedName name="一修多修正项4" localSheetId="20">[1]典型户型修正!$9:$9</definedName>
    <definedName name="一修多修正项4" localSheetId="12">[2]典型户型修正!$9:$9</definedName>
    <definedName name="一修多修正项4">典型户型修正!$9:$9</definedName>
    <definedName name="一修多修正项5" localSheetId="20">[1]典型户型修正!$11:$11</definedName>
    <definedName name="一修多修正项5" localSheetId="12">[2]典型户型修正!$11:$11</definedName>
    <definedName name="一修多修正项5">典型户型修正!$11:$11</definedName>
    <definedName name="一修多修正项6" localSheetId="20">[1]典型户型修正!$13:$13</definedName>
    <definedName name="一修多修正项6" localSheetId="12">[2]典型户型修正!$13:$13</definedName>
    <definedName name="一修多修正项6">典型户型修正!$13:$13</definedName>
    <definedName name="一修多修正项7" localSheetId="20">[1]典型户型修正!$15:$15</definedName>
    <definedName name="一修多修正项7" localSheetId="12">[2]典型户型修正!$15:$15</definedName>
    <definedName name="一修多修正项7">典型户型修正!$15:$15</definedName>
    <definedName name="一修多修正项8" localSheetId="20">[1]典型户型修正!$17:$17</definedName>
    <definedName name="一修多修正项8" localSheetId="12">[2]典型户型修正!$17:$17</definedName>
    <definedName name="一修多修正项8">典型户型修正!$17:$17</definedName>
    <definedName name="用途明细" localSheetId="20">[1]定义!$A$1:$A$50</definedName>
    <definedName name="用途明细" localSheetId="12">[2]定义!$A$1:$A$50</definedName>
    <definedName name="用途明细">定义!$A$1:$A$50</definedName>
    <definedName name="有无电梯" localSheetId="20">'[1]比较法-仓储'!$B$84:$M$84</definedName>
    <definedName name="有无电梯" localSheetId="12">'[2]比较法-仓储'!$B$84:$M$84</definedName>
    <definedName name="有无电梯">'比较法-仓储'!$B$84:$M$84</definedName>
    <definedName name="主用途" localSheetId="20">[1]定义!$F$1:$F$12</definedName>
    <definedName name="主用途" localSheetId="12">[2]定义!$F$1:$F$12</definedName>
    <definedName name="主用途">定义!$F$1:$F$12</definedName>
    <definedName name="住宅朝向" localSheetId="20">'[1]比较法-住宅'!$B$88:$M$88</definedName>
    <definedName name="住宅朝向" localSheetId="12">'[2]比较法-住宅'!$B$88:$M$88</definedName>
    <definedName name="住宅朝向">'比较法-住宅'!$B$88:$M$88</definedName>
    <definedName name="住宅房型" localSheetId="20">'[1]比较法-住宅'!$B$118:$M$118</definedName>
    <definedName name="住宅房型" localSheetId="12">'[2]比较法-住宅'!$B$118:$M$118</definedName>
    <definedName name="住宅房型">'比较法-住宅'!$B$118:$M$118</definedName>
    <definedName name="住宅公共部分装修" localSheetId="20">'[1]比较法-住宅'!$B$109:$M$109</definedName>
    <definedName name="住宅公共部分装修" localSheetId="12">'[2]比较法-住宅'!$B$109:$M$109</definedName>
    <definedName name="住宅公共部分装修">'比较法-住宅'!$B$109:$M$109</definedName>
    <definedName name="住宅基础设施水平" localSheetId="20">'[1]比较法-住宅'!$B$116:$M$116</definedName>
    <definedName name="住宅基础设施水平" localSheetId="12">'[2]比较法-住宅'!$B$116:$M$116</definedName>
    <definedName name="住宅基础设施水平">'比较法-住宅'!$B$116:$M$116</definedName>
    <definedName name="住宅建筑结构" localSheetId="20">'[1]比较法-住宅'!$B$105:$M$105</definedName>
    <definedName name="住宅建筑结构" localSheetId="12">'[2]比较法-住宅'!$B$105:$M$105</definedName>
    <definedName name="住宅建筑结构">'比较法-住宅'!$B$105:$M$105</definedName>
    <definedName name="住宅建筑类型" localSheetId="20">'[1]比较法-住宅'!$B$100:$M$100</definedName>
    <definedName name="住宅建筑类型" localSheetId="12">'[2]比较法-住宅'!$B$100:$M$100</definedName>
    <definedName name="住宅建筑类型">'比较法-住宅'!$B$100:$M$100</definedName>
    <definedName name="住宅建筑品质" localSheetId="20">'[1]比较法-住宅'!$B$107:$M$107</definedName>
    <definedName name="住宅建筑品质" localSheetId="12">'[2]比较法-住宅'!$B$107:$M$107</definedName>
    <definedName name="住宅建筑品质">'比较法-住宅'!$B$107:$M$107</definedName>
    <definedName name="住宅交易情况" localSheetId="20">'[1]比较法-住宅'!$A$61:$M$61</definedName>
    <definedName name="住宅交易情况" localSheetId="12">'[2]比较法-住宅'!$A$61:$M$61</definedName>
    <definedName name="住宅交易情况">'比较法-住宅'!$A$61:$M$61</definedName>
    <definedName name="住宅楼层" localSheetId="20">'[1]比较法-住宅'!$B$86:$M$86</definedName>
    <definedName name="住宅楼层" localSheetId="12">'[2]比较法-住宅'!$B$86:$M$86</definedName>
    <definedName name="住宅楼层">'比较法-住宅'!$B$86:$M$86</definedName>
    <definedName name="住宅内部装修" localSheetId="20">'[1]比较法-住宅'!$B$122:$M$122</definedName>
    <definedName name="住宅内部装修" localSheetId="12">'[2]比较法-住宅'!$B$122:$M$122</definedName>
    <definedName name="住宅内部装修">'比较法-住宅'!$B$122:$M$122</definedName>
    <definedName name="住宅物业管理" localSheetId="20">'[1]比较法-住宅'!$B$114:$M$114</definedName>
    <definedName name="住宅物业管理" localSheetId="12">'[2]比较法-住宅'!$B$114:$M$114</definedName>
    <definedName name="住宅物业管理">'比较法-住宅'!$B$114:$M$114</definedName>
    <definedName name="住宅用途" localSheetId="20">'[1]比较法-住宅'!$B$63:$M$63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91" i="9" l="1"/>
  <c r="G61" i="80"/>
  <c r="D67" i="34" l="1"/>
  <c r="H64" i="80"/>
  <c r="E68" i="80"/>
  <c r="E67" i="80"/>
  <c r="Q72" i="83" l="1"/>
  <c r="Q59" i="83"/>
  <c r="K59" i="83"/>
  <c r="P74" i="83" s="1"/>
  <c r="F59" i="83"/>
  <c r="Q58" i="83"/>
  <c r="Q51" i="83"/>
  <c r="J50" i="83"/>
  <c r="J49" i="83"/>
  <c r="M47" i="83"/>
  <c r="D46" i="83"/>
  <c r="F33" i="83"/>
  <c r="F61" i="83" s="1"/>
  <c r="F31" i="83"/>
  <c r="F23" i="83"/>
  <c r="D24" i="83" s="1"/>
  <c r="D23" i="83"/>
  <c r="F21" i="83"/>
  <c r="F20" i="83"/>
  <c r="M19" i="83"/>
  <c r="F18" i="83"/>
  <c r="M17" i="83"/>
  <c r="F17" i="83"/>
  <c r="F15" i="83"/>
  <c r="A120" i="82"/>
  <c r="E111" i="82"/>
  <c r="E109" i="82"/>
  <c r="E107" i="82"/>
  <c r="A122" i="82" s="1"/>
  <c r="H106" i="82"/>
  <c r="H105" i="82"/>
  <c r="H103" i="82" s="1"/>
  <c r="D120" i="82" s="1"/>
  <c r="D121" i="82" s="1"/>
  <c r="H104" i="82"/>
  <c r="D101" i="82"/>
  <c r="C101" i="82"/>
  <c r="C91" i="82"/>
  <c r="E90" i="82"/>
  <c r="D89" i="82"/>
  <c r="C89" i="82" s="1"/>
  <c r="C87" i="82" s="1"/>
  <c r="H77" i="82"/>
  <c r="D77" i="82"/>
  <c r="C76" i="82"/>
  <c r="F59" i="82"/>
  <c r="O55" i="82" s="1"/>
  <c r="E59" i="82"/>
  <c r="N55" i="82" s="1"/>
  <c r="F56" i="82"/>
  <c r="O54" i="82" s="1"/>
  <c r="K55" i="82"/>
  <c r="J55" i="82"/>
  <c r="I55" i="82"/>
  <c r="F55" i="82"/>
  <c r="O53" i="82" s="1"/>
  <c r="N54" i="82"/>
  <c r="N53" i="82"/>
  <c r="K49" i="82"/>
  <c r="E48" i="82"/>
  <c r="N52" i="82" s="1"/>
  <c r="D48" i="82"/>
  <c r="M52" i="82" s="1"/>
  <c r="F33" i="82"/>
  <c r="D27" i="82"/>
  <c r="C25" i="82"/>
  <c r="C24" i="82"/>
  <c r="D17" i="82"/>
  <c r="C17" i="82"/>
  <c r="L4" i="82"/>
  <c r="K4" i="82"/>
  <c r="H1" i="82"/>
  <c r="J49" i="15"/>
  <c r="D37" i="80"/>
  <c r="D36" i="80"/>
  <c r="F45" i="80"/>
  <c r="F46" i="80" s="1"/>
  <c r="F47" i="80" s="1"/>
  <c r="F48" i="80" s="1"/>
  <c r="F49" i="80" s="1"/>
  <c r="F50" i="80" s="1"/>
  <c r="F51" i="80" s="1"/>
  <c r="F52" i="80" s="1"/>
  <c r="F53" i="80" s="1"/>
  <c r="F54" i="80" s="1"/>
  <c r="F55" i="80" s="1"/>
  <c r="I37" i="34"/>
  <c r="G37" i="34"/>
  <c r="E37" i="34"/>
  <c r="E105" i="34"/>
  <c r="F105" i="34" s="1"/>
  <c r="G105" i="34" s="1"/>
  <c r="H105" i="34" s="1"/>
  <c r="D105" i="34"/>
  <c r="E67" i="34"/>
  <c r="F67" i="34" s="1"/>
  <c r="G5" i="34"/>
  <c r="E5" i="34"/>
  <c r="B21" i="1"/>
  <c r="A3" i="3"/>
  <c r="C18" i="82" l="1"/>
  <c r="D18" i="82" s="1"/>
  <c r="D22" i="83"/>
  <c r="A126" i="82"/>
  <c r="C92" i="82"/>
  <c r="C94" i="82"/>
  <c r="P61" i="83"/>
  <c r="A124" i="82"/>
  <c r="H109" i="82"/>
  <c r="K120" i="82"/>
  <c r="D124" i="82" l="1"/>
  <c r="D125" i="82" s="1"/>
  <c r="H110" i="82"/>
  <c r="E48" i="80" l="1"/>
  <c r="E43" i="80"/>
  <c r="G43" i="80" s="1"/>
  <c r="E45" i="80"/>
  <c r="C22" i="80"/>
  <c r="E22" i="80" s="1"/>
  <c r="H32" i="80"/>
  <c r="D25" i="80"/>
  <c r="E25" i="80" s="1"/>
  <c r="L16" i="80"/>
  <c r="J16" i="80"/>
  <c r="H16" i="80"/>
  <c r="G16" i="80"/>
  <c r="K15" i="80"/>
  <c r="I15" i="80"/>
  <c r="I14" i="80"/>
  <c r="K14" i="80" s="1"/>
  <c r="I13" i="80"/>
  <c r="K13" i="80" s="1"/>
  <c r="I12" i="80"/>
  <c r="K12" i="80" s="1"/>
  <c r="I11" i="80"/>
  <c r="K11" i="80" s="1"/>
  <c r="I10" i="80"/>
  <c r="K10" i="80" s="1"/>
  <c r="I9" i="80"/>
  <c r="K9" i="80" s="1"/>
  <c r="I8" i="80"/>
  <c r="K8" i="80" s="1"/>
  <c r="I7" i="80"/>
  <c r="K7" i="80" s="1"/>
  <c r="I6" i="80"/>
  <c r="K6" i="80" s="1"/>
  <c r="I5" i="80"/>
  <c r="K5" i="80" s="1"/>
  <c r="I4" i="80"/>
  <c r="K4" i="80" s="1"/>
  <c r="I3" i="80"/>
  <c r="K3" i="80" s="1"/>
  <c r="D3" i="4"/>
  <c r="I12" i="79"/>
  <c r="F60" i="80" l="1"/>
  <c r="K13" i="3"/>
  <c r="G20" i="6" s="1"/>
  <c r="H34" i="80"/>
  <c r="N6" i="1"/>
  <c r="N7" i="1" s="1"/>
  <c r="Y7" i="1" s="1"/>
  <c r="E49" i="80"/>
  <c r="G49" i="80" s="1"/>
  <c r="G48" i="80"/>
  <c r="E46" i="80"/>
  <c r="G46" i="80" s="1"/>
  <c r="G45" i="80"/>
  <c r="E47" i="80"/>
  <c r="G47" i="80" s="1"/>
  <c r="E50" i="80"/>
  <c r="G50" i="80" s="1"/>
  <c r="E44" i="80"/>
  <c r="G44" i="80" s="1"/>
  <c r="C21" i="80"/>
  <c r="K16" i="80"/>
  <c r="I16" i="80"/>
  <c r="I13" i="3"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34" i="34" l="1"/>
  <c r="F19" i="6"/>
  <c r="Y6" i="1"/>
  <c r="F65" i="80"/>
  <c r="D41" i="43" s="1"/>
  <c r="F62" i="80"/>
  <c r="F61" i="80"/>
  <c r="F63" i="80"/>
  <c r="F64" i="80"/>
  <c r="E52" i="80"/>
  <c r="G52" i="80" s="1"/>
  <c r="E51" i="80"/>
  <c r="G51" i="80" s="1"/>
  <c r="E21" i="80"/>
  <c r="E20" i="80" s="1"/>
  <c r="C20"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D42" i="43" l="1"/>
  <c r="I64" i="80"/>
  <c r="K64" i="80"/>
  <c r="G67" i="80"/>
  <c r="U7" i="1" s="1"/>
  <c r="J61" i="80"/>
  <c r="D40" i="43"/>
  <c r="F67" i="80"/>
  <c r="E53" i="80"/>
  <c r="G53" i="80" s="1"/>
  <c r="E54" i="80"/>
  <c r="G54" i="80" s="1"/>
  <c r="C23" i="80"/>
  <c r="E23" i="80" s="1"/>
  <c r="C26" i="80"/>
  <c r="C24" i="80"/>
  <c r="E24" i="80" s="1"/>
  <c r="D20" i="80"/>
  <c r="AD33" i="79"/>
  <c r="AR34" i="79"/>
  <c r="AR35" i="79" s="1"/>
  <c r="AR36" i="79" s="1"/>
  <c r="AR8" i="79"/>
  <c r="AD35" i="79"/>
  <c r="C60" i="78"/>
  <c r="D60" i="78" s="1"/>
  <c r="D53" i="78"/>
  <c r="D52" i="78"/>
  <c r="D51" i="78" s="1"/>
  <c r="B51" i="78"/>
  <c r="B56" i="78" s="1"/>
  <c r="E56" i="80" l="1"/>
  <c r="G56" i="80" s="1"/>
  <c r="E55" i="80"/>
  <c r="G55" i="80" s="1"/>
  <c r="E26" i="80"/>
  <c r="D26" i="80" s="1"/>
  <c r="B55" i="78"/>
  <c r="D55" i="78" s="1"/>
  <c r="C51" i="78"/>
  <c r="C56" i="78" s="1"/>
  <c r="C58" i="78" s="1"/>
  <c r="B62" i="78"/>
  <c r="B54" i="78"/>
  <c r="D54" i="78" s="1"/>
  <c r="D56" i="78" l="1"/>
  <c r="G57" i="80"/>
  <c r="G58" i="80" s="1"/>
  <c r="G26" i="80"/>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D93" i="43"/>
  <c r="W22" i="79"/>
  <c r="AK22" i="79" s="1"/>
  <c r="AH22" i="79"/>
  <c r="Z3" i="79"/>
  <c r="S35" i="79"/>
  <c r="AG35" i="79" s="1"/>
  <c r="S33" i="79"/>
  <c r="AG33" i="79" s="1"/>
  <c r="S34" i="79"/>
  <c r="AG34" i="79" s="1"/>
  <c r="AA31" i="79"/>
  <c r="AD31" i="79" s="1"/>
  <c r="T40" i="79"/>
  <c r="U46" i="79"/>
  <c r="AI46" i="79" s="1"/>
  <c r="AD47" i="79"/>
  <c r="S48" i="79"/>
  <c r="AG48" i="79" s="1"/>
  <c r="U50" i="79"/>
  <c r="AI50" i="79" s="1"/>
  <c r="AD51" i="79"/>
  <c r="AR19" i="79"/>
  <c r="AR20" i="79" s="1"/>
  <c r="AR21" i="79" s="1"/>
  <c r="AR22" i="79" s="1"/>
  <c r="AR23" i="79" s="1"/>
  <c r="AR24" i="79" s="1"/>
  <c r="AR40" i="79"/>
  <c r="AR41" i="79" s="1"/>
  <c r="AR42" i="79" s="1"/>
  <c r="AR43" i="79" s="1"/>
  <c r="AR44" i="79" s="1"/>
  <c r="AR45" i="79" s="1"/>
  <c r="AR46" i="79" s="1"/>
  <c r="AR47" i="79" s="1"/>
  <c r="AR48" i="79" s="1"/>
  <c r="AR49" i="79" s="1"/>
  <c r="AR50" i="79" s="1"/>
  <c r="AR51" i="79" s="1"/>
  <c r="AR52" i="79" s="1"/>
  <c r="AD38" i="79"/>
  <c r="AD37" i="79"/>
  <c r="AD36" i="79"/>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9" i="79"/>
  <c r="AK39" i="79" s="1"/>
  <c r="W14" i="79"/>
  <c r="AK14" i="79" s="1"/>
  <c r="AH14" i="79"/>
  <c r="W19" i="79"/>
  <c r="AK19" i="79" s="1"/>
  <c r="AH19"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AH33" i="79"/>
  <c r="W33" i="79"/>
  <c r="AK33" i="79" s="1"/>
  <c r="W16" i="79"/>
  <c r="AK16" i="79" s="1"/>
  <c r="AH16" i="79"/>
  <c r="W35" i="79"/>
  <c r="AK35" i="79" s="1"/>
  <c r="AH35" i="79"/>
  <c r="W40" i="79"/>
  <c r="AK40" i="79" s="1"/>
  <c r="AH40" i="79"/>
  <c r="W23" i="79"/>
  <c r="AK23" i="79" s="1"/>
  <c r="AH23" i="79"/>
  <c r="W12" i="79"/>
  <c r="AK12" i="79" s="1"/>
  <c r="AH12" i="79"/>
  <c r="W21" i="79"/>
  <c r="AK21" i="79" s="1"/>
  <c r="AH21" i="79"/>
  <c r="W47" i="79"/>
  <c r="AK47" i="79" s="1"/>
  <c r="AH47" i="79"/>
  <c r="W45" i="79"/>
  <c r="AK45" i="79" s="1"/>
  <c r="AH45"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D62" i="71" s="1"/>
  <c r="N61" i="71"/>
  <c r="B62" i="71" s="1"/>
  <c r="D61" i="71"/>
  <c r="Q60" i="71"/>
  <c r="P60" i="71"/>
  <c r="O60" i="71"/>
  <c r="N60" i="71"/>
  <c r="Q59" i="71"/>
  <c r="P59" i="71"/>
  <c r="O59" i="71"/>
  <c r="N59" i="71"/>
  <c r="Q58" i="71"/>
  <c r="P58" i="71"/>
  <c r="O58" i="71"/>
  <c r="N58" i="71"/>
  <c r="Q57" i="71"/>
  <c r="F58" i="71" s="1"/>
  <c r="F59" i="71" s="1"/>
  <c r="F60" i="7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Q38" i="71"/>
  <c r="P38" i="71"/>
  <c r="O38" i="71"/>
  <c r="N38" i="71"/>
  <c r="Q37" i="7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N68" i="71"/>
  <c r="C30" i="71"/>
  <c r="C35" i="71"/>
  <c r="B28" i="71"/>
  <c r="B27" i="71" s="1"/>
  <c r="B26" i="71"/>
  <c r="D30" i="71"/>
  <c r="P28" i="71"/>
  <c r="E28" i="71" s="1"/>
  <c r="E64" i="71"/>
  <c r="U64" i="71" s="1"/>
  <c r="Q28" i="71"/>
  <c r="C59" i="71"/>
  <c r="B66" i="71"/>
  <c r="N65" i="71" s="1"/>
  <c r="D68" i="71"/>
  <c r="Q68" i="71"/>
  <c r="E71" i="71"/>
  <c r="E70" i="71" s="1"/>
  <c r="D72" i="71"/>
  <c r="E75" i="71"/>
  <c r="E74" i="71" s="1"/>
  <c r="D80"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3"/>
  <c r="AC18" i="35"/>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W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F40" i="33"/>
  <c r="J41" i="33"/>
  <c r="D113" i="33"/>
  <c r="E113" i="33" s="1"/>
  <c r="F37" i="33"/>
  <c r="D111" i="33"/>
  <c r="E111" i="33" s="1"/>
  <c r="F111" i="33" s="1"/>
  <c r="S515" i="31"/>
  <c r="S517" i="31"/>
  <c r="S518" i="31"/>
  <c r="S519" i="31"/>
  <c r="S521" i="31"/>
  <c r="S522"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F14" i="39" s="1"/>
  <c r="S14" i="39" s="1"/>
  <c r="B83" i="39"/>
  <c r="B81" i="39"/>
  <c r="J12" i="39" s="1"/>
  <c r="AC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H8" i="39"/>
  <c r="U8" i="39" s="1"/>
  <c r="F8" i="39"/>
  <c r="AA8" i="39" s="1"/>
  <c r="C20" i="36"/>
  <c r="C20" i="35"/>
  <c r="C16" i="36"/>
  <c r="C16" i="35"/>
  <c r="C14" i="36"/>
  <c r="C14" i="35"/>
  <c r="B80" i="37"/>
  <c r="B110" i="37"/>
  <c r="F39" i="37" s="1"/>
  <c r="S39" i="37" s="1"/>
  <c r="B108" i="37"/>
  <c r="C23" i="37"/>
  <c r="C19" i="37"/>
  <c r="C17" i="37"/>
  <c r="C15" i="37"/>
  <c r="B112" i="37"/>
  <c r="D107" i="37"/>
  <c r="E107" i="37"/>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F79" i="37" s="1"/>
  <c r="G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F30" i="37"/>
  <c r="Q29" i="37"/>
  <c r="Z29" i="37" s="1"/>
  <c r="H29" i="37"/>
  <c r="AB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F34" i="36" s="1"/>
  <c r="S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J23" i="35" s="1"/>
  <c r="AC23" i="35" s="1"/>
  <c r="H23" i="35"/>
  <c r="U23" i="35" s="1"/>
  <c r="B57" i="35"/>
  <c r="J11" i="35" s="1"/>
  <c r="B61" i="35"/>
  <c r="H13" i="35" s="1"/>
  <c r="U13" i="35" s="1"/>
  <c r="B59" i="35"/>
  <c r="F12" i="35" s="1"/>
  <c r="B131" i="34"/>
  <c r="H47" i="34" s="1"/>
  <c r="B129" i="34"/>
  <c r="B127" i="34"/>
  <c r="H45" i="34" s="1"/>
  <c r="U45" i="34" s="1"/>
  <c r="B99" i="34"/>
  <c r="B97" i="34"/>
  <c r="B95" i="34"/>
  <c r="B93" i="34"/>
  <c r="F29" i="34" s="1"/>
  <c r="B75" i="34"/>
  <c r="B73" i="34"/>
  <c r="J13" i="34" s="1"/>
  <c r="B71" i="34"/>
  <c r="B130" i="33"/>
  <c r="F46" i="33" s="1"/>
  <c r="AA46" i="33" s="1"/>
  <c r="B128" i="33"/>
  <c r="B126" i="33"/>
  <c r="J44" i="33" s="1"/>
  <c r="AC44" i="33" s="1"/>
  <c r="B98" i="33"/>
  <c r="B96" i="33"/>
  <c r="F30" i="33" s="1"/>
  <c r="B94" i="33"/>
  <c r="B74" i="33"/>
  <c r="B72" i="33"/>
  <c r="H13" i="33" s="1"/>
  <c r="U13" i="33" s="1"/>
  <c r="B70"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H28" i="35"/>
  <c r="AB28" i="35" s="1"/>
  <c r="F28" i="35"/>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1" i="33"/>
  <c r="W41" i="33"/>
  <c r="Q41" i="33"/>
  <c r="Z41" i="33" s="1"/>
  <c r="Q40" i="33"/>
  <c r="Z40" i="33" s="1"/>
  <c r="J40" i="33"/>
  <c r="AC40" i="33" s="1"/>
  <c r="H40" i="33"/>
  <c r="Q39" i="33"/>
  <c r="Z39" i="33" s="1"/>
  <c r="J39" i="33"/>
  <c r="Q38" i="33"/>
  <c r="Z38" i="33" s="1"/>
  <c r="J38" i="33"/>
  <c r="H38" i="33"/>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101" i="43" s="1"/>
  <c r="B79" i="43"/>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F45" i="21" s="1"/>
  <c r="J45" i="21"/>
  <c r="W45" i="21" s="1"/>
  <c r="B126" i="21"/>
  <c r="B98" i="21"/>
  <c r="B96" i="21"/>
  <c r="B94" i="21"/>
  <c r="J29" i="21" s="1"/>
  <c r="AC29" i="21" s="1"/>
  <c r="B92" i="21"/>
  <c r="H28" i="21" s="1"/>
  <c r="AB28" i="21" s="1"/>
  <c r="B90" i="21"/>
  <c r="B74" i="21"/>
  <c r="B72" i="21"/>
  <c r="H13" i="21"/>
  <c r="AB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H38" i="21"/>
  <c r="H43" i="21"/>
  <c r="AB43" i="21" s="1"/>
  <c r="F38" i="21"/>
  <c r="F36" i="21"/>
  <c r="S36" i="21" s="1"/>
  <c r="F39" i="21"/>
  <c r="AA39" i="2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AB41" i="21"/>
  <c r="AA41" i="21"/>
  <c r="H36" i="39"/>
  <c r="AB36" i="39" s="1"/>
  <c r="J35" i="39"/>
  <c r="AC35" i="39" s="1"/>
  <c r="F35" i="39"/>
  <c r="AA35" i="39" s="1"/>
  <c r="J36" i="39"/>
  <c r="AC36" i="39" s="1"/>
  <c r="W40" i="39"/>
  <c r="F29" i="36"/>
  <c r="AA29" i="36" s="1"/>
  <c r="F16" i="36"/>
  <c r="AA16" i="36" s="1"/>
  <c r="J33" i="36"/>
  <c r="AC33" i="36" s="1"/>
  <c r="H22" i="35"/>
  <c r="AC27" i="35"/>
  <c r="W22" i="35"/>
  <c r="S31" i="35"/>
  <c r="U34" i="35"/>
  <c r="F36" i="34"/>
  <c r="J35" i="34"/>
  <c r="AC35" i="34" s="1"/>
  <c r="H39" i="33"/>
  <c r="AB39" i="33" s="1"/>
  <c r="U33" i="33"/>
  <c r="F11" i="40"/>
  <c r="AA11" i="40" s="1"/>
  <c r="H11" i="40"/>
  <c r="AB11" i="40" s="1"/>
  <c r="W8" i="40"/>
  <c r="S34" i="40"/>
  <c r="U34" i="40"/>
  <c r="F42" i="39"/>
  <c r="F41" i="39"/>
  <c r="H40" i="39"/>
  <c r="AB40" i="39" s="1"/>
  <c r="H39" i="39"/>
  <c r="S38" i="39"/>
  <c r="S34" i="39"/>
  <c r="H34" i="39"/>
  <c r="U34"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W17" i="39" s="1"/>
  <c r="J27" i="39"/>
  <c r="AC27" i="39" s="1"/>
  <c r="F27" i="39"/>
  <c r="AA27" i="39" s="1"/>
  <c r="F11" i="21"/>
  <c r="S11" i="21" s="1"/>
  <c r="S40" i="21"/>
  <c r="C25" i="39"/>
  <c r="H11" i="39"/>
  <c r="AB11" i="39" s="1"/>
  <c r="C15" i="39"/>
  <c r="H32" i="33"/>
  <c r="AB32" i="33"/>
  <c r="H11" i="21"/>
  <c r="U11" i="21" s="1"/>
  <c r="J11" i="21"/>
  <c r="W11" i="21" s="1"/>
  <c r="H37" i="40"/>
  <c r="U37" i="40"/>
  <c r="H36" i="40"/>
  <c r="F35" i="40"/>
  <c r="AA35" i="40" s="1"/>
  <c r="H23" i="40"/>
  <c r="AB23" i="40" s="1"/>
  <c r="H17" i="40"/>
  <c r="U17" i="40"/>
  <c r="J15" i="40"/>
  <c r="W15" i="40" s="1"/>
  <c r="J11" i="40"/>
  <c r="AB8" i="39"/>
  <c r="AB12" i="35"/>
  <c r="F37" i="39"/>
  <c r="AA37" i="39" s="1"/>
  <c r="J30" i="35"/>
  <c r="W30" i="35" s="1"/>
  <c r="H30" i="35"/>
  <c r="AB30" i="35" s="1"/>
  <c r="F22" i="35"/>
  <c r="AA22" i="35"/>
  <c r="H10" i="35"/>
  <c r="U10" i="35" s="1"/>
  <c r="F33" i="36"/>
  <c r="AA33" i="36" s="1"/>
  <c r="H16" i="36"/>
  <c r="AB16" i="36"/>
  <c r="J29" i="36"/>
  <c r="AC29" i="36" s="1"/>
  <c r="F12" i="36"/>
  <c r="F24" i="36"/>
  <c r="AA24" i="36" s="1"/>
  <c r="F14" i="35"/>
  <c r="AA14" i="35"/>
  <c r="F23" i="35"/>
  <c r="AA23" i="35" s="1"/>
  <c r="J32" i="35"/>
  <c r="AC32" i="35" s="1"/>
  <c r="J16" i="35"/>
  <c r="AC16" i="35"/>
  <c r="H16" i="35"/>
  <c r="F16" i="35"/>
  <c r="S16" i="35"/>
  <c r="H14" i="35"/>
  <c r="J29" i="35"/>
  <c r="H33" i="35"/>
  <c r="J20" i="35"/>
  <c r="W20" i="35" s="1"/>
  <c r="F35" i="37"/>
  <c r="S35" i="37" s="1"/>
  <c r="E101" i="37"/>
  <c r="F101" i="37" s="1"/>
  <c r="G101" i="37" s="1"/>
  <c r="H101" i="37" s="1"/>
  <c r="I101" i="37" s="1"/>
  <c r="J101" i="37" s="1"/>
  <c r="K101" i="37" s="1"/>
  <c r="L101" i="37" s="1"/>
  <c r="M101" i="37" s="1"/>
  <c r="J34" i="37"/>
  <c r="J33" i="37"/>
  <c r="AC33" i="37" s="1"/>
  <c r="U42" i="34"/>
  <c r="H40" i="34"/>
  <c r="U40" i="34" s="1"/>
  <c r="E114" i="34"/>
  <c r="F114" i="34" s="1"/>
  <c r="G114" i="34" s="1"/>
  <c r="H114" i="34" s="1"/>
  <c r="I114" i="34" s="1"/>
  <c r="J114" i="34" s="1"/>
  <c r="K114" i="34" s="1"/>
  <c r="L114" i="34" s="1"/>
  <c r="M114" i="34" s="1"/>
  <c r="H36" i="34"/>
  <c r="U36" i="34" s="1"/>
  <c r="F19" i="34"/>
  <c r="S19" i="34" s="1"/>
  <c r="H17" i="34"/>
  <c r="F15" i="34"/>
  <c r="AA15" i="34" s="1"/>
  <c r="F41" i="33"/>
  <c r="AA41" i="33"/>
  <c r="F32" i="33"/>
  <c r="AA32" i="33" s="1"/>
  <c r="J19" i="33"/>
  <c r="AC19" i="33"/>
  <c r="J15" i="33"/>
  <c r="AC15" i="33" s="1"/>
  <c r="F11" i="33"/>
  <c r="AA11" i="33" s="1"/>
  <c r="W40" i="33"/>
  <c r="F37" i="40"/>
  <c r="AA37" i="40"/>
  <c r="F36" i="40"/>
  <c r="AA36" i="40"/>
  <c r="H28" i="40"/>
  <c r="U28" i="40"/>
  <c r="F23" i="40"/>
  <c r="AA23" i="40"/>
  <c r="F17" i="40"/>
  <c r="AA17" i="40" s="1"/>
  <c r="J17" i="40"/>
  <c r="W17" i="40" s="1"/>
  <c r="F15" i="40"/>
  <c r="S15" i="40" s="1"/>
  <c r="H15" i="40"/>
  <c r="AB15" i="40" s="1"/>
  <c r="S12" i="36"/>
  <c r="AA12" i="36"/>
  <c r="F29" i="35"/>
  <c r="S29" i="35" s="1"/>
  <c r="H29" i="35"/>
  <c r="AB29" i="35" s="1"/>
  <c r="H33" i="37"/>
  <c r="F33" i="37"/>
  <c r="AA33" i="37" s="1"/>
  <c r="AB42" i="34"/>
  <c r="J40" i="34"/>
  <c r="H38" i="34"/>
  <c r="AB38" i="34" s="1"/>
  <c r="J36" i="34"/>
  <c r="W36" i="34" s="1"/>
  <c r="J19" i="34"/>
  <c r="AC19" i="34" s="1"/>
  <c r="S41" i="33"/>
  <c r="F113" i="33"/>
  <c r="G113" i="33" s="1"/>
  <c r="H113" i="33" s="1"/>
  <c r="I113" i="33" s="1"/>
  <c r="J113" i="33" s="1"/>
  <c r="K113" i="33" s="1"/>
  <c r="L113" i="33" s="1"/>
  <c r="M113" i="33" s="1"/>
  <c r="H37" i="33"/>
  <c r="H15" i="33"/>
  <c r="H11" i="33"/>
  <c r="AB11" i="33" s="1"/>
  <c r="F28" i="40"/>
  <c r="AA28" i="40" s="1"/>
  <c r="AA29" i="35"/>
  <c r="AA42" i="34"/>
  <c r="S42" i="34"/>
  <c r="AA38" i="34"/>
  <c r="J11" i="33"/>
  <c r="W11" i="33" s="1"/>
  <c r="I123" i="21"/>
  <c r="J123" i="21" s="1"/>
  <c r="K123" i="21" s="1"/>
  <c r="L123" i="21" s="1"/>
  <c r="M123" i="21" s="1"/>
  <c r="J42" i="21"/>
  <c r="H42" i="21"/>
  <c r="J44" i="34"/>
  <c r="AC44" i="34" s="1"/>
  <c r="F44" i="34"/>
  <c r="AA44" i="34" s="1"/>
  <c r="J10" i="35"/>
  <c r="AC10" i="35" s="1"/>
  <c r="F28" i="21"/>
  <c r="J44" i="21"/>
  <c r="H44" i="21"/>
  <c r="U44" i="21"/>
  <c r="F44" i="21"/>
  <c r="AA44" i="21" s="1"/>
  <c r="H46" i="21"/>
  <c r="H26" i="33"/>
  <c r="H28" i="33"/>
  <c r="U28"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H29" i="21"/>
  <c r="F31" i="21"/>
  <c r="S31" i="21" s="1"/>
  <c r="F27" i="33"/>
  <c r="J13" i="33"/>
  <c r="F13" i="33"/>
  <c r="S13" i="33" s="1"/>
  <c r="J29" i="33"/>
  <c r="H29" i="33"/>
  <c r="U29" i="33" s="1"/>
  <c r="F29" i="33"/>
  <c r="S29" i="33" s="1"/>
  <c r="H31" i="33"/>
  <c r="H45" i="33"/>
  <c r="U45" i="33" s="1"/>
  <c r="J45" i="33"/>
  <c r="W45" i="33" s="1"/>
  <c r="F45" i="33"/>
  <c r="J14" i="34"/>
  <c r="W14" i="34" s="1"/>
  <c r="F14" i="34"/>
  <c r="S14" i="34"/>
  <c r="H14" i="34"/>
  <c r="AB14" i="34" s="1"/>
  <c r="H30" i="34"/>
  <c r="H32" i="34"/>
  <c r="AB32" i="34" s="1"/>
  <c r="F32" i="34"/>
  <c r="J32" i="34"/>
  <c r="W32" i="34" s="1"/>
  <c r="F46" i="34"/>
  <c r="AA46" i="34" s="1"/>
  <c r="H11" i="35"/>
  <c r="AB11" i="35" s="1"/>
  <c r="F11" i="35"/>
  <c r="S11" i="35" s="1"/>
  <c r="J26" i="36"/>
  <c r="W26" i="36"/>
  <c r="H28" i="36"/>
  <c r="U28" i="36" s="1"/>
  <c r="H32" i="36"/>
  <c r="J32" i="36"/>
  <c r="W32"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14" i="33"/>
  <c r="U14" i="33" s="1"/>
  <c r="F14" i="33"/>
  <c r="S14" i="33" s="1"/>
  <c r="J14" i="33"/>
  <c r="AC14" i="33" s="1"/>
  <c r="H30" i="33"/>
  <c r="AB30" i="33"/>
  <c r="J30" i="33"/>
  <c r="H44" i="33"/>
  <c r="U44" i="33" s="1"/>
  <c r="F44" i="33"/>
  <c r="S44" i="33" s="1"/>
  <c r="J46" i="33"/>
  <c r="AC46" i="33" s="1"/>
  <c r="H46" i="33"/>
  <c r="AB46" i="33" s="1"/>
  <c r="H13" i="34"/>
  <c r="U13" i="34" s="1"/>
  <c r="W13" i="34"/>
  <c r="F13" i="34"/>
  <c r="AA13" i="34" s="1"/>
  <c r="J29" i="34"/>
  <c r="W29" i="34" s="1"/>
  <c r="S29" i="34"/>
  <c r="H29" i="34"/>
  <c r="J31" i="34"/>
  <c r="H31" i="34"/>
  <c r="F31" i="34"/>
  <c r="S31" i="34" s="1"/>
  <c r="J45" i="34"/>
  <c r="AC45" i="34" s="1"/>
  <c r="W45" i="34"/>
  <c r="F45" i="34"/>
  <c r="S45" i="34" s="1"/>
  <c r="U47" i="34"/>
  <c r="F47" i="34"/>
  <c r="S47" i="34" s="1"/>
  <c r="J47" i="34"/>
  <c r="F13" i="35"/>
  <c r="J13" i="35"/>
  <c r="J25" i="35"/>
  <c r="F25" i="35"/>
  <c r="S25" i="35" s="1"/>
  <c r="AB25" i="35"/>
  <c r="J35" i="35"/>
  <c r="AC35" i="35" s="1"/>
  <c r="F35" i="35"/>
  <c r="AA35" i="35" s="1"/>
  <c r="H35" i="35"/>
  <c r="J25" i="36"/>
  <c r="W25" i="36"/>
  <c r="F25" i="36"/>
  <c r="S25" i="36" s="1"/>
  <c r="H25" i="36"/>
  <c r="AB25" i="36" s="1"/>
  <c r="H13" i="37"/>
  <c r="AB13" i="37" s="1"/>
  <c r="F13" i="37"/>
  <c r="S13" i="37" s="1"/>
  <c r="J13" i="37"/>
  <c r="H38" i="37"/>
  <c r="AB38" i="37" s="1"/>
  <c r="J38" i="37"/>
  <c r="AC38" i="37" s="1"/>
  <c r="F38" i="37"/>
  <c r="S38" i="37" s="1"/>
  <c r="F43" i="39"/>
  <c r="AA43" i="39" s="1"/>
  <c r="H43" i="39"/>
  <c r="U43" i="39" s="1"/>
  <c r="F12" i="40"/>
  <c r="S12" i="40" s="1"/>
  <c r="H12" i="40"/>
  <c r="H30" i="40"/>
  <c r="AB30" i="40" s="1"/>
  <c r="F33" i="40"/>
  <c r="AA33" i="40" s="1"/>
  <c r="H33" i="40"/>
  <c r="J35" i="40"/>
  <c r="AC35" i="40" s="1"/>
  <c r="J37" i="40"/>
  <c r="F14" i="37"/>
  <c r="S14" i="37" s="1"/>
  <c r="F27" i="37"/>
  <c r="AA27" i="37" s="1"/>
  <c r="H14" i="40"/>
  <c r="J14" i="40"/>
  <c r="W14" i="40" s="1"/>
  <c r="F14" i="40"/>
  <c r="AA14" i="40"/>
  <c r="J14" i="37"/>
  <c r="J27" i="37"/>
  <c r="AC27" i="37" s="1"/>
  <c r="AA44" i="33"/>
  <c r="J36" i="37"/>
  <c r="J10" i="36"/>
  <c r="AC10" i="36" s="1"/>
  <c r="AA14" i="37"/>
  <c r="AA14" i="34"/>
  <c r="AB45" i="33"/>
  <c r="F17" i="21"/>
  <c r="AA17" i="21" s="1"/>
  <c r="H17" i="21"/>
  <c r="AB17" i="21" s="1"/>
  <c r="F15" i="21"/>
  <c r="J41" i="39"/>
  <c r="W41" i="39" s="1"/>
  <c r="U36" i="39"/>
  <c r="S35" i="39"/>
  <c r="G544" i="3"/>
  <c r="G540" i="3"/>
  <c r="G536" i="3"/>
  <c r="G532" i="3"/>
  <c r="G527" i="3"/>
  <c r="G518" i="3"/>
  <c r="G510" i="3"/>
  <c r="G504" i="3"/>
  <c r="G496" i="3"/>
  <c r="G554" i="3"/>
  <c r="BL572" i="3"/>
  <c r="BL560" i="3"/>
  <c r="BL542" i="3"/>
  <c r="BL534" i="3"/>
  <c r="BL522" i="3"/>
  <c r="BL506" i="3"/>
  <c r="BL498" i="3"/>
  <c r="BL556" i="3"/>
  <c r="BL540" i="3"/>
  <c r="G533" i="3"/>
  <c r="G529" i="3"/>
  <c r="G525" i="3"/>
  <c r="BL518" i="3"/>
  <c r="BL504" i="3"/>
  <c r="BL496" i="3"/>
  <c r="BA564" i="3"/>
  <c r="AZ564" i="3" s="1"/>
  <c r="BA558" i="3"/>
  <c r="BA548" i="3"/>
  <c r="BA542" i="3"/>
  <c r="BA536" i="3"/>
  <c r="BA532" i="3"/>
  <c r="BA528" i="3"/>
  <c r="BA522" i="3"/>
  <c r="BA518" i="3"/>
  <c r="BA512" i="3"/>
  <c r="BA508" i="3"/>
  <c r="BA504" i="3"/>
  <c r="BA500" i="3"/>
  <c r="BA496" i="3"/>
  <c r="BA577" i="3"/>
  <c r="BA563" i="3"/>
  <c r="BA559" i="3"/>
  <c r="BA553" i="3"/>
  <c r="BA547" i="3"/>
  <c r="BA543" i="3"/>
  <c r="BA539" i="3"/>
  <c r="BA535" i="3"/>
  <c r="BA531" i="3"/>
  <c r="BA527" i="3"/>
  <c r="AZ527" i="3" s="1"/>
  <c r="BA523" i="3"/>
  <c r="BA517" i="3"/>
  <c r="BA513" i="3"/>
  <c r="BA507" i="3"/>
  <c r="BA503" i="3"/>
  <c r="BA499" i="3"/>
  <c r="BA495" i="3"/>
  <c r="G583" i="3"/>
  <c r="G567" i="3"/>
  <c r="G565" i="3"/>
  <c r="G563" i="3"/>
  <c r="BL558" i="3"/>
  <c r="AZ558" i="3" s="1"/>
  <c r="AC557" i="3"/>
  <c r="G557" i="3" s="1"/>
  <c r="BQ557" i="3"/>
  <c r="BQ583" i="3"/>
  <c r="BL583" i="3" s="1"/>
  <c r="BQ581" i="3"/>
  <c r="BQ579" i="3"/>
  <c r="BQ577" i="3"/>
  <c r="BQ575" i="3"/>
  <c r="BQ573" i="3"/>
  <c r="BQ571" i="3"/>
  <c r="BQ569" i="3"/>
  <c r="BQ567" i="3"/>
  <c r="BQ565" i="3"/>
  <c r="BL565" i="3" s="1"/>
  <c r="BQ563" i="3"/>
  <c r="BQ561" i="3"/>
  <c r="BL561" i="3" s="1"/>
  <c r="BQ559" i="3"/>
  <c r="G559" i="3"/>
  <c r="G553" i="3"/>
  <c r="G549" i="3"/>
  <c r="G547" i="3"/>
  <c r="G543" i="3"/>
  <c r="G541" i="3"/>
  <c r="G539" i="3"/>
  <c r="BQ555" i="3"/>
  <c r="BL555" i="3" s="1"/>
  <c r="BQ553" i="3"/>
  <c r="BQ551" i="3"/>
  <c r="BL551" i="3" s="1"/>
  <c r="BQ549" i="3"/>
  <c r="BQ547" i="3"/>
  <c r="BL547" i="3" s="1"/>
  <c r="BQ545" i="3"/>
  <c r="BQ543" i="3"/>
  <c r="BL543" i="3" s="1"/>
  <c r="AZ543" i="3" s="1"/>
  <c r="BQ541" i="3"/>
  <c r="BQ539" i="3"/>
  <c r="BL539" i="3" s="1"/>
  <c r="BQ537" i="3"/>
  <c r="BL537" i="3"/>
  <c r="BQ535" i="3"/>
  <c r="BQ533" i="3"/>
  <c r="BL533" i="3" s="1"/>
  <c r="BQ531" i="3"/>
  <c r="BQ529" i="3"/>
  <c r="BQ527" i="3"/>
  <c r="BL527" i="3" s="1"/>
  <c r="BQ525" i="3"/>
  <c r="BQ523" i="3"/>
  <c r="BL523" i="3" s="1"/>
  <c r="AC521" i="3"/>
  <c r="BQ521" i="3"/>
  <c r="BL520" i="3"/>
  <c r="G519" i="3"/>
  <c r="G517" i="3"/>
  <c r="G515" i="3"/>
  <c r="G511" i="3"/>
  <c r="BQ519" i="3"/>
  <c r="BQ517" i="3"/>
  <c r="BQ515" i="3"/>
  <c r="BL515" i="3" s="1"/>
  <c r="BQ513" i="3"/>
  <c r="BQ511" i="3"/>
  <c r="BL511" i="3" s="1"/>
  <c r="AC509" i="3"/>
  <c r="AC5" i="3" s="1"/>
  <c r="BQ509" i="3"/>
  <c r="BL509" i="3"/>
  <c r="G505" i="3"/>
  <c r="G501" i="3"/>
  <c r="G499" i="3"/>
  <c r="G497" i="3"/>
  <c r="BQ507" i="3"/>
  <c r="BQ505" i="3"/>
  <c r="BL505" i="3"/>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AB27" i="37"/>
  <c r="U32" i="33"/>
  <c r="AA36" i="39"/>
  <c r="F39" i="33"/>
  <c r="S39" i="33" s="1"/>
  <c r="AA39" i="33"/>
  <c r="F42" i="33"/>
  <c r="H28" i="34"/>
  <c r="F14" i="36"/>
  <c r="F22" i="36"/>
  <c r="F26" i="36"/>
  <c r="H27" i="34"/>
  <c r="AB27" i="34" s="1"/>
  <c r="H35" i="34"/>
  <c r="F10" i="35"/>
  <c r="S10" i="35" s="1"/>
  <c r="H24" i="35"/>
  <c r="AB24" i="35"/>
  <c r="H23" i="37"/>
  <c r="AB23" i="37"/>
  <c r="J32" i="37"/>
  <c r="AC32" i="37"/>
  <c r="F36" i="37"/>
  <c r="AA36" i="37"/>
  <c r="F37" i="37"/>
  <c r="AA37" i="37"/>
  <c r="F31" i="40"/>
  <c r="AA31" i="40"/>
  <c r="H31" i="40"/>
  <c r="U31" i="40"/>
  <c r="J36" i="40"/>
  <c r="W36" i="40"/>
  <c r="H19" i="37"/>
  <c r="AB19" i="37" s="1"/>
  <c r="H42" i="33"/>
  <c r="AB42" i="33" s="1"/>
  <c r="J43" i="33"/>
  <c r="S28" i="31"/>
  <c r="S27" i="31"/>
  <c r="S26" i="31"/>
  <c r="W23" i="35"/>
  <c r="U26" i="37"/>
  <c r="AA13" i="33"/>
  <c r="W44" i="33"/>
  <c r="U11" i="33"/>
  <c r="U19" i="21"/>
  <c r="F43" i="33"/>
  <c r="AA43" i="33"/>
  <c r="W16" i="35"/>
  <c r="H107" i="37"/>
  <c r="I107" i="37" s="1"/>
  <c r="J107" i="37" s="1"/>
  <c r="K107" i="37" s="1"/>
  <c r="L107" i="37" s="1"/>
  <c r="M107" i="37" s="1"/>
  <c r="H37" i="21"/>
  <c r="U37" i="21" s="1"/>
  <c r="H19" i="34"/>
  <c r="AB19" i="34" s="1"/>
  <c r="J9" i="37"/>
  <c r="W9" i="37" s="1"/>
  <c r="H9" i="37"/>
  <c r="U9" i="37" s="1"/>
  <c r="F9" i="37"/>
  <c r="S9" i="37" s="1"/>
  <c r="J12" i="37"/>
  <c r="F12" i="37"/>
  <c r="S12" i="37" s="1"/>
  <c r="E71" i="37"/>
  <c r="F71" i="37" s="1"/>
  <c r="G71" i="37" s="1"/>
  <c r="F15" i="37"/>
  <c r="E94" i="37"/>
  <c r="F94" i="37" s="1"/>
  <c r="G94" i="37" s="1"/>
  <c r="H94" i="37" s="1"/>
  <c r="I94" i="37" s="1"/>
  <c r="J94" i="37" s="1"/>
  <c r="K94" i="37" s="1"/>
  <c r="L94" i="37" s="1"/>
  <c r="M94" i="37" s="1"/>
  <c r="F31" i="37"/>
  <c r="F12" i="39"/>
  <c r="S12" i="39" s="1"/>
  <c r="J42" i="39"/>
  <c r="AC42" i="39" s="1"/>
  <c r="H21" i="40"/>
  <c r="H31" i="37"/>
  <c r="J15" i="37"/>
  <c r="AT6" i="3"/>
  <c r="H19" i="40"/>
  <c r="U19" i="40" s="1"/>
  <c r="F19" i="40"/>
  <c r="S14" i="40"/>
  <c r="AC43" i="39"/>
  <c r="W43" i="39"/>
  <c r="AB44" i="39"/>
  <c r="U44" i="39"/>
  <c r="H37" i="39"/>
  <c r="U37" i="39" s="1"/>
  <c r="AB37" i="39"/>
  <c r="AC37" i="39"/>
  <c r="W37" i="39"/>
  <c r="H25" i="39"/>
  <c r="AB25" i="39"/>
  <c r="J25" i="39"/>
  <c r="W25" i="39" s="1"/>
  <c r="F25" i="39"/>
  <c r="AA25" i="39" s="1"/>
  <c r="F15" i="39"/>
  <c r="H15" i="39"/>
  <c r="U15" i="39" s="1"/>
  <c r="J15" i="39"/>
  <c r="W15" i="39" s="1"/>
  <c r="H41" i="39"/>
  <c r="AB41" i="39" s="1"/>
  <c r="W27" i="39"/>
  <c r="AB34" i="39"/>
  <c r="U40" i="39"/>
  <c r="W9" i="39"/>
  <c r="J19" i="40"/>
  <c r="AC19" i="40" s="1"/>
  <c r="J50" i="40"/>
  <c r="H103" i="9"/>
  <c r="D8" i="53" s="1"/>
  <c r="B16" i="53"/>
  <c r="B33" i="72" s="1"/>
  <c r="C7" i="34"/>
  <c r="A118" i="9"/>
  <c r="A4" i="52"/>
  <c r="B41" i="72" s="1"/>
  <c r="J11" i="39"/>
  <c r="F11" i="39"/>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7" i="3"/>
  <c r="G530" i="3"/>
  <c r="G522" i="3"/>
  <c r="G516"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L303" i="3"/>
  <c r="AZ303" i="3" s="1"/>
  <c r="G304" i="3"/>
  <c r="BA306" i="3"/>
  <c r="BL307" i="3"/>
  <c r="AZ307" i="3" s="1"/>
  <c r="G308" i="3"/>
  <c r="BA310" i="3"/>
  <c r="BL311" i="3"/>
  <c r="G312" i="3"/>
  <c r="BA314" i="3"/>
  <c r="BL315" i="3"/>
  <c r="G316" i="3"/>
  <c r="BA318" i="3"/>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AZ370" i="3" s="1"/>
  <c r="G371" i="3"/>
  <c r="BA373" i="3"/>
  <c r="AZ373" i="3" s="1"/>
  <c r="BL374" i="3"/>
  <c r="G375" i="3"/>
  <c r="BA377" i="3"/>
  <c r="AZ377" i="3" s="1"/>
  <c r="BA379" i="3"/>
  <c r="AZ379" i="3" s="1"/>
  <c r="BL380" i="3"/>
  <c r="G381" i="3"/>
  <c r="BA383" i="3"/>
  <c r="AZ383" i="3" s="1"/>
  <c r="BL384" i="3"/>
  <c r="G385" i="3"/>
  <c r="BA387" i="3"/>
  <c r="BL388" i="3"/>
  <c r="G389" i="3"/>
  <c r="BA391" i="3"/>
  <c r="BL392" i="3"/>
  <c r="G393" i="3"/>
  <c r="AZ496" i="3"/>
  <c r="G548" i="3"/>
  <c r="G538" i="3"/>
  <c r="G502" i="3"/>
  <c r="BK5" i="3"/>
  <c r="G17" i="3"/>
  <c r="BA17" i="3"/>
  <c r="AZ380" i="3"/>
  <c r="BL493" i="3"/>
  <c r="F83" i="43"/>
  <c r="H85" i="43" s="1"/>
  <c r="F50" i="43"/>
  <c r="H54" i="43" s="1"/>
  <c r="F72" i="43"/>
  <c r="H75" i="43" s="1"/>
  <c r="U17" i="39"/>
  <c r="S14" i="35"/>
  <c r="U43" i="21"/>
  <c r="U35" i="21"/>
  <c r="AC35" i="21"/>
  <c r="U13" i="37"/>
  <c r="AA12" i="40"/>
  <c r="J37" i="33"/>
  <c r="W37" i="33"/>
  <c r="F106" i="33"/>
  <c r="G106" i="33" s="1"/>
  <c r="H106" i="33" s="1"/>
  <c r="I106" i="33" s="1"/>
  <c r="J106" i="33" s="1"/>
  <c r="K106" i="33" s="1"/>
  <c r="L106" i="33" s="1"/>
  <c r="M106" i="33" s="1"/>
  <c r="J34" i="33"/>
  <c r="W34" i="33" s="1"/>
  <c r="F33" i="34"/>
  <c r="S33" i="34" s="1"/>
  <c r="H20" i="36"/>
  <c r="J20" i="36"/>
  <c r="J27" i="36"/>
  <c r="W27" i="36" s="1"/>
  <c r="AC33" i="40"/>
  <c r="H35" i="40"/>
  <c r="AB35" i="40" s="1"/>
  <c r="AC29" i="35"/>
  <c r="W29" i="35"/>
  <c r="H35" i="37"/>
  <c r="U35" i="37" s="1"/>
  <c r="AC14" i="35"/>
  <c r="H20" i="35"/>
  <c r="F20" i="35"/>
  <c r="S20" i="35" s="1"/>
  <c r="AA20" i="35"/>
  <c r="AB23" i="35"/>
  <c r="AB29" i="36"/>
  <c r="U29" i="36"/>
  <c r="H32" i="37"/>
  <c r="F96" i="37"/>
  <c r="G96" i="37" s="1"/>
  <c r="H96" i="37" s="1"/>
  <c r="I96" i="37" s="1"/>
  <c r="J96" i="37" s="1"/>
  <c r="K96" i="37" s="1"/>
  <c r="L96" i="37" s="1"/>
  <c r="M96" i="37" s="1"/>
  <c r="H27" i="40"/>
  <c r="U27" i="40" s="1"/>
  <c r="J27" i="40"/>
  <c r="F27" i="40"/>
  <c r="S27" i="40" s="1"/>
  <c r="J30" i="40"/>
  <c r="AC30" i="40" s="1"/>
  <c r="F30" i="40"/>
  <c r="AC21" i="40"/>
  <c r="S11" i="40"/>
  <c r="F10" i="33"/>
  <c r="S10" i="33" s="1"/>
  <c r="F34" i="33"/>
  <c r="H34" i="33"/>
  <c r="U34" i="33" s="1"/>
  <c r="F35" i="33"/>
  <c r="S35" i="33" s="1"/>
  <c r="F39" i="34"/>
  <c r="AA39" i="34" s="1"/>
  <c r="J39" i="34"/>
  <c r="W39" i="34" s="1"/>
  <c r="F40" i="34"/>
  <c r="H44" i="34"/>
  <c r="U44" i="34" s="1"/>
  <c r="AC38" i="39"/>
  <c r="F39" i="39"/>
  <c r="J39" i="39"/>
  <c r="AC39" i="39" s="1"/>
  <c r="E96" i="39"/>
  <c r="F96" i="39" s="1"/>
  <c r="G96" i="39" s="1"/>
  <c r="AZ386" i="3"/>
  <c r="C40" i="11"/>
  <c r="AZ130" i="3"/>
  <c r="AZ94" i="3"/>
  <c r="F23" i="39"/>
  <c r="S23" i="39" s="1"/>
  <c r="AA23" i="39"/>
  <c r="H27" i="36"/>
  <c r="U27" i="36" s="1"/>
  <c r="F27" i="36"/>
  <c r="AA27" i="36" s="1"/>
  <c r="H33" i="34"/>
  <c r="AB33" i="34" s="1"/>
  <c r="U33" i="34"/>
  <c r="F32" i="37"/>
  <c r="AA32" i="37"/>
  <c r="F20" i="36"/>
  <c r="AA20" i="36" s="1"/>
  <c r="J33" i="34"/>
  <c r="H23" i="39"/>
  <c r="U23" i="39" s="1"/>
  <c r="K9" i="1"/>
  <c r="M9" i="1" s="1"/>
  <c r="K6" i="1"/>
  <c r="W27" i="34"/>
  <c r="AC27" i="34"/>
  <c r="AB33" i="36"/>
  <c r="U33" i="36"/>
  <c r="AA32" i="36"/>
  <c r="S32" i="36"/>
  <c r="U30" i="33"/>
  <c r="AC13" i="34"/>
  <c r="S19" i="39"/>
  <c r="F12" i="33"/>
  <c r="H12" i="39"/>
  <c r="AB12" i="39" s="1"/>
  <c r="F39" i="40"/>
  <c r="S39" i="40" s="1"/>
  <c r="AZ367" i="3"/>
  <c r="B12" i="1"/>
  <c r="E12" i="1" s="1"/>
  <c r="B10" i="1"/>
  <c r="E10" i="1" s="1"/>
  <c r="K12" i="1"/>
  <c r="M12" i="1" s="1"/>
  <c r="S13" i="1"/>
  <c r="AR13" i="1" s="1"/>
  <c r="R13" i="1"/>
  <c r="J51" i="67"/>
  <c r="AC34" i="33"/>
  <c r="AB37" i="40"/>
  <c r="S35" i="40"/>
  <c r="AC36" i="40"/>
  <c r="S17" i="40"/>
  <c r="S23" i="40"/>
  <c r="AC15" i="40"/>
  <c r="S28" i="40"/>
  <c r="AA27"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9" i="39"/>
  <c r="U12" i="39"/>
  <c r="U26" i="36"/>
  <c r="S33" i="36"/>
  <c r="AC26" i="36"/>
  <c r="W14" i="36"/>
  <c r="AB14" i="36"/>
  <c r="U22" i="36"/>
  <c r="S16" i="36"/>
  <c r="AA25" i="36"/>
  <c r="U23" i="36"/>
  <c r="U16" i="36"/>
  <c r="AA25" i="35"/>
  <c r="S23" i="35"/>
  <c r="AB13" i="35"/>
  <c r="U28" i="35"/>
  <c r="AB27" i="35"/>
  <c r="U32" i="35"/>
  <c r="AA33" i="35"/>
  <c r="AC30" i="35"/>
  <c r="S32" i="35"/>
  <c r="AC20" i="35"/>
  <c r="S22" i="35"/>
  <c r="AA11" i="35"/>
  <c r="AC9" i="35"/>
  <c r="W9" i="35"/>
  <c r="F9" i="35"/>
  <c r="S9" i="35" s="1"/>
  <c r="H9" i="35"/>
  <c r="U9" i="35" s="1"/>
  <c r="W27" i="37"/>
  <c r="AC29" i="37"/>
  <c r="U29" i="37"/>
  <c r="S32" i="37"/>
  <c r="S36" i="37"/>
  <c r="AA38" i="37"/>
  <c r="W38" i="37"/>
  <c r="AC35" i="37"/>
  <c r="S37" i="37"/>
  <c r="J17" i="37"/>
  <c r="W17" i="37" s="1"/>
  <c r="G73" i="37"/>
  <c r="F17" i="37"/>
  <c r="AA17" i="37" s="1"/>
  <c r="AB17" i="37"/>
  <c r="F75" i="37"/>
  <c r="G75" i="37" s="1"/>
  <c r="F19" i="37"/>
  <c r="S19" i="37" s="1"/>
  <c r="F23" i="37"/>
  <c r="U23" i="37"/>
  <c r="U15" i="37"/>
  <c r="AA13" i="37"/>
  <c r="H10" i="37"/>
  <c r="AB10" i="37" s="1"/>
  <c r="F63" i="37"/>
  <c r="G63" i="37" s="1"/>
  <c r="H63" i="37" s="1"/>
  <c r="I63" i="37" s="1"/>
  <c r="J63" i="37" s="1"/>
  <c r="K63" i="37" s="1"/>
  <c r="L63" i="37" s="1"/>
  <c r="M63" i="37" s="1"/>
  <c r="F11" i="37"/>
  <c r="S11" i="37" s="1"/>
  <c r="AB8" i="34"/>
  <c r="AC42" i="34"/>
  <c r="U39" i="34"/>
  <c r="AA29" i="34"/>
  <c r="U27" i="34"/>
  <c r="S13" i="34"/>
  <c r="H10" i="34"/>
  <c r="AB10" i="34" s="1"/>
  <c r="F11" i="34"/>
  <c r="S11" i="34" s="1"/>
  <c r="F70" i="34"/>
  <c r="G70" i="34" s="1"/>
  <c r="H70" i="34" s="1"/>
  <c r="I70" i="34" s="1"/>
  <c r="J70" i="34" s="1"/>
  <c r="K70" i="34" s="1"/>
  <c r="L70" i="34" s="1"/>
  <c r="M70" i="34" s="1"/>
  <c r="AA35" i="33"/>
  <c r="S32" i="33"/>
  <c r="AA29" i="33"/>
  <c r="H41" i="33"/>
  <c r="U41" i="33" s="1"/>
  <c r="U42" i="33"/>
  <c r="F36" i="33"/>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S43" i="33"/>
  <c r="H27" i="33"/>
  <c r="AB27" i="33" s="1"/>
  <c r="F87" i="33"/>
  <c r="G87" i="33" s="1"/>
  <c r="H87" i="33" s="1"/>
  <c r="I87" i="33" s="1"/>
  <c r="J87" i="33" s="1"/>
  <c r="K87" i="33" s="1"/>
  <c r="L87" i="33" s="1"/>
  <c r="M87" i="33" s="1"/>
  <c r="H25" i="33"/>
  <c r="U25" i="33" s="1"/>
  <c r="F25" i="33"/>
  <c r="J23" i="33"/>
  <c r="AC23" i="33" s="1"/>
  <c r="F85" i="33"/>
  <c r="H23" i="33"/>
  <c r="AB23" i="33" s="1"/>
  <c r="F81" i="33"/>
  <c r="G81" i="33" s="1"/>
  <c r="F19" i="33"/>
  <c r="W19" i="33"/>
  <c r="J17" i="33"/>
  <c r="AC17" i="33" s="1"/>
  <c r="F79" i="33"/>
  <c r="G79" i="33" s="1"/>
  <c r="S15" i="33"/>
  <c r="W15" i="33"/>
  <c r="U9" i="33"/>
  <c r="J10" i="33"/>
  <c r="W10" i="33" s="1"/>
  <c r="H10" i="33"/>
  <c r="U10" i="33" s="1"/>
  <c r="AC11" i="33"/>
  <c r="W43" i="21"/>
  <c r="W36" i="21"/>
  <c r="W41" i="21"/>
  <c r="AB39" i="21"/>
  <c r="S39" i="21"/>
  <c r="AA36" i="21"/>
  <c r="AC40" i="21"/>
  <c r="J15" i="21"/>
  <c r="F77" i="21"/>
  <c r="G77" i="21" s="1"/>
  <c r="F23" i="21"/>
  <c r="E85" i="21"/>
  <c r="F85" i="21" s="1"/>
  <c r="G85" i="21" s="1"/>
  <c r="F34" i="67"/>
  <c r="F62" i="67" s="1"/>
  <c r="M20" i="67"/>
  <c r="F34" i="15"/>
  <c r="F62" i="15" s="1"/>
  <c r="G13" i="3"/>
  <c r="J56" i="9"/>
  <c r="J57" i="9" s="1"/>
  <c r="J59" i="9" s="1"/>
  <c r="J61" i="9" s="1"/>
  <c r="A24" i="51"/>
  <c r="B18" i="72" s="1"/>
  <c r="E5" i="6"/>
  <c r="E32" i="6"/>
  <c r="E19" i="69"/>
  <c r="E19" i="68"/>
  <c r="E19" i="11"/>
  <c r="E1" i="73"/>
  <c r="G22" i="69"/>
  <c r="G22" i="68"/>
  <c r="G26" i="12"/>
  <c r="G22" i="11"/>
  <c r="C6" i="43"/>
  <c r="B19" i="53"/>
  <c r="B37" i="72" s="1"/>
  <c r="C7" i="35"/>
  <c r="C48" i="35" s="1"/>
  <c r="D48" i="35" s="1"/>
  <c r="M47" i="9"/>
  <c r="L20" i="6"/>
  <c r="B6" i="1"/>
  <c r="E6" i="1" s="1"/>
  <c r="K11" i="1"/>
  <c r="M11" i="1" s="1"/>
  <c r="O11" i="1" s="1"/>
  <c r="B9" i="1"/>
  <c r="E9" i="1" s="1"/>
  <c r="W23" i="40"/>
  <c r="AB31" i="40"/>
  <c r="S37" i="40"/>
  <c r="AB28" i="40"/>
  <c r="W28" i="40"/>
  <c r="W34" i="40"/>
  <c r="W19" i="40"/>
  <c r="S36" i="40"/>
  <c r="AC14" i="40"/>
  <c r="S33" i="40"/>
  <c r="AA15" i="40"/>
  <c r="U11" i="40"/>
  <c r="S31" i="40"/>
  <c r="AB17" i="40"/>
  <c r="U8" i="40"/>
  <c r="S8" i="40"/>
  <c r="AC41" i="39"/>
  <c r="U42" i="39"/>
  <c r="U11" i="39"/>
  <c r="S27" i="39"/>
  <c r="AC17" i="39"/>
  <c r="W31" i="39"/>
  <c r="AC31" i="39"/>
  <c r="W34" i="39"/>
  <c r="U38" i="39"/>
  <c r="S20" i="36"/>
  <c r="AC25" i="36"/>
  <c r="W29" i="36"/>
  <c r="U25" i="36"/>
  <c r="AB28" i="36"/>
  <c r="U25" i="35"/>
  <c r="U24" i="35"/>
  <c r="W35" i="35"/>
  <c r="AA16" i="35"/>
  <c r="AA35" i="37"/>
  <c r="S27" i="37"/>
  <c r="W32" i="37"/>
  <c r="U36" i="37"/>
  <c r="U38" i="37"/>
  <c r="AB37" i="37"/>
  <c r="AB35" i="37"/>
  <c r="U19" i="37"/>
  <c r="AA29" i="37"/>
  <c r="U8" i="37"/>
  <c r="AB45" i="34"/>
  <c r="AB47" i="34"/>
  <c r="AB36" i="34"/>
  <c r="AC14" i="34"/>
  <c r="AC32" i="34"/>
  <c r="AC29" i="34"/>
  <c r="S32" i="34"/>
  <c r="AA32" i="34"/>
  <c r="U38" i="34"/>
  <c r="AC40" i="34"/>
  <c r="W40" i="34"/>
  <c r="AA19" i="34"/>
  <c r="AA36" i="34"/>
  <c r="S36" i="34"/>
  <c r="AA8" i="34"/>
  <c r="S8" i="34"/>
  <c r="S46" i="34"/>
  <c r="AC37" i="33"/>
  <c r="W46" i="33"/>
  <c r="U39" i="33"/>
  <c r="S33" i="33"/>
  <c r="AB34" i="33"/>
  <c r="AB44" i="33"/>
  <c r="S30" i="33"/>
  <c r="AA30" i="33"/>
  <c r="AC30" i="33"/>
  <c r="W30" i="33"/>
  <c r="W13" i="33"/>
  <c r="AC13" i="33"/>
  <c r="S11" i="33"/>
  <c r="S28" i="33"/>
  <c r="W9" i="33"/>
  <c r="W8" i="33"/>
  <c r="S44" i="21"/>
  <c r="U28" i="21"/>
  <c r="F33" i="21"/>
  <c r="AA33" i="21" s="1"/>
  <c r="J33" i="21"/>
  <c r="AC33" i="21" s="1"/>
  <c r="H33" i="21"/>
  <c r="AB33" i="21" s="1"/>
  <c r="F37" i="21"/>
  <c r="AA37" i="21" s="1"/>
  <c r="U40" i="21"/>
  <c r="U13" i="21"/>
  <c r="S35" i="21"/>
  <c r="J37" i="21"/>
  <c r="W37" i="21" s="1"/>
  <c r="H15" i="21"/>
  <c r="U15" i="21" s="1"/>
  <c r="J17" i="21"/>
  <c r="AC17" i="21" s="1"/>
  <c r="W39" i="21"/>
  <c r="H45" i="2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AB44" i="21"/>
  <c r="W13" i="21"/>
  <c r="AC45" i="21"/>
  <c r="F10" i="21"/>
  <c r="AA10" i="21" s="1"/>
  <c r="K145" i="21"/>
  <c r="S17" i="21"/>
  <c r="AC26" i="21"/>
  <c r="AC34" i="21"/>
  <c r="AB36" i="21"/>
  <c r="C19" i="39"/>
  <c r="C15" i="40"/>
  <c r="C17" i="40"/>
  <c r="C23" i="40"/>
  <c r="U30" i="40"/>
  <c r="B56" i="43"/>
  <c r="B67" i="43"/>
  <c r="B54" i="43"/>
  <c r="B58" i="43"/>
  <c r="B62" i="43"/>
  <c r="B69" i="43"/>
  <c r="D23" i="15"/>
  <c r="D22" i="15"/>
  <c r="E4" i="4"/>
  <c r="B5" i="62" s="1"/>
  <c r="B73" i="72" s="1"/>
  <c r="C4" i="4"/>
  <c r="S12" i="33"/>
  <c r="AA12" i="33"/>
  <c r="J32" i="39"/>
  <c r="W32" i="39" s="1"/>
  <c r="H32" i="39"/>
  <c r="AB32" i="39" s="1"/>
  <c r="AA32" i="39"/>
  <c r="S32" i="39"/>
  <c r="AB21" i="39"/>
  <c r="S21" i="39"/>
  <c r="AC17" i="37"/>
  <c r="J19" i="37"/>
  <c r="W19" i="37" s="1"/>
  <c r="J23" i="37"/>
  <c r="AC23" i="37" s="1"/>
  <c r="J10" i="37"/>
  <c r="W10" i="37" s="1"/>
  <c r="H11" i="37"/>
  <c r="AB11" i="37" s="1"/>
  <c r="H11" i="34"/>
  <c r="U11" i="34" s="1"/>
  <c r="J10" i="34"/>
  <c r="AC10" i="34" s="1"/>
  <c r="AB41" i="33"/>
  <c r="W35" i="33"/>
  <c r="AC35" i="33"/>
  <c r="J36" i="33"/>
  <c r="W36" i="33" s="1"/>
  <c r="H36" i="33"/>
  <c r="U27" i="33"/>
  <c r="J27" i="33"/>
  <c r="AC27" i="33" s="1"/>
  <c r="AB25" i="33"/>
  <c r="J25" i="33"/>
  <c r="AC25" i="33" s="1"/>
  <c r="U23" i="33"/>
  <c r="F23" i="33"/>
  <c r="G85" i="33"/>
  <c r="H19" i="33"/>
  <c r="H17" i="33"/>
  <c r="U17" i="33" s="1"/>
  <c r="F17" i="33"/>
  <c r="S17" i="33" s="1"/>
  <c r="S37" i="21"/>
  <c r="AB15" i="21"/>
  <c r="J23" i="21"/>
  <c r="H23" i="21"/>
  <c r="AP7" i="1"/>
  <c r="AA32" i="21"/>
  <c r="U32" i="21"/>
  <c r="U32" i="39"/>
  <c r="AC32" i="39"/>
  <c r="J11" i="37"/>
  <c r="AC11" i="37" s="1"/>
  <c r="J11" i="34"/>
  <c r="W11" i="34" s="1"/>
  <c r="W27"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E12" i="76"/>
  <c r="E2" i="68"/>
  <c r="E7" i="76"/>
  <c r="B13" i="76"/>
  <c r="F7" i="73"/>
  <c r="F20" i="31"/>
  <c r="E8" i="76"/>
  <c r="E13" i="76"/>
  <c r="E11" i="76"/>
  <c r="E9" i="76"/>
  <c r="F5" i="73"/>
  <c r="B10" i="76"/>
  <c r="F3" i="73"/>
  <c r="B12" i="76"/>
  <c r="AO13" i="1"/>
  <c r="B11" i="76"/>
  <c r="F6" i="73"/>
  <c r="B9" i="76"/>
  <c r="E2" i="69"/>
  <c r="B7" i="76"/>
  <c r="F4" i="73"/>
  <c r="E10" i="76"/>
  <c r="S19" i="40" l="1"/>
  <c r="AA19" i="40"/>
  <c r="S25" i="21"/>
  <c r="AA25" i="21"/>
  <c r="AB40" i="33"/>
  <c r="U40" i="33"/>
  <c r="J28" i="37"/>
  <c r="F28" i="37"/>
  <c r="H28" i="37"/>
  <c r="H40" i="37"/>
  <c r="F40" i="37"/>
  <c r="S25" i="33"/>
  <c r="AA25" i="33"/>
  <c r="S31" i="37"/>
  <c r="AA31" i="37"/>
  <c r="AB15" i="33"/>
  <c r="U15" i="33"/>
  <c r="J32" i="40"/>
  <c r="F32" i="40"/>
  <c r="U19" i="33"/>
  <c r="AB19" i="33"/>
  <c r="U15" i="40"/>
  <c r="S31" i="39"/>
  <c r="U20" i="36"/>
  <c r="AB20" i="36"/>
  <c r="G509" i="3"/>
  <c r="AZ314" i="3"/>
  <c r="W35" i="40"/>
  <c r="U46" i="33"/>
  <c r="AB33" i="40"/>
  <c r="U33" i="40"/>
  <c r="AC31" i="34"/>
  <c r="W31" i="34"/>
  <c r="U16" i="35"/>
  <c r="AB16" i="35"/>
  <c r="AB36" i="40"/>
  <c r="U36" i="40"/>
  <c r="AB34" i="21"/>
  <c r="U34" i="21"/>
  <c r="BA586" i="3"/>
  <c r="J26" i="33"/>
  <c r="F26" i="33"/>
  <c r="AA26" i="33" s="1"/>
  <c r="BA555" i="3"/>
  <c r="BL554" i="3"/>
  <c r="BA554" i="3"/>
  <c r="AZ554" i="3" s="1"/>
  <c r="BA549" i="3"/>
  <c r="BA546" i="3"/>
  <c r="BA545" i="3"/>
  <c r="BL544" i="3"/>
  <c r="BA541" i="3"/>
  <c r="BA538" i="3"/>
  <c r="BA537" i="3"/>
  <c r="BL536" i="3"/>
  <c r="AZ536" i="3" s="1"/>
  <c r="BA534" i="3"/>
  <c r="AZ534" i="3" s="1"/>
  <c r="BA533" i="3"/>
  <c r="BL532" i="3"/>
  <c r="BA530" i="3"/>
  <c r="BL529" i="3"/>
  <c r="BA529" i="3"/>
  <c r="BL528" i="3"/>
  <c r="BL526" i="3"/>
  <c r="BA526" i="3"/>
  <c r="AZ526" i="3" s="1"/>
  <c r="BA525" i="3"/>
  <c r="BL524" i="3"/>
  <c r="BL521" i="3"/>
  <c r="BA521" i="3"/>
  <c r="G521" i="3"/>
  <c r="BA519" i="3"/>
  <c r="BL514" i="3"/>
  <c r="BA514" i="3"/>
  <c r="AZ514" i="3" s="1"/>
  <c r="BA511" i="3"/>
  <c r="AZ511" i="3" s="1"/>
  <c r="BA510" i="3"/>
  <c r="BA509" i="3"/>
  <c r="BL508" i="3"/>
  <c r="AZ508" i="3" s="1"/>
  <c r="BA506" i="3"/>
  <c r="BA505" i="3"/>
  <c r="BL502" i="3"/>
  <c r="BA502" i="3"/>
  <c r="BA501" i="3"/>
  <c r="BL500" i="3"/>
  <c r="AZ500" i="3" s="1"/>
  <c r="BA498" i="3"/>
  <c r="AZ498" i="3" s="1"/>
  <c r="BA497" i="3"/>
  <c r="AZ497" i="3" s="1"/>
  <c r="BA494" i="3"/>
  <c r="BA493" i="3"/>
  <c r="AZ493" i="3" s="1"/>
  <c r="AZ140" i="3"/>
  <c r="S22" i="36"/>
  <c r="AA22" i="36"/>
  <c r="W36" i="37"/>
  <c r="AC36" i="37"/>
  <c r="U14" i="40"/>
  <c r="AB14" i="40"/>
  <c r="AB12" i="40"/>
  <c r="U12" i="40"/>
  <c r="S27" i="33"/>
  <c r="AA27" i="33"/>
  <c r="U45" i="21"/>
  <c r="AB45" i="21"/>
  <c r="U32" i="34"/>
  <c r="AA14" i="39"/>
  <c r="AA34" i="36"/>
  <c r="S34" i="33"/>
  <c r="AA34" i="33"/>
  <c r="W37" i="37"/>
  <c r="AZ336" i="3"/>
  <c r="AA15" i="39"/>
  <c r="S15" i="39"/>
  <c r="AB28" i="34"/>
  <c r="U28" i="34"/>
  <c r="AZ505" i="3"/>
  <c r="AZ509" i="3"/>
  <c r="AZ533" i="3"/>
  <c r="AZ539" i="3"/>
  <c r="AZ528" i="3"/>
  <c r="AZ504" i="3"/>
  <c r="H14" i="39"/>
  <c r="W13" i="37"/>
  <c r="AC13" i="37"/>
  <c r="J40" i="37"/>
  <c r="AC40" i="37" s="1"/>
  <c r="AB30" i="34"/>
  <c r="U30" i="34"/>
  <c r="AB29" i="21"/>
  <c r="U29" i="21"/>
  <c r="AB14" i="35"/>
  <c r="U14" i="35"/>
  <c r="AA21" i="40"/>
  <c r="S21" i="40"/>
  <c r="B94" i="43"/>
  <c r="B51" i="43"/>
  <c r="B90" i="43"/>
  <c r="C21" i="40"/>
  <c r="AC28" i="35"/>
  <c r="W28" i="35"/>
  <c r="J24" i="35"/>
  <c r="F24" i="35"/>
  <c r="BA582" i="3"/>
  <c r="BL581" i="3"/>
  <c r="BA581" i="3"/>
  <c r="BL579" i="3"/>
  <c r="BL578" i="3"/>
  <c r="BA574" i="3"/>
  <c r="BA573" i="3"/>
  <c r="BJ5" i="3"/>
  <c r="BA572" i="3"/>
  <c r="AZ572" i="3" s="1"/>
  <c r="BL571" i="3"/>
  <c r="BA569" i="3"/>
  <c r="BL566" i="3"/>
  <c r="BA566" i="3"/>
  <c r="BA565" i="3"/>
  <c r="BA560" i="3"/>
  <c r="AZ560" i="3" s="1"/>
  <c r="BA557" i="3"/>
  <c r="U26" i="33"/>
  <c r="AB26" i="33"/>
  <c r="W9" i="21"/>
  <c r="S13" i="21"/>
  <c r="AA19" i="37"/>
  <c r="AC32" i="33"/>
  <c r="AA39" i="40"/>
  <c r="W30" i="40"/>
  <c r="AC28" i="33"/>
  <c r="AC25" i="39"/>
  <c r="S24" i="36"/>
  <c r="U20" i="35"/>
  <c r="AB20" i="35"/>
  <c r="AZ369" i="3"/>
  <c r="AZ344" i="3"/>
  <c r="AZ304" i="3"/>
  <c r="AZ152" i="3"/>
  <c r="AZ394" i="3"/>
  <c r="AC36" i="34"/>
  <c r="H32" i="40"/>
  <c r="AZ561" i="3"/>
  <c r="AZ532" i="3"/>
  <c r="AZ522" i="3"/>
  <c r="W37" i="40"/>
  <c r="AC37" i="40"/>
  <c r="J14" i="39"/>
  <c r="AC14" i="39" s="1"/>
  <c r="AC13" i="35"/>
  <c r="W13" i="35"/>
  <c r="AA45" i="33"/>
  <c r="S45" i="33"/>
  <c r="AC42" i="21"/>
  <c r="W42" i="21"/>
  <c r="AA42" i="39"/>
  <c r="S42" i="39"/>
  <c r="U34" i="34"/>
  <c r="U38" i="21"/>
  <c r="AB38" i="21"/>
  <c r="F27" i="21"/>
  <c r="J27" i="21"/>
  <c r="AA46" i="21"/>
  <c r="S46" i="21"/>
  <c r="AB38" i="33"/>
  <c r="U38" i="33"/>
  <c r="F31" i="33"/>
  <c r="J31" i="33"/>
  <c r="W31" i="33" s="1"/>
  <c r="J12" i="34"/>
  <c r="F12" i="34"/>
  <c r="S12" i="34" s="1"/>
  <c r="J30" i="34"/>
  <c r="F30" i="34"/>
  <c r="H46" i="34"/>
  <c r="J46" i="34"/>
  <c r="AA25" i="37"/>
  <c r="S25" i="37"/>
  <c r="AA40" i="33"/>
  <c r="S40" i="33"/>
  <c r="BL538" i="3"/>
  <c r="BL525" i="3"/>
  <c r="AZ525" i="3" s="1"/>
  <c r="BA520" i="3"/>
  <c r="AZ520" i="3" s="1"/>
  <c r="BL517" i="3"/>
  <c r="BL516" i="3"/>
  <c r="BA515" i="3"/>
  <c r="BL513" i="3"/>
  <c r="BL519" i="3"/>
  <c r="AZ519" i="3" s="1"/>
  <c r="BL531" i="3"/>
  <c r="AZ531" i="3" s="1"/>
  <c r="BL545" i="3"/>
  <c r="BL553" i="3"/>
  <c r="AZ553" i="3" s="1"/>
  <c r="BL559" i="3"/>
  <c r="AZ559" i="3" s="1"/>
  <c r="U17" i="34"/>
  <c r="AB17" i="34"/>
  <c r="AA9" i="40"/>
  <c r="J39" i="40"/>
  <c r="H39" i="40"/>
  <c r="G112" i="34"/>
  <c r="F37" i="34"/>
  <c r="G552" i="3"/>
  <c r="G531" i="3"/>
  <c r="G493" i="3"/>
  <c r="AB30" i="37"/>
  <c r="U30" i="37"/>
  <c r="AC31" i="40"/>
  <c r="W31" i="40"/>
  <c r="BL580" i="3"/>
  <c r="BF5" i="3"/>
  <c r="BB5" i="3"/>
  <c r="S35" i="35"/>
  <c r="AZ387" i="3"/>
  <c r="AZ357" i="3"/>
  <c r="AZ322" i="3"/>
  <c r="AZ311" i="3"/>
  <c r="AZ356" i="3"/>
  <c r="AZ164" i="3"/>
  <c r="AC45" i="33"/>
  <c r="BL503" i="3"/>
  <c r="AZ503" i="3" s="1"/>
  <c r="BL535" i="3"/>
  <c r="AZ535" i="3" s="1"/>
  <c r="BL541" i="3"/>
  <c r="BL549" i="3"/>
  <c r="AZ549" i="3" s="1"/>
  <c r="BL563" i="3"/>
  <c r="AZ563" i="3" s="1"/>
  <c r="BL557" i="3"/>
  <c r="AA14" i="33"/>
  <c r="S34" i="37"/>
  <c r="J44" i="39"/>
  <c r="AC31" i="35"/>
  <c r="J12" i="36"/>
  <c r="H12" i="36"/>
  <c r="AB12" i="36" s="1"/>
  <c r="AB31" i="36"/>
  <c r="U31" i="36"/>
  <c r="H25" i="37"/>
  <c r="J25" i="37"/>
  <c r="A15" i="62"/>
  <c r="B61" i="72" s="1"/>
  <c r="AZ419" i="3"/>
  <c r="S18" i="35"/>
  <c r="AA18" i="35"/>
  <c r="G398" i="3"/>
  <c r="BA402" i="3"/>
  <c r="BA406" i="3"/>
  <c r="BL409" i="3"/>
  <c r="BA413" i="3"/>
  <c r="BL423" i="3"/>
  <c r="G425" i="3"/>
  <c r="BL430" i="3"/>
  <c r="BA431" i="3"/>
  <c r="G438" i="3"/>
  <c r="BL438" i="3"/>
  <c r="BL439" i="3"/>
  <c r="G442" i="3"/>
  <c r="G443" i="3"/>
  <c r="G448" i="3"/>
  <c r="G452" i="3"/>
  <c r="BL456" i="3"/>
  <c r="BL469" i="3"/>
  <c r="BA470" i="3"/>
  <c r="BL473" i="3"/>
  <c r="BL474" i="3"/>
  <c r="BA482" i="3"/>
  <c r="BA484" i="3"/>
  <c r="AZ484" i="3" s="1"/>
  <c r="BL490" i="3"/>
  <c r="BA319" i="3"/>
  <c r="AZ319" i="3" s="1"/>
  <c r="G351" i="3"/>
  <c r="G380" i="3"/>
  <c r="G387" i="3"/>
  <c r="BA214" i="3"/>
  <c r="G217" i="3"/>
  <c r="G218" i="3"/>
  <c r="BA218" i="3"/>
  <c r="AZ218" i="3" s="1"/>
  <c r="BL218" i="3"/>
  <c r="BL220" i="3"/>
  <c r="BL221" i="3"/>
  <c r="G222" i="3"/>
  <c r="BA227" i="3"/>
  <c r="AZ227" i="3" s="1"/>
  <c r="BL233" i="3"/>
  <c r="G235" i="3"/>
  <c r="BA250" i="3"/>
  <c r="BL262" i="3"/>
  <c r="G288" i="3"/>
  <c r="BA288" i="3"/>
  <c r="D88" i="71"/>
  <c r="C87" i="71"/>
  <c r="M20" i="15"/>
  <c r="F34" i="83"/>
  <c r="F62" i="83" s="1"/>
  <c r="M20" i="83"/>
  <c r="BP5" i="3"/>
  <c r="BL17" i="3"/>
  <c r="AZ17" i="3" s="1"/>
  <c r="D93" i="82"/>
  <c r="D78" i="82"/>
  <c r="BA400" i="3"/>
  <c r="BA401" i="3"/>
  <c r="BA404" i="3"/>
  <c r="BA405" i="3"/>
  <c r="BL412" i="3"/>
  <c r="BA420" i="3"/>
  <c r="BA422" i="3"/>
  <c r="BL427" i="3"/>
  <c r="BL433" i="3"/>
  <c r="BL434" i="3"/>
  <c r="BL440" i="3"/>
  <c r="BA443" i="3"/>
  <c r="BL451" i="3"/>
  <c r="BA452" i="3"/>
  <c r="BA458" i="3"/>
  <c r="AZ458" i="3" s="1"/>
  <c r="G464" i="3"/>
  <c r="BA464" i="3"/>
  <c r="BA469" i="3"/>
  <c r="AZ469" i="3" s="1"/>
  <c r="BL472" i="3"/>
  <c r="BL479" i="3"/>
  <c r="BA487" i="3"/>
  <c r="BL488" i="3"/>
  <c r="BL316" i="3"/>
  <c r="BA392" i="3"/>
  <c r="BL208" i="3"/>
  <c r="BA217" i="3"/>
  <c r="G220" i="3"/>
  <c r="BA225" i="3"/>
  <c r="G228" i="3"/>
  <c r="BA229" i="3"/>
  <c r="AZ229" i="3" s="1"/>
  <c r="BL229" i="3"/>
  <c r="BL231" i="3"/>
  <c r="G233" i="3"/>
  <c r="BA235" i="3"/>
  <c r="AZ235" i="3" s="1"/>
  <c r="G241" i="3"/>
  <c r="BA248" i="3"/>
  <c r="BL252" i="3"/>
  <c r="BL272" i="3"/>
  <c r="BA275" i="3"/>
  <c r="BA280" i="3"/>
  <c r="AZ280" i="3" s="1"/>
  <c r="BA283" i="3"/>
  <c r="AZ283" i="3" s="1"/>
  <c r="G295" i="3"/>
  <c r="G299" i="3"/>
  <c r="BL300" i="3"/>
  <c r="BA188" i="3"/>
  <c r="AZ188" i="3" s="1"/>
  <c r="BL193" i="3"/>
  <c r="BA70" i="3"/>
  <c r="U80" i="71"/>
  <c r="E79" i="71"/>
  <c r="E78" i="71" s="1"/>
  <c r="G586" i="3"/>
  <c r="G566" i="3"/>
  <c r="G564" i="3"/>
  <c r="F11" i="1"/>
  <c r="G11" i="1" s="1"/>
  <c r="G44" i="43"/>
  <c r="B13" i="53"/>
  <c r="B29" i="72" s="1"/>
  <c r="BL399" i="3"/>
  <c r="G403" i="3"/>
  <c r="BA403" i="3"/>
  <c r="G407" i="3"/>
  <c r="BA410" i="3"/>
  <c r="BL410" i="3"/>
  <c r="G412" i="3"/>
  <c r="BL419" i="3"/>
  <c r="G422" i="3"/>
  <c r="BL431" i="3"/>
  <c r="G433" i="3"/>
  <c r="G441" i="3"/>
  <c r="BA441" i="3"/>
  <c r="G445" i="3"/>
  <c r="BL445" i="3"/>
  <c r="BL446" i="3"/>
  <c r="BA451" i="3"/>
  <c r="BL455" i="3"/>
  <c r="BA462" i="3"/>
  <c r="AZ462" i="3" s="1"/>
  <c r="BA463" i="3"/>
  <c r="BL465" i="3"/>
  <c r="G467" i="3"/>
  <c r="BL467" i="3"/>
  <c r="BL468" i="3"/>
  <c r="BL470" i="3"/>
  <c r="G472" i="3"/>
  <c r="G478" i="3"/>
  <c r="BA485" i="3"/>
  <c r="G488" i="3"/>
  <c r="G489" i="3"/>
  <c r="G311" i="3"/>
  <c r="BL314" i="3"/>
  <c r="G315" i="3"/>
  <c r="BL340" i="3"/>
  <c r="AZ340" i="3" s="1"/>
  <c r="G384" i="3"/>
  <c r="BA212" i="3"/>
  <c r="BL219" i="3"/>
  <c r="BA220" i="3"/>
  <c r="BL224" i="3"/>
  <c r="G226" i="3"/>
  <c r="BA228" i="3"/>
  <c r="G231" i="3"/>
  <c r="BA233" i="3"/>
  <c r="AZ233" i="3" s="1"/>
  <c r="BL237" i="3"/>
  <c r="BL238" i="3"/>
  <c r="G239" i="3"/>
  <c r="G246" i="3"/>
  <c r="BA247" i="3"/>
  <c r="BL247" i="3"/>
  <c r="BA251" i="3"/>
  <c r="AZ251" i="3" s="1"/>
  <c r="BL251" i="3"/>
  <c r="BL254" i="3"/>
  <c r="BA255" i="3"/>
  <c r="BA265" i="3"/>
  <c r="G268" i="3"/>
  <c r="G294" i="3"/>
  <c r="BA144" i="3"/>
  <c r="AZ144" i="3" s="1"/>
  <c r="G167" i="3"/>
  <c r="G172" i="3"/>
  <c r="BA173" i="3"/>
  <c r="BL175" i="3"/>
  <c r="AZ175" i="3" s="1"/>
  <c r="G176" i="3"/>
  <c r="BA178" i="3"/>
  <c r="G18" i="3"/>
  <c r="G22" i="3"/>
  <c r="BL23" i="3"/>
  <c r="G45" i="3"/>
  <c r="BA62" i="3"/>
  <c r="BL62" i="3"/>
  <c r="BL63" i="3"/>
  <c r="G68" i="3"/>
  <c r="G73" i="3"/>
  <c r="BL73" i="3"/>
  <c r="BA74" i="3"/>
  <c r="G102" i="3"/>
  <c r="AB29" i="39"/>
  <c r="U29" i="39"/>
  <c r="C60" i="71"/>
  <c r="D59" i="71"/>
  <c r="X39" i="71"/>
  <c r="X38" i="71"/>
  <c r="E59" i="71"/>
  <c r="E60" i="71" s="1"/>
  <c r="U60" i="71" s="1"/>
  <c r="S72" i="71"/>
  <c r="B71" i="71"/>
  <c r="B70" i="71" s="1"/>
  <c r="BL76" i="3"/>
  <c r="BL91" i="3"/>
  <c r="BL93" i="3"/>
  <c r="BL103" i="3"/>
  <c r="G105" i="3"/>
  <c r="G111" i="3"/>
  <c r="G1" i="83"/>
  <c r="C51" i="10"/>
  <c r="A13" i="51" s="1"/>
  <c r="B11" i="72" s="1"/>
  <c r="A2" i="82"/>
  <c r="A118" i="82"/>
  <c r="X26" i="71"/>
  <c r="Y29" i="71"/>
  <c r="Z29" i="71" s="1"/>
  <c r="C63" i="71"/>
  <c r="BL269" i="3"/>
  <c r="BA278" i="3"/>
  <c r="AZ278" i="3" s="1"/>
  <c r="BA291" i="3"/>
  <c r="AZ291" i="3" s="1"/>
  <c r="BA132" i="3"/>
  <c r="AZ132" i="3" s="1"/>
  <c r="BL135" i="3"/>
  <c r="AZ135" i="3" s="1"/>
  <c r="BL138" i="3"/>
  <c r="BA140" i="3"/>
  <c r="BA142" i="3"/>
  <c r="BL149" i="3"/>
  <c r="BL150" i="3"/>
  <c r="BA152" i="3"/>
  <c r="BA154" i="3"/>
  <c r="AZ154" i="3" s="1"/>
  <c r="BA157" i="3"/>
  <c r="BA162" i="3"/>
  <c r="AZ162" i="3" s="1"/>
  <c r="BA164" i="3"/>
  <c r="BA166" i="3"/>
  <c r="AZ166" i="3" s="1"/>
  <c r="BL173" i="3"/>
  <c r="BL186" i="3"/>
  <c r="BA201" i="3"/>
  <c r="BA207" i="3"/>
  <c r="G20" i="3"/>
  <c r="BL20" i="3"/>
  <c r="BA21" i="3"/>
  <c r="G24" i="3"/>
  <c r="BL34" i="3"/>
  <c r="G35" i="3"/>
  <c r="BA40" i="3"/>
  <c r="BL44" i="3"/>
  <c r="BA55" i="3"/>
  <c r="BL57" i="3"/>
  <c r="G59" i="3"/>
  <c r="G62" i="3"/>
  <c r="BA67" i="3"/>
  <c r="AZ67" i="3" s="1"/>
  <c r="BL67" i="3"/>
  <c r="G69" i="3"/>
  <c r="G80" i="3"/>
  <c r="G81" i="3"/>
  <c r="G84" i="3"/>
  <c r="G89" i="3"/>
  <c r="BA90" i="3"/>
  <c r="G93" i="3"/>
  <c r="BL101" i="3"/>
  <c r="BL102" i="3"/>
  <c r="C7" i="36"/>
  <c r="C46" i="36" s="1"/>
  <c r="D46" i="36" s="1"/>
  <c r="E46" i="36" s="1"/>
  <c r="F46" i="36" s="1"/>
  <c r="G46" i="36" s="1"/>
  <c r="H46" i="36" s="1"/>
  <c r="I46" i="36" s="1"/>
  <c r="M47" i="82"/>
  <c r="J51" i="83"/>
  <c r="W21" i="21"/>
  <c r="AC21" i="37"/>
  <c r="S21" i="37"/>
  <c r="E67" i="71"/>
  <c r="C31" i="71"/>
  <c r="B43" i="71"/>
  <c r="B44" i="71" s="1"/>
  <c r="S44" i="71" s="1"/>
  <c r="B55" i="71"/>
  <c r="B56" i="71" s="1"/>
  <c r="S56" i="71" s="1"/>
  <c r="V68" i="71"/>
  <c r="F71" i="71"/>
  <c r="F70" i="71" s="1"/>
  <c r="Y27" i="71"/>
  <c r="Z27" i="71" s="1"/>
  <c r="G261" i="3"/>
  <c r="G265" i="3"/>
  <c r="G266" i="3"/>
  <c r="BL266" i="3"/>
  <c r="G274" i="3"/>
  <c r="G279" i="3"/>
  <c r="BL283" i="3"/>
  <c r="BA286" i="3"/>
  <c r="BA301" i="3"/>
  <c r="BA120" i="3"/>
  <c r="AZ120" i="3" s="1"/>
  <c r="BL122" i="3"/>
  <c r="G166" i="3"/>
  <c r="BA174" i="3"/>
  <c r="BL181" i="3"/>
  <c r="G182" i="3"/>
  <c r="BL185" i="3"/>
  <c r="G186" i="3"/>
  <c r="BL198" i="3"/>
  <c r="AZ198" i="3" s="1"/>
  <c r="G202" i="3"/>
  <c r="BA205" i="3"/>
  <c r="AZ205" i="3" s="1"/>
  <c r="G19" i="3"/>
  <c r="BL24" i="3"/>
  <c r="BA25" i="3"/>
  <c r="BA26" i="3"/>
  <c r="G28" i="3"/>
  <c r="BL28" i="3"/>
  <c r="BA29" i="3"/>
  <c r="BA31" i="3"/>
  <c r="BA32" i="3"/>
  <c r="BA43" i="3"/>
  <c r="G46" i="3"/>
  <c r="BL52" i="3"/>
  <c r="BA53" i="3"/>
  <c r="BA54" i="3"/>
  <c r="G57" i="3"/>
  <c r="G61" i="3"/>
  <c r="BA65" i="3"/>
  <c r="AZ65" i="3" s="1"/>
  <c r="BL65" i="3"/>
  <c r="BL66" i="3"/>
  <c r="BA75" i="3"/>
  <c r="BA78" i="3"/>
  <c r="G79" i="3"/>
  <c r="BL86" i="3"/>
  <c r="G87" i="3"/>
  <c r="BA95" i="3"/>
  <c r="BL97" i="3"/>
  <c r="G99" i="3"/>
  <c r="BA110" i="3"/>
  <c r="AZ110" i="3" s="1"/>
  <c r="AC25" i="40"/>
  <c r="U68" i="71"/>
  <c r="B63" i="71"/>
  <c r="B64" i="71" s="1"/>
  <c r="S64" i="71" s="1"/>
  <c r="M56" i="9"/>
  <c r="N56" i="82"/>
  <c r="M56" i="82"/>
  <c r="K56" i="82"/>
  <c r="J56" i="82"/>
  <c r="J57" i="82" s="1"/>
  <c r="J59" i="82" s="1"/>
  <c r="J61" i="82" s="1"/>
  <c r="C18" i="9"/>
  <c r="D18" i="9" s="1"/>
  <c r="J23" i="34"/>
  <c r="W23" i="34" s="1"/>
  <c r="J41" i="34"/>
  <c r="AC41" i="34" s="1"/>
  <c r="AP6" i="1"/>
  <c r="M18" i="82"/>
  <c r="B118" i="82" s="1"/>
  <c r="B15" i="74" s="1"/>
  <c r="H41" i="34"/>
  <c r="U41" i="34" s="1"/>
  <c r="F41" i="34"/>
  <c r="AA41" i="34" s="1"/>
  <c r="G124" i="34"/>
  <c r="H124" i="34" s="1"/>
  <c r="I124" i="34" s="1"/>
  <c r="J124" i="34" s="1"/>
  <c r="K124" i="34" s="1"/>
  <c r="L124" i="34" s="1"/>
  <c r="M124" i="34" s="1"/>
  <c r="J43" i="34"/>
  <c r="F43" i="34"/>
  <c r="AA43" i="34" s="1"/>
  <c r="H43" i="34"/>
  <c r="U43" i="34" s="1"/>
  <c r="S44" i="34"/>
  <c r="G88" i="34"/>
  <c r="H88" i="34" s="1"/>
  <c r="I88" i="34" s="1"/>
  <c r="J88" i="34" s="1"/>
  <c r="K88" i="34" s="1"/>
  <c r="L88" i="34" s="1"/>
  <c r="M88" i="34" s="1"/>
  <c r="F25" i="34"/>
  <c r="S25" i="34" s="1"/>
  <c r="H25" i="34"/>
  <c r="J25" i="34"/>
  <c r="AC25" i="34" s="1"/>
  <c r="H23" i="34"/>
  <c r="U23" i="34" s="1"/>
  <c r="F23" i="34"/>
  <c r="AA23" i="34" s="1"/>
  <c r="J17" i="34"/>
  <c r="F17" i="34"/>
  <c r="H15" i="34"/>
  <c r="J15" i="34"/>
  <c r="W35" i="34"/>
  <c r="W44" i="34"/>
  <c r="AC23" i="34"/>
  <c r="AB40" i="34"/>
  <c r="AC39" i="34"/>
  <c r="U9" i="34"/>
  <c r="W8" i="34"/>
  <c r="AA35" i="34"/>
  <c r="AA31" i="34"/>
  <c r="AA47" i="34"/>
  <c r="AA45" i="34"/>
  <c r="U19" i="34"/>
  <c r="U21" i="34"/>
  <c r="C21" i="68"/>
  <c r="G1" i="15"/>
  <c r="K7" i="1"/>
  <c r="G1" i="67"/>
  <c r="K1" i="12"/>
  <c r="F3" i="35"/>
  <c r="G1" i="69"/>
  <c r="G1" i="68"/>
  <c r="BG5" i="3"/>
  <c r="BL13" i="3"/>
  <c r="J1" i="73"/>
  <c r="C7" i="21"/>
  <c r="C7" i="40"/>
  <c r="C63" i="40" s="1"/>
  <c r="C65" i="40" s="1"/>
  <c r="C7" i="39"/>
  <c r="C67" i="39" s="1"/>
  <c r="C69" i="39" s="1"/>
  <c r="C42" i="1"/>
  <c r="C7" i="37"/>
  <c r="C52" i="37" s="1"/>
  <c r="D52" i="37" s="1"/>
  <c r="G23" i="43"/>
  <c r="C23" i="43" s="1"/>
  <c r="C7" i="33"/>
  <c r="W13" i="40"/>
  <c r="AC13" i="40"/>
  <c r="AZ566" i="3"/>
  <c r="AA30" i="40"/>
  <c r="S30" i="40"/>
  <c r="W25" i="35"/>
  <c r="AC25" i="35"/>
  <c r="H14" i="21"/>
  <c r="J14" i="21"/>
  <c r="AC42" i="33"/>
  <c r="W42" i="33"/>
  <c r="AA28" i="35"/>
  <c r="S28" i="35"/>
  <c r="J36" i="35"/>
  <c r="AC36" i="35" s="1"/>
  <c r="H36" i="35"/>
  <c r="AC31" i="37"/>
  <c r="W31" i="37"/>
  <c r="U34" i="37"/>
  <c r="AB34" i="37"/>
  <c r="AB9" i="21"/>
  <c r="W29" i="21"/>
  <c r="W22" i="36"/>
  <c r="U29" i="35"/>
  <c r="AB32" i="37"/>
  <c r="U32" i="37"/>
  <c r="W20" i="36"/>
  <c r="AC20" i="36"/>
  <c r="BC5" i="3"/>
  <c r="U31" i="37"/>
  <c r="AB31" i="37"/>
  <c r="AC25" i="21"/>
  <c r="W25" i="21"/>
  <c r="AA28" i="37"/>
  <c r="S28" i="37"/>
  <c r="H13" i="36"/>
  <c r="AB46" i="34"/>
  <c r="U46" i="34"/>
  <c r="AA45" i="21"/>
  <c r="S45" i="21"/>
  <c r="F14" i="21"/>
  <c r="AB30" i="36"/>
  <c r="W34" i="37"/>
  <c r="AC34" i="37"/>
  <c r="AB22" i="35"/>
  <c r="U22" i="35"/>
  <c r="S38" i="21"/>
  <c r="AA38" i="21"/>
  <c r="S43" i="21"/>
  <c r="AA43" i="21"/>
  <c r="H30" i="21"/>
  <c r="F30" i="21"/>
  <c r="J30" i="21"/>
  <c r="B97" i="43"/>
  <c r="B75" i="43"/>
  <c r="B65" i="43"/>
  <c r="AB35" i="33"/>
  <c r="U35" i="33"/>
  <c r="AA38" i="33"/>
  <c r="S38" i="33"/>
  <c r="AC39" i="33"/>
  <c r="W39" i="33"/>
  <c r="W12" i="35"/>
  <c r="AC12" i="35"/>
  <c r="AA27" i="35"/>
  <c r="S27" i="35"/>
  <c r="U12" i="36"/>
  <c r="AA23" i="36"/>
  <c r="S23" i="36"/>
  <c r="H11" i="36"/>
  <c r="U11" i="36" s="1"/>
  <c r="F11" i="36"/>
  <c r="U25" i="37"/>
  <c r="AB25" i="37"/>
  <c r="AB9" i="39"/>
  <c r="U9" i="39"/>
  <c r="AA40" i="39"/>
  <c r="S40" i="39"/>
  <c r="U39" i="40"/>
  <c r="AB39" i="40"/>
  <c r="AC12" i="40"/>
  <c r="W12" i="40"/>
  <c r="H38" i="40"/>
  <c r="F38" i="40"/>
  <c r="BA579" i="3"/>
  <c r="AZ579" i="3" s="1"/>
  <c r="BA578" i="3"/>
  <c r="AZ578" i="3" s="1"/>
  <c r="BL575" i="3"/>
  <c r="BL574" i="3"/>
  <c r="BA571" i="3"/>
  <c r="AZ571" i="3" s="1"/>
  <c r="BA570" i="3"/>
  <c r="BA568" i="3"/>
  <c r="BA567" i="3"/>
  <c r="G14" i="3"/>
  <c r="H5" i="3"/>
  <c r="BA16" i="3"/>
  <c r="BA15" i="3"/>
  <c r="BA14" i="3"/>
  <c r="BI5" i="3"/>
  <c r="BE5" i="3"/>
  <c r="BL16" i="3"/>
  <c r="BN5" i="3"/>
  <c r="G29" i="6" s="1"/>
  <c r="BM5" i="3"/>
  <c r="F29" i="6" s="1"/>
  <c r="BL14" i="3"/>
  <c r="BT5" i="3"/>
  <c r="BS5" i="3"/>
  <c r="D78" i="9"/>
  <c r="B41" i="1"/>
  <c r="BR5" i="3"/>
  <c r="BH5" i="3"/>
  <c r="AZ392" i="3"/>
  <c r="W25" i="33"/>
  <c r="W17" i="33"/>
  <c r="W17" i="21"/>
  <c r="AB25" i="21"/>
  <c r="AB28" i="33"/>
  <c r="U14" i="34"/>
  <c r="W19" i="34"/>
  <c r="AB43" i="39"/>
  <c r="BA13" i="3"/>
  <c r="AZ13" i="3" s="1"/>
  <c r="AA23" i="21"/>
  <c r="S23" i="21"/>
  <c r="S19" i="33"/>
  <c r="AA19" i="33"/>
  <c r="AA36" i="33"/>
  <c r="S36" i="33"/>
  <c r="AB29" i="33"/>
  <c r="S23" i="37"/>
  <c r="AA23" i="37"/>
  <c r="AB27" i="40"/>
  <c r="U35" i="40"/>
  <c r="D93" i="9"/>
  <c r="AC33" i="34"/>
  <c r="W33" i="34"/>
  <c r="AC27" i="40"/>
  <c r="W27" i="40"/>
  <c r="BO5" i="3"/>
  <c r="S11" i="39"/>
  <c r="AA11" i="39"/>
  <c r="S42" i="21"/>
  <c r="W40" i="37"/>
  <c r="U35" i="34"/>
  <c r="AB35" i="34"/>
  <c r="AA14" i="36"/>
  <c r="S14" i="36"/>
  <c r="AZ506" i="3"/>
  <c r="AC47" i="34"/>
  <c r="W47" i="34"/>
  <c r="J11" i="36"/>
  <c r="AC11" i="36" s="1"/>
  <c r="AB27" i="21"/>
  <c r="U27" i="21"/>
  <c r="U46" i="21"/>
  <c r="AB46" i="21"/>
  <c r="AC44" i="21"/>
  <c r="W44" i="21"/>
  <c r="U42" i="21"/>
  <c r="AB42" i="21"/>
  <c r="AB37" i="33"/>
  <c r="U37" i="33"/>
  <c r="S41" i="39"/>
  <c r="AA41" i="39"/>
  <c r="AC23" i="36"/>
  <c r="W23" i="36"/>
  <c r="AA30" i="37"/>
  <c r="S30" i="37"/>
  <c r="AC8" i="39"/>
  <c r="W8" i="39"/>
  <c r="AA44" i="39"/>
  <c r="S44" i="39"/>
  <c r="H13" i="39"/>
  <c r="F13" i="39"/>
  <c r="H45" i="39"/>
  <c r="F45" i="39"/>
  <c r="J45" i="39"/>
  <c r="W45" i="39" s="1"/>
  <c r="W38" i="34"/>
  <c r="AC38" i="34"/>
  <c r="AB31" i="35"/>
  <c r="U31" i="35"/>
  <c r="BA583" i="3"/>
  <c r="AZ583" i="3" s="1"/>
  <c r="BL582" i="3"/>
  <c r="AZ582" i="3" s="1"/>
  <c r="BA580" i="3"/>
  <c r="AZ580" i="3" s="1"/>
  <c r="BL576" i="3"/>
  <c r="AZ576" i="3" s="1"/>
  <c r="AZ574" i="3"/>
  <c r="BL570" i="3"/>
  <c r="BL567" i="3"/>
  <c r="AZ567" i="3" s="1"/>
  <c r="W11" i="39"/>
  <c r="AC11" i="39"/>
  <c r="AB21" i="40"/>
  <c r="U21" i="40"/>
  <c r="S26" i="33"/>
  <c r="S26" i="21"/>
  <c r="AA26" i="21"/>
  <c r="BA587" i="3"/>
  <c r="BA585" i="3"/>
  <c r="AC38" i="33"/>
  <c r="W38" i="33"/>
  <c r="AC23" i="39"/>
  <c r="W23" i="39"/>
  <c r="H13" i="40"/>
  <c r="F13" i="40"/>
  <c r="BL584" i="3"/>
  <c r="BA584" i="3"/>
  <c r="BA575" i="3"/>
  <c r="BL568" i="3"/>
  <c r="W23" i="37"/>
  <c r="U36" i="33"/>
  <c r="AB36" i="33"/>
  <c r="AC19" i="21"/>
  <c r="W14" i="33"/>
  <c r="S8" i="39"/>
  <c r="U41" i="39"/>
  <c r="D120" i="9"/>
  <c r="AC15" i="21"/>
  <c r="W15" i="21"/>
  <c r="AB14" i="33"/>
  <c r="AA33" i="34"/>
  <c r="W30" i="37"/>
  <c r="AA12" i="39"/>
  <c r="AC17" i="40"/>
  <c r="W38" i="40"/>
  <c r="W12" i="39"/>
  <c r="S39" i="39"/>
  <c r="AA39" i="39"/>
  <c r="S40" i="34"/>
  <c r="AA40" i="34"/>
  <c r="AZ366" i="3"/>
  <c r="AZ310" i="3"/>
  <c r="AZ389" i="3"/>
  <c r="AZ378" i="3"/>
  <c r="AZ341" i="3"/>
  <c r="W15" i="37"/>
  <c r="AC15" i="37"/>
  <c r="AA15" i="37"/>
  <c r="S15" i="37"/>
  <c r="W12" i="37"/>
  <c r="AC12" i="37"/>
  <c r="F36" i="35"/>
  <c r="AC31" i="33"/>
  <c r="AC43" i="33"/>
  <c r="W43" i="33"/>
  <c r="S26" i="36"/>
  <c r="AA26" i="36"/>
  <c r="AA42" i="33"/>
  <c r="S42" i="33"/>
  <c r="BL573" i="3"/>
  <c r="AZ573" i="3" s="1"/>
  <c r="AZ501" i="3"/>
  <c r="AZ537" i="3"/>
  <c r="AZ565" i="3"/>
  <c r="AZ542" i="3"/>
  <c r="S15" i="21"/>
  <c r="AA15" i="21"/>
  <c r="J13" i="39"/>
  <c r="AB29" i="34"/>
  <c r="U29" i="34"/>
  <c r="F13" i="36"/>
  <c r="AB32" i="36"/>
  <c r="U32" i="36"/>
  <c r="AA28" i="21"/>
  <c r="S28" i="21"/>
  <c r="AC11" i="40"/>
  <c r="W11" i="40"/>
  <c r="U39" i="39"/>
  <c r="AB39" i="39"/>
  <c r="AC44" i="39"/>
  <c r="W44" i="39"/>
  <c r="S17" i="37"/>
  <c r="AZ345" i="3"/>
  <c r="AZ334" i="3"/>
  <c r="AZ372" i="3"/>
  <c r="AZ347" i="3"/>
  <c r="AZ337" i="3"/>
  <c r="AZ376" i="3"/>
  <c r="AZ309" i="3"/>
  <c r="AZ515" i="3"/>
  <c r="AZ523" i="3"/>
  <c r="AZ547" i="3"/>
  <c r="BL569" i="3"/>
  <c r="AZ569" i="3" s="1"/>
  <c r="AZ518" i="3"/>
  <c r="J46" i="21"/>
  <c r="J28" i="21"/>
  <c r="AC33" i="33"/>
  <c r="W33" i="33"/>
  <c r="F28" i="34"/>
  <c r="J28" i="34"/>
  <c r="J12" i="33"/>
  <c r="H12" i="33"/>
  <c r="U12" i="33" s="1"/>
  <c r="J24" i="36"/>
  <c r="H24" i="36"/>
  <c r="BA562" i="3"/>
  <c r="AZ562" i="3" s="1"/>
  <c r="BA556" i="3"/>
  <c r="AZ556" i="3" s="1"/>
  <c r="BA552" i="3"/>
  <c r="BD5" i="3"/>
  <c r="AZ391" i="3"/>
  <c r="AZ318" i="3"/>
  <c r="AZ364" i="3"/>
  <c r="AZ329" i="3"/>
  <c r="AZ306" i="3"/>
  <c r="BL577" i="3"/>
  <c r="AZ577" i="3" s="1"/>
  <c r="AZ513" i="3"/>
  <c r="AZ502" i="3"/>
  <c r="W11" i="35"/>
  <c r="AC11" i="35"/>
  <c r="H31" i="21"/>
  <c r="J31" i="21"/>
  <c r="AC28" i="36"/>
  <c r="W28" i="36"/>
  <c r="H34" i="36"/>
  <c r="J34" i="36"/>
  <c r="W34" i="36" s="1"/>
  <c r="J39" i="37"/>
  <c r="H39" i="37"/>
  <c r="AB9" i="40"/>
  <c r="U9" i="40"/>
  <c r="BL552" i="3"/>
  <c r="BL546" i="3"/>
  <c r="AZ546" i="3" s="1"/>
  <c r="BA544" i="3"/>
  <c r="AZ544" i="3" s="1"/>
  <c r="BA540" i="3"/>
  <c r="AZ540" i="3" s="1"/>
  <c r="BL530" i="3"/>
  <c r="AZ530" i="3" s="1"/>
  <c r="BA524" i="3"/>
  <c r="AZ524" i="3" s="1"/>
  <c r="BA516" i="3"/>
  <c r="AZ516" i="3" s="1"/>
  <c r="BL512" i="3"/>
  <c r="AZ512" i="3" s="1"/>
  <c r="BL510" i="3"/>
  <c r="AZ510" i="3" s="1"/>
  <c r="BL494" i="3"/>
  <c r="AZ494" i="3" s="1"/>
  <c r="BL585" i="3"/>
  <c r="BL550" i="3"/>
  <c r="BL443" i="3"/>
  <c r="AZ443" i="3" s="1"/>
  <c r="AZ451" i="3"/>
  <c r="BA456" i="3"/>
  <c r="BA473" i="3"/>
  <c r="BL487" i="3"/>
  <c r="AZ487" i="3" s="1"/>
  <c r="BL447" i="3"/>
  <c r="G585" i="3"/>
  <c r="BL587" i="3"/>
  <c r="BL586" i="3"/>
  <c r="AZ586" i="3" s="1"/>
  <c r="J9" i="34"/>
  <c r="H12" i="34"/>
  <c r="J9" i="36"/>
  <c r="G582" i="3"/>
  <c r="G574" i="3"/>
  <c r="BA551" i="3"/>
  <c r="AZ551" i="3" s="1"/>
  <c r="BA550" i="3"/>
  <c r="AZ550" i="3" s="1"/>
  <c r="BL548" i="3"/>
  <c r="AZ548" i="3" s="1"/>
  <c r="AZ402" i="3"/>
  <c r="AZ406" i="3"/>
  <c r="AZ413" i="3"/>
  <c r="BL308" i="3"/>
  <c r="AZ308" i="3" s="1"/>
  <c r="AB21" i="37"/>
  <c r="U21" i="37"/>
  <c r="C67" i="71"/>
  <c r="T68" i="71"/>
  <c r="O68" i="71"/>
  <c r="T76" i="71"/>
  <c r="D76" i="71"/>
  <c r="C75" i="71"/>
  <c r="Y26" i="71"/>
  <c r="Z26" i="71" s="1"/>
  <c r="Y25" i="71"/>
  <c r="Z25" i="71" s="1"/>
  <c r="AA3" i="71"/>
  <c r="G399" i="3"/>
  <c r="BL400" i="3"/>
  <c r="AZ400" i="3" s="1"/>
  <c r="BL408" i="3"/>
  <c r="BL411" i="3"/>
  <c r="BL413"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G251" i="3"/>
  <c r="BA253" i="3"/>
  <c r="BA256" i="3"/>
  <c r="BL256" i="3"/>
  <c r="BA258" i="3"/>
  <c r="BL267" i="3"/>
  <c r="G269" i="3"/>
  <c r="BL270" i="3"/>
  <c r="AZ270" i="3" s="1"/>
  <c r="BA272" i="3"/>
  <c r="AZ272" i="3" s="1"/>
  <c r="BL275" i="3"/>
  <c r="AZ275" i="3" s="1"/>
  <c r="G277" i="3"/>
  <c r="G280" i="3"/>
  <c r="G282" i="3"/>
  <c r="BL285" i="3"/>
  <c r="BL293" i="3"/>
  <c r="BL294" i="3"/>
  <c r="BA297" i="3"/>
  <c r="BL297" i="3"/>
  <c r="BA122" i="3"/>
  <c r="AZ122" i="3" s="1"/>
  <c r="BL125" i="3"/>
  <c r="AZ125" i="3" s="1"/>
  <c r="BL126" i="3"/>
  <c r="G130" i="3"/>
  <c r="G134" i="3"/>
  <c r="G135" i="3"/>
  <c r="BA137" i="3"/>
  <c r="G144" i="3"/>
  <c r="BA145" i="3"/>
  <c r="G155" i="3"/>
  <c r="BA156" i="3"/>
  <c r="AZ156" i="3" s="1"/>
  <c r="BL158" i="3"/>
  <c r="BL165" i="3"/>
  <c r="G178" i="3"/>
  <c r="BL178" i="3"/>
  <c r="AZ178" i="3" s="1"/>
  <c r="BA180" i="3"/>
  <c r="AZ180" i="3" s="1"/>
  <c r="BL182" i="3"/>
  <c r="G183" i="3"/>
  <c r="BA184" i="3"/>
  <c r="AZ184" i="3" s="1"/>
  <c r="BL187" i="3"/>
  <c r="AZ187" i="3" s="1"/>
  <c r="G188" i="3"/>
  <c r="BL189" i="3"/>
  <c r="AZ189" i="3" s="1"/>
  <c r="BL190" i="3"/>
  <c r="G191" i="3"/>
  <c r="BA192" i="3"/>
  <c r="AZ192" i="3" s="1"/>
  <c r="AB34" i="71"/>
  <c r="AB32" i="71"/>
  <c r="AA38" i="71"/>
  <c r="AA28" i="71"/>
  <c r="AA35" i="71"/>
  <c r="C47" i="71"/>
  <c r="D47" i="71" s="1"/>
  <c r="D46" i="71"/>
  <c r="D50" i="71"/>
  <c r="C51" i="71"/>
  <c r="G558" i="3"/>
  <c r="BL398" i="3"/>
  <c r="G402" i="3"/>
  <c r="BL403" i="3"/>
  <c r="AZ403" i="3" s="1"/>
  <c r="G406" i="3"/>
  <c r="BA408" i="3"/>
  <c r="AZ408" i="3" s="1"/>
  <c r="BA409" i="3"/>
  <c r="BA411" i="3"/>
  <c r="AZ411" i="3" s="1"/>
  <c r="BL414" i="3"/>
  <c r="BL415" i="3"/>
  <c r="BA417" i="3"/>
  <c r="AZ417" i="3" s="1"/>
  <c r="BL421" i="3"/>
  <c r="BL422" i="3"/>
  <c r="AZ422" i="3" s="1"/>
  <c r="BL425" i="3"/>
  <c r="BL426" i="3"/>
  <c r="BA428" i="3"/>
  <c r="AZ428" i="3" s="1"/>
  <c r="BA429" i="3"/>
  <c r="AZ429" i="3" s="1"/>
  <c r="BA430" i="3"/>
  <c r="AZ430" i="3" s="1"/>
  <c r="BA432" i="3"/>
  <c r="AZ432" i="3" s="1"/>
  <c r="BA434" i="3"/>
  <c r="AZ434" i="3" s="1"/>
  <c r="BA436" i="3"/>
  <c r="AZ436" i="3" s="1"/>
  <c r="BA438" i="3"/>
  <c r="BA446" i="3"/>
  <c r="BA450" i="3"/>
  <c r="AZ450" i="3" s="1"/>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A254" i="3"/>
  <c r="AZ254" i="3" s="1"/>
  <c r="BL259" i="3"/>
  <c r="BA262" i="3"/>
  <c r="AZ262" i="3" s="1"/>
  <c r="BL265" i="3"/>
  <c r="AZ265" i="3" s="1"/>
  <c r="BL273" i="3"/>
  <c r="AZ273" i="3" s="1"/>
  <c r="BA277" i="3"/>
  <c r="BL277" i="3"/>
  <c r="BA282" i="3"/>
  <c r="AZ282" i="3" s="1"/>
  <c r="BL282" i="3"/>
  <c r="BA284" i="3"/>
  <c r="BA149" i="3"/>
  <c r="AZ149" i="3" s="1"/>
  <c r="BL15" i="3"/>
  <c r="BA398" i="3"/>
  <c r="BA399" i="3"/>
  <c r="BL401" i="3"/>
  <c r="AZ401" i="3" s="1"/>
  <c r="BL404" i="3"/>
  <c r="AZ404" i="3" s="1"/>
  <c r="BL405" i="3"/>
  <c r="AZ405" i="3" s="1"/>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49" i="3"/>
  <c r="BL249" i="3"/>
  <c r="BA252" i="3"/>
  <c r="AZ252" i="3" s="1"/>
  <c r="G255" i="3"/>
  <c r="BL255" i="3"/>
  <c r="G257" i="3"/>
  <c r="BL257" i="3"/>
  <c r="AZ257" i="3" s="1"/>
  <c r="BL258" i="3"/>
  <c r="AZ258" i="3" s="1"/>
  <c r="G259" i="3"/>
  <c r="BL260" i="3"/>
  <c r="G262" i="3"/>
  <c r="BL263" i="3"/>
  <c r="G264" i="3"/>
  <c r="BA268" i="3"/>
  <c r="BL287" i="3"/>
  <c r="BL290" i="3"/>
  <c r="AZ290" i="3" s="1"/>
  <c r="BA293" i="3"/>
  <c r="BL298" i="3"/>
  <c r="BL299" i="3"/>
  <c r="G300" i="3"/>
  <c r="BA302" i="3"/>
  <c r="BA117" i="3"/>
  <c r="BA133" i="3"/>
  <c r="G138" i="3"/>
  <c r="BA148" i="3"/>
  <c r="AZ148" i="3" s="1"/>
  <c r="G152" i="3"/>
  <c r="BA153" i="3"/>
  <c r="BA160" i="3"/>
  <c r="AZ160" i="3" s="1"/>
  <c r="G164" i="3"/>
  <c r="C44" i="71"/>
  <c r="D43" i="71"/>
  <c r="BL25" i="3"/>
  <c r="AZ25" i="3" s="1"/>
  <c r="BL27" i="3"/>
  <c r="AZ27" i="3" s="1"/>
  <c r="BA28" i="3"/>
  <c r="AZ28" i="3" s="1"/>
  <c r="BL30" i="3"/>
  <c r="AZ30" i="3" s="1"/>
  <c r="BL31" i="3"/>
  <c r="AZ31" i="3" s="1"/>
  <c r="G47" i="3"/>
  <c r="BL48" i="3"/>
  <c r="G67" i="3"/>
  <c r="BL68" i="3"/>
  <c r="BA69" i="3"/>
  <c r="BA91" i="3"/>
  <c r="AZ91" i="3" s="1"/>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T64" i="71" s="1"/>
  <c r="D63" i="71"/>
  <c r="C23" i="71"/>
  <c r="B22" i="71"/>
  <c r="B21" i="71" s="1"/>
  <c r="B20" i="71" s="1"/>
  <c r="BL248" i="3"/>
  <c r="AZ248" i="3" s="1"/>
  <c r="G250" i="3"/>
  <c r="BL250" i="3"/>
  <c r="AZ250" i="3" s="1"/>
  <c r="G252" i="3"/>
  <c r="G254" i="3"/>
  <c r="BA259" i="3"/>
  <c r="BL261" i="3"/>
  <c r="BA263" i="3"/>
  <c r="BA267" i="3"/>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AZ194" i="3" s="1"/>
  <c r="BA196" i="3"/>
  <c r="AZ196" i="3" s="1"/>
  <c r="BA202" i="3"/>
  <c r="BL207" i="3"/>
  <c r="AZ207" i="3" s="1"/>
  <c r="BL18" i="3"/>
  <c r="BL19" i="3"/>
  <c r="BA20" i="3"/>
  <c r="AZ20" i="3" s="1"/>
  <c r="G27" i="3"/>
  <c r="BA27" i="3"/>
  <c r="BA33" i="3"/>
  <c r="BA36" i="3"/>
  <c r="BL38" i="3"/>
  <c r="BA39" i="3"/>
  <c r="BA41" i="3"/>
  <c r="BA42" i="3"/>
  <c r="BL55" i="3"/>
  <c r="AZ55" i="3" s="1"/>
  <c r="G58" i="3"/>
  <c r="BA59" i="3"/>
  <c r="BL61" i="3"/>
  <c r="G64" i="3"/>
  <c r="BA64" i="3"/>
  <c r="AZ64" i="3" s="1"/>
  <c r="BL74" i="3"/>
  <c r="AZ74" i="3" s="1"/>
  <c r="G75" i="3"/>
  <c r="BL75" i="3"/>
  <c r="AZ75" i="3" s="1"/>
  <c r="BL83" i="3"/>
  <c r="BA87" i="3"/>
  <c r="AZ87" i="3" s="1"/>
  <c r="BA98" i="3"/>
  <c r="BA100" i="3"/>
  <c r="AZ100" i="3" s="1"/>
  <c r="C36" i="71"/>
  <c r="D35" i="71"/>
  <c r="Y35" i="71"/>
  <c r="Z35" i="71" s="1"/>
  <c r="S80" i="71"/>
  <c r="B79" i="71"/>
  <c r="B78" i="71" s="1"/>
  <c r="BL284" i="3"/>
  <c r="G285" i="3"/>
  <c r="BL292" i="3"/>
  <c r="BA294" i="3"/>
  <c r="BL295" i="3"/>
  <c r="BA298" i="3"/>
  <c r="BL301" i="3"/>
  <c r="AZ301" i="3" s="1"/>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AZ185" i="3" s="1"/>
  <c r="BL191" i="3"/>
  <c r="AZ191" i="3" s="1"/>
  <c r="G192" i="3"/>
  <c r="BA193" i="3"/>
  <c r="BL197" i="3"/>
  <c r="G198" i="3"/>
  <c r="BL199" i="3"/>
  <c r="AZ199" i="3" s="1"/>
  <c r="BA200" i="3"/>
  <c r="AZ200" i="3" s="1"/>
  <c r="G205" i="3"/>
  <c r="BL206" i="3"/>
  <c r="BA19" i="3"/>
  <c r="BA30" i="3"/>
  <c r="BA38" i="3"/>
  <c r="BL40" i="3"/>
  <c r="BL41" i="3"/>
  <c r="G51" i="3"/>
  <c r="BA52" i="3"/>
  <c r="AZ52" i="3" s="1"/>
  <c r="BL54" i="3"/>
  <c r="AZ54" i="3" s="1"/>
  <c r="BL69" i="3"/>
  <c r="G70" i="3"/>
  <c r="BL70" i="3"/>
  <c r="AZ70" i="3" s="1"/>
  <c r="BL71" i="3"/>
  <c r="BL72" i="3"/>
  <c r="AZ72" i="3" s="1"/>
  <c r="G74" i="3"/>
  <c r="BL79" i="3"/>
  <c r="BL81" i="3"/>
  <c r="BA82" i="3"/>
  <c r="AZ82" i="3" s="1"/>
  <c r="BL85" i="3"/>
  <c r="BA86" i="3"/>
  <c r="AZ86" i="3" s="1"/>
  <c r="BA97" i="3"/>
  <c r="AZ97" i="3" s="1"/>
  <c r="BA109" i="3"/>
  <c r="F40" i="69"/>
  <c r="C40" i="69"/>
  <c r="N66" i="71"/>
  <c r="AB27" i="71"/>
  <c r="E39" i="71"/>
  <c r="E40" i="71" s="1"/>
  <c r="U40" i="71" s="1"/>
  <c r="Y37" i="71"/>
  <c r="Z37" i="71" s="1"/>
  <c r="F66" i="71"/>
  <c r="Q67" i="71"/>
  <c r="X25" i="71"/>
  <c r="V24" i="71"/>
  <c r="E23" i="71"/>
  <c r="E22" i="71" s="1"/>
  <c r="E21" i="71" s="1"/>
  <c r="E20" i="71" s="1"/>
  <c r="BL45" i="3"/>
  <c r="BA48" i="3"/>
  <c r="BA49" i="3"/>
  <c r="BA51" i="3"/>
  <c r="G55" i="3"/>
  <c r="BL56" i="3"/>
  <c r="BA58" i="3"/>
  <c r="BL59" i="3"/>
  <c r="BL60" i="3"/>
  <c r="BA61" i="3"/>
  <c r="BA68" i="3"/>
  <c r="BA73" i="3"/>
  <c r="BA80" i="3"/>
  <c r="BL84" i="3"/>
  <c r="BA89" i="3"/>
  <c r="G103" i="3"/>
  <c r="BA103" i="3"/>
  <c r="AZ103" i="3" s="1"/>
  <c r="BA104" i="3"/>
  <c r="BA106" i="3"/>
  <c r="AZ106" i="3" s="1"/>
  <c r="BL108" i="3"/>
  <c r="AZ108" i="3" s="1"/>
  <c r="BL111" i="3"/>
  <c r="AA27" i="71"/>
  <c r="S28" i="71"/>
  <c r="C83" i="71"/>
  <c r="C79" i="71"/>
  <c r="C71" i="71"/>
  <c r="C39" i="71"/>
  <c r="Y28" i="71"/>
  <c r="Z28" i="71" s="1"/>
  <c r="Y30" i="71"/>
  <c r="Z30" i="71" s="1"/>
  <c r="X28" i="71"/>
  <c r="X32" i="71"/>
  <c r="AB38" i="71"/>
  <c r="F75" i="71"/>
  <c r="F74" i="71" s="1"/>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BA63" i="3"/>
  <c r="AZ63" i="3" s="1"/>
  <c r="BA66" i="3"/>
  <c r="AZ66" i="3" s="1"/>
  <c r="BA71" i="3"/>
  <c r="G76" i="3"/>
  <c r="BL77" i="3"/>
  <c r="AZ77" i="3" s="1"/>
  <c r="BA79" i="3"/>
  <c r="G82" i="3"/>
  <c r="G83" i="3"/>
  <c r="BA84" i="3"/>
  <c r="AZ84" i="3" s="1"/>
  <c r="BL88" i="3"/>
  <c r="AZ88" i="3" s="1"/>
  <c r="G90" i="3"/>
  <c r="BL90" i="3"/>
  <c r="AZ90" i="3" s="1"/>
  <c r="BL92" i="3"/>
  <c r="AZ92" i="3" s="1"/>
  <c r="G101" i="3"/>
  <c r="BA101" i="3"/>
  <c r="AZ101" i="3" s="1"/>
  <c r="G108" i="3"/>
  <c r="G109" i="3"/>
  <c r="BL112" i="3"/>
  <c r="B88" i="43"/>
  <c r="F35" i="71"/>
  <c r="F36" i="71" s="1"/>
  <c r="V36" i="71" s="1"/>
  <c r="AA34" i="71"/>
  <c r="BA102" i="3"/>
  <c r="AZ102" i="3" s="1"/>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C13" i="36"/>
  <c r="W13" i="36"/>
  <c r="AB31" i="33"/>
  <c r="U31" i="33"/>
  <c r="S15" i="34"/>
  <c r="AB33" i="35"/>
  <c r="U33" i="35"/>
  <c r="AB43" i="33"/>
  <c r="U43" i="33"/>
  <c r="AZ545" i="3"/>
  <c r="AZ555" i="3"/>
  <c r="AZ581" i="3"/>
  <c r="AB33" i="37"/>
  <c r="U33" i="37"/>
  <c r="AC19" i="37"/>
  <c r="W23" i="33"/>
  <c r="AB13" i="34"/>
  <c r="AZ495"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8" i="3"/>
  <c r="AZ446" i="3"/>
  <c r="G28" i="6"/>
  <c r="G30" i="6" s="1"/>
  <c r="G31" i="6" s="1"/>
  <c r="U26" i="21"/>
  <c r="W36" i="39"/>
  <c r="U23" i="40"/>
  <c r="AA39" i="37"/>
  <c r="AC16" i="36"/>
  <c r="AB12" i="33"/>
  <c r="C27" i="39"/>
  <c r="U40" i="40"/>
  <c r="AC9" i="40"/>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BA285" i="3"/>
  <c r="AZ285" i="3" s="1"/>
  <c r="BA287"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BL78" i="3"/>
  <c r="AZ78" i="3" s="1"/>
  <c r="BA83" i="3"/>
  <c r="AZ83" i="3" s="1"/>
  <c r="G91" i="3"/>
  <c r="BL95" i="3"/>
  <c r="AZ95" i="3" s="1"/>
  <c r="BL98" i="3"/>
  <c r="AZ98" i="3" s="1"/>
  <c r="BL109" i="3"/>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3" i="6"/>
  <c r="P11" i="1"/>
  <c r="D9" i="11"/>
  <c r="C9" i="11" s="1"/>
  <c r="D19" i="12"/>
  <c r="C19" i="12" s="1"/>
  <c r="O9" i="1"/>
  <c r="P9" i="1" s="1"/>
  <c r="O12" i="1"/>
  <c r="P12" i="1" s="1"/>
  <c r="O8" i="1"/>
  <c r="P8" i="1" s="1"/>
  <c r="H73" i="43"/>
  <c r="H90" i="43"/>
  <c r="O23"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F36" i="15"/>
  <c r="F43" i="67"/>
  <c r="F16" i="67"/>
  <c r="F42" i="15"/>
  <c r="F26" i="67"/>
  <c r="F9" i="67"/>
  <c r="M8" i="15"/>
  <c r="F9" i="15"/>
  <c r="L48" i="67"/>
  <c r="F42" i="67"/>
  <c r="M28" i="67"/>
  <c r="M6" i="15"/>
  <c r="F40" i="67"/>
  <c r="M29" i="15"/>
  <c r="M23" i="15"/>
  <c r="F36" i="67"/>
  <c r="F7" i="67"/>
  <c r="F16" i="15"/>
  <c r="F7" i="15"/>
  <c r="M9" i="67"/>
  <c r="L47" i="67"/>
  <c r="J15" i="67"/>
  <c r="D9" i="68"/>
  <c r="F40" i="15"/>
  <c r="M28" i="15"/>
  <c r="C36" i="68"/>
  <c r="M8" i="67"/>
  <c r="F26" i="15"/>
  <c r="F43" i="15"/>
  <c r="F13" i="15"/>
  <c r="D5" i="73"/>
  <c r="F6" i="67"/>
  <c r="F8" i="15"/>
  <c r="C76" i="67"/>
  <c r="L47" i="15"/>
  <c r="M26" i="15"/>
  <c r="J15" i="15"/>
  <c r="M29" i="67"/>
  <c r="F13" i="67"/>
  <c r="F8" i="67"/>
  <c r="F43" i="83"/>
  <c r="D3" i="73"/>
  <c r="M24" i="67"/>
  <c r="F38" i="67"/>
  <c r="F37" i="67"/>
  <c r="F7" i="83"/>
  <c r="M29" i="83"/>
  <c r="L48" i="15"/>
  <c r="C76" i="15"/>
  <c r="M24" i="15"/>
  <c r="F6" i="15"/>
  <c r="D4" i="73"/>
  <c r="M22" i="15"/>
  <c r="F38" i="15"/>
  <c r="M23" i="67"/>
  <c r="F37" i="15"/>
  <c r="M26" i="67"/>
  <c r="D7" i="73"/>
  <c r="M22" i="67"/>
  <c r="M6" i="67"/>
  <c r="M9" i="15"/>
  <c r="D6" i="73"/>
  <c r="AZ60" i="3" l="1"/>
  <c r="AZ19" i="3"/>
  <c r="AZ38" i="3"/>
  <c r="AZ552" i="3"/>
  <c r="E15" i="6"/>
  <c r="E64" i="39" s="1"/>
  <c r="C24" i="12"/>
  <c r="C77" i="82"/>
  <c r="C74" i="82" s="1"/>
  <c r="P67" i="71"/>
  <c r="E66" i="71"/>
  <c r="H112" i="34"/>
  <c r="I112" i="34" s="1"/>
  <c r="J112" i="34" s="1"/>
  <c r="K112" i="34" s="1"/>
  <c r="L112" i="34" s="1"/>
  <c r="M112" i="34" s="1"/>
  <c r="H37" i="34"/>
  <c r="J37" i="34"/>
  <c r="AA30" i="34"/>
  <c r="S30" i="34"/>
  <c r="AB14" i="39"/>
  <c r="U14" i="39"/>
  <c r="AZ33" i="3"/>
  <c r="AZ292" i="3"/>
  <c r="AZ129" i="3"/>
  <c r="AZ281" i="3"/>
  <c r="AZ197" i="3"/>
  <c r="AZ294" i="3"/>
  <c r="AZ259" i="3"/>
  <c r="AZ249" i="3"/>
  <c r="AZ453" i="3"/>
  <c r="F53" i="9"/>
  <c r="F28" i="83"/>
  <c r="C28" i="83" s="1"/>
  <c r="F53" i="82"/>
  <c r="F48" i="82"/>
  <c r="O52" i="82" s="1"/>
  <c r="M18" i="83"/>
  <c r="D68" i="82"/>
  <c r="F32" i="83"/>
  <c r="F60" i="83" s="1"/>
  <c r="F54" i="82"/>
  <c r="F52" i="82"/>
  <c r="T60" i="71"/>
  <c r="D60" i="71"/>
  <c r="S31" i="33"/>
  <c r="AA31" i="33"/>
  <c r="U32" i="40"/>
  <c r="AB32" i="40"/>
  <c r="AZ557" i="3"/>
  <c r="AA24" i="35"/>
  <c r="S24" i="35"/>
  <c r="AZ521" i="3"/>
  <c r="AC26" i="33"/>
  <c r="W26" i="33"/>
  <c r="AC25" i="37"/>
  <c r="W25" i="37"/>
  <c r="AC39" i="40"/>
  <c r="W39" i="40"/>
  <c r="W46" i="34"/>
  <c r="AC46" i="34"/>
  <c r="W27" i="21"/>
  <c r="AC27" i="21"/>
  <c r="W24" i="35"/>
  <c r="AC24" i="35"/>
  <c r="AA32" i="40"/>
  <c r="S32" i="40"/>
  <c r="AA40" i="37"/>
  <c r="S40" i="37"/>
  <c r="W28" i="37"/>
  <c r="AC28" i="37"/>
  <c r="AZ492" i="3"/>
  <c r="AZ348" i="3"/>
  <c r="AZ317" i="3"/>
  <c r="W36" i="35"/>
  <c r="AZ79" i="3"/>
  <c r="AZ190" i="3"/>
  <c r="AZ298" i="3"/>
  <c r="AZ126" i="3"/>
  <c r="AZ48" i="3"/>
  <c r="AZ226" i="3"/>
  <c r="AZ454" i="3"/>
  <c r="AZ441" i="3"/>
  <c r="AZ435" i="3"/>
  <c r="AZ425" i="3"/>
  <c r="AZ399" i="3"/>
  <c r="AZ409" i="3"/>
  <c r="AZ473" i="3"/>
  <c r="AZ575" i="3"/>
  <c r="AZ14" i="3"/>
  <c r="D31" i="71"/>
  <c r="C32" i="71"/>
  <c r="AZ62" i="3"/>
  <c r="AZ173" i="3"/>
  <c r="AZ247" i="3"/>
  <c r="AC12" i="36"/>
  <c r="W12" i="36"/>
  <c r="AZ541" i="3"/>
  <c r="AA37" i="34"/>
  <c r="S37" i="34"/>
  <c r="W12" i="34"/>
  <c r="AC12" i="34"/>
  <c r="AA27" i="21"/>
  <c r="S27" i="21"/>
  <c r="AZ529" i="3"/>
  <c r="AZ538" i="3"/>
  <c r="AC32" i="40"/>
  <c r="W32" i="40"/>
  <c r="U40" i="37"/>
  <c r="AB40" i="37"/>
  <c r="S41" i="34"/>
  <c r="W41" i="34"/>
  <c r="AB23" i="34"/>
  <c r="M7" i="83"/>
  <c r="F50" i="83"/>
  <c r="F71" i="83"/>
  <c r="M7" i="1"/>
  <c r="O6" i="1"/>
  <c r="M11" i="83"/>
  <c r="J10" i="83" s="1"/>
  <c r="F11" i="83"/>
  <c r="E12" i="6"/>
  <c r="E57" i="40" s="1"/>
  <c r="E11" i="6"/>
  <c r="E60" i="39" s="1"/>
  <c r="Q16" i="1"/>
  <c r="F27" i="69" s="1"/>
  <c r="C47" i="69" s="1"/>
  <c r="D45" i="69" s="1"/>
  <c r="E10" i="6"/>
  <c r="E14" i="6"/>
  <c r="E63" i="39" s="1"/>
  <c r="H16" i="1"/>
  <c r="AB41" i="34"/>
  <c r="AB43" i="34"/>
  <c r="AC43" i="34"/>
  <c r="W43" i="34"/>
  <c r="S43" i="34"/>
  <c r="AB25" i="34"/>
  <c r="U25" i="34"/>
  <c r="AA25" i="34"/>
  <c r="W25" i="34"/>
  <c r="S23" i="34"/>
  <c r="AA17" i="34"/>
  <c r="S17" i="34"/>
  <c r="W17" i="34"/>
  <c r="AC17" i="34"/>
  <c r="W15" i="34"/>
  <c r="AC15" i="34"/>
  <c r="AB15" i="34"/>
  <c r="U15" i="34"/>
  <c r="M7" i="15"/>
  <c r="J6" i="15" s="1"/>
  <c r="F50" i="15"/>
  <c r="F71" i="15"/>
  <c r="F64" i="15"/>
  <c r="F68" i="15"/>
  <c r="J57" i="67"/>
  <c r="J55" i="67" s="1"/>
  <c r="J58" i="67" s="1"/>
  <c r="Q50" i="67" s="1"/>
  <c r="L56" i="67"/>
  <c r="I54" i="67"/>
  <c r="J53" i="67"/>
  <c r="F1" i="67" s="1"/>
  <c r="F71" i="67"/>
  <c r="P6" i="1"/>
  <c r="C13" i="12" s="1"/>
  <c r="E59" i="40"/>
  <c r="D17" i="53"/>
  <c r="B36" i="72" s="1"/>
  <c r="A1" i="79"/>
  <c r="Q71" i="15"/>
  <c r="F65" i="15"/>
  <c r="N59" i="67"/>
  <c r="L59" i="67"/>
  <c r="Q61" i="67" s="1"/>
  <c r="L58" i="67"/>
  <c r="Q73" i="67" s="1"/>
  <c r="M59" i="67"/>
  <c r="Q71" i="67"/>
  <c r="F66" i="67"/>
  <c r="M7" i="67"/>
  <c r="J6" i="67" s="1"/>
  <c r="F31" i="67"/>
  <c r="F50" i="67"/>
  <c r="J53" i="15"/>
  <c r="L56" i="15" s="1"/>
  <c r="I54" i="15"/>
  <c r="J57" i="15"/>
  <c r="J55" i="15" s="1"/>
  <c r="J58" i="15" s="1"/>
  <c r="Q50" i="15" s="1"/>
  <c r="C27" i="15"/>
  <c r="F65" i="67"/>
  <c r="F64" i="67"/>
  <c r="C6" i="67"/>
  <c r="F51" i="67"/>
  <c r="L58" i="15"/>
  <c r="Q60" i="15" s="1"/>
  <c r="M59" i="15"/>
  <c r="L59" i="15"/>
  <c r="Q74" i="15" s="1"/>
  <c r="N59" i="15"/>
  <c r="C27" i="67"/>
  <c r="F31" i="15"/>
  <c r="C6" i="15"/>
  <c r="F66" i="15"/>
  <c r="F51" i="15"/>
  <c r="F68" i="67"/>
  <c r="G5" i="3"/>
  <c r="B3" i="3" s="1"/>
  <c r="E466" i="3" s="1"/>
  <c r="AZ295" i="3"/>
  <c r="AZ215" i="3"/>
  <c r="D83" i="71"/>
  <c r="C82" i="71"/>
  <c r="D82" i="71" s="1"/>
  <c r="AZ51" i="3"/>
  <c r="C26" i="71"/>
  <c r="D26" i="71" s="1"/>
  <c r="D27" i="71"/>
  <c r="AZ69" i="3"/>
  <c r="AZ133" i="3"/>
  <c r="AZ461" i="3"/>
  <c r="AZ284" i="3"/>
  <c r="AZ277" i="3"/>
  <c r="C52" i="71"/>
  <c r="D51" i="71"/>
  <c r="AZ491" i="3"/>
  <c r="D67" i="71"/>
  <c r="C66" i="71"/>
  <c r="O67" i="71"/>
  <c r="AC9" i="36"/>
  <c r="W9" i="36"/>
  <c r="U39" i="37"/>
  <c r="AB39" i="37"/>
  <c r="S13" i="36"/>
  <c r="AA13" i="36"/>
  <c r="S13" i="40"/>
  <c r="AA13" i="40"/>
  <c r="U13" i="39"/>
  <c r="AB13" i="39"/>
  <c r="AB30" i="21"/>
  <c r="U30" i="21"/>
  <c r="W14" i="21"/>
  <c r="AC14" i="21"/>
  <c r="C56" i="71"/>
  <c r="D55" i="71"/>
  <c r="J7" i="36"/>
  <c r="AZ107" i="3"/>
  <c r="AZ37" i="3"/>
  <c r="AZ246" i="3"/>
  <c r="AZ213" i="3"/>
  <c r="G16" i="1"/>
  <c r="F10" i="39" s="1"/>
  <c r="S10" i="39" s="1"/>
  <c r="AZ71" i="3"/>
  <c r="C40" i="71"/>
  <c r="D39" i="71"/>
  <c r="AZ58" i="3"/>
  <c r="AZ49" i="3"/>
  <c r="AZ59" i="3"/>
  <c r="AZ41" i="3"/>
  <c r="AZ121" i="3"/>
  <c r="AZ274" i="3"/>
  <c r="AZ267" i="3"/>
  <c r="AZ460" i="3"/>
  <c r="AZ415" i="3"/>
  <c r="AZ398" i="3"/>
  <c r="AZ471" i="3"/>
  <c r="AZ256" i="3"/>
  <c r="AZ397" i="3"/>
  <c r="AB12" i="34"/>
  <c r="U12" i="34"/>
  <c r="AC39" i="37"/>
  <c r="W39" i="37"/>
  <c r="AC12" i="33"/>
  <c r="W12" i="33"/>
  <c r="U13" i="40"/>
  <c r="AB13" i="40"/>
  <c r="S45" i="39"/>
  <c r="AA45" i="39"/>
  <c r="AZ15" i="3"/>
  <c r="AA38" i="40"/>
  <c r="S38" i="40"/>
  <c r="AA11" i="36"/>
  <c r="S11" i="36"/>
  <c r="U14" i="21"/>
  <c r="AB14" i="21"/>
  <c r="D79" i="71"/>
  <c r="C78" i="71"/>
  <c r="D78" i="71" s="1"/>
  <c r="D23" i="71"/>
  <c r="C22" i="71"/>
  <c r="D44" i="71"/>
  <c r="T44" i="71"/>
  <c r="AZ109" i="3"/>
  <c r="AZ202" i="3"/>
  <c r="AZ299" i="3"/>
  <c r="AZ296" i="3"/>
  <c r="AZ287" i="3"/>
  <c r="F28" i="6"/>
  <c r="AZ111" i="3"/>
  <c r="C70" i="71"/>
  <c r="D70" i="71" s="1"/>
  <c r="D71" i="71"/>
  <c r="AZ61" i="3"/>
  <c r="AZ39" i="3"/>
  <c r="AZ263" i="3"/>
  <c r="B19" i="71"/>
  <c r="B18" i="71" s="1"/>
  <c r="B17" i="71" s="1"/>
  <c r="B16" i="71" s="1"/>
  <c r="B15" i="71" s="1"/>
  <c r="B14" i="71" s="1"/>
  <c r="B13" i="71" s="1"/>
  <c r="B12" i="71" s="1"/>
  <c r="S20" i="71"/>
  <c r="AZ302" i="3"/>
  <c r="AZ421" i="3"/>
  <c r="AZ414" i="3"/>
  <c r="AC9" i="34"/>
  <c r="W9" i="34"/>
  <c r="AC31" i="21"/>
  <c r="W31" i="21"/>
  <c r="AB24" i="36"/>
  <c r="U24" i="36"/>
  <c r="W28" i="34"/>
  <c r="AC28" i="34"/>
  <c r="W28" i="21"/>
  <c r="AC28" i="21"/>
  <c r="S36" i="35"/>
  <c r="AA36" i="35"/>
  <c r="D121" i="9"/>
  <c r="D7" i="52" s="1"/>
  <c r="D6" i="52"/>
  <c r="AZ584" i="3"/>
  <c r="AZ585" i="3"/>
  <c r="AB45" i="39"/>
  <c r="U45" i="39"/>
  <c r="F48" i="9"/>
  <c r="O52" i="9" s="1"/>
  <c r="F30" i="68"/>
  <c r="F52" i="9"/>
  <c r="F32" i="15"/>
  <c r="F60" i="15" s="1"/>
  <c r="F54" i="9"/>
  <c r="F28" i="67"/>
  <c r="C28" i="67" s="1"/>
  <c r="F32" i="67"/>
  <c r="F60" i="67" s="1"/>
  <c r="F28" i="15"/>
  <c r="C28" i="15" s="1"/>
  <c r="F30" i="69"/>
  <c r="M18" i="15"/>
  <c r="F30" i="11"/>
  <c r="D68" i="9"/>
  <c r="F31" i="12"/>
  <c r="C31" i="12" s="1"/>
  <c r="M18" i="67"/>
  <c r="AZ16" i="3"/>
  <c r="AZ568" i="3"/>
  <c r="AB38" i="40"/>
  <c r="U38" i="40"/>
  <c r="AC30" i="21"/>
  <c r="W30" i="21"/>
  <c r="S14" i="21"/>
  <c r="AA14" i="21"/>
  <c r="AB36" i="35"/>
  <c r="U36" i="35"/>
  <c r="AZ137" i="3"/>
  <c r="AZ297" i="3"/>
  <c r="AZ210" i="3"/>
  <c r="D75" i="71"/>
  <c r="C74" i="71"/>
  <c r="D74" i="71" s="1"/>
  <c r="AB34" i="36"/>
  <c r="U34" i="36"/>
  <c r="AB31" i="21"/>
  <c r="U31" i="21"/>
  <c r="AC24" i="36"/>
  <c r="W24" i="36"/>
  <c r="AA28" i="34"/>
  <c r="S28" i="34"/>
  <c r="W13" i="39"/>
  <c r="AC13" i="39"/>
  <c r="AZ587" i="3"/>
  <c r="AA13" i="39"/>
  <c r="S13" i="39"/>
  <c r="AZ570" i="3"/>
  <c r="S30" i="21"/>
  <c r="AA30" i="21"/>
  <c r="AB13" i="36"/>
  <c r="U13" i="36"/>
  <c r="J7" i="37"/>
  <c r="K1" i="73"/>
  <c r="E435" i="3"/>
  <c r="E158" i="3"/>
  <c r="E276" i="3"/>
  <c r="E436" i="3"/>
  <c r="E92" i="3"/>
  <c r="E262" i="3"/>
  <c r="E274" i="3"/>
  <c r="E553" i="3"/>
  <c r="E151" i="3"/>
  <c r="E230" i="3"/>
  <c r="E511" i="3"/>
  <c r="E193" i="3"/>
  <c r="E279" i="3"/>
  <c r="E107" i="3"/>
  <c r="E162" i="3"/>
  <c r="E210" i="3"/>
  <c r="E533" i="3"/>
  <c r="E231" i="3"/>
  <c r="E183" i="3"/>
  <c r="E77" i="3"/>
  <c r="E545" i="3"/>
  <c r="E465" i="3"/>
  <c r="E146" i="3"/>
  <c r="E362" i="3"/>
  <c r="E89" i="3"/>
  <c r="E327" i="3"/>
  <c r="E557" i="3"/>
  <c r="E489" i="3"/>
  <c r="E70" i="3"/>
  <c r="E109" i="3"/>
  <c r="E526" i="3"/>
  <c r="E509" i="3"/>
  <c r="E431" i="3"/>
  <c r="E201" i="3"/>
  <c r="M6" i="3"/>
  <c r="E387" i="3"/>
  <c r="E215" i="3"/>
  <c r="E563" i="3"/>
  <c r="E445" i="3"/>
  <c r="E161" i="3"/>
  <c r="E423" i="3"/>
  <c r="E385" i="3"/>
  <c r="X6" i="3"/>
  <c r="E119" i="3"/>
  <c r="E296" i="3"/>
  <c r="E242" i="3"/>
  <c r="AA26" i="37"/>
  <c r="S26" i="37"/>
  <c r="BA5" i="3"/>
  <c r="E27" i="6" s="1"/>
  <c r="E487" i="3"/>
  <c r="W40" i="40"/>
  <c r="AC40" i="40"/>
  <c r="AC12" i="21"/>
  <c r="W12" i="21"/>
  <c r="AB12" i="21"/>
  <c r="U12" i="21"/>
  <c r="AA27" i="34"/>
  <c r="S27" i="34"/>
  <c r="AC26" i="37"/>
  <c r="W26" i="37"/>
  <c r="BL5" i="3"/>
  <c r="F7" i="36"/>
  <c r="AA7" i="36" s="1"/>
  <c r="R36" i="36" s="1"/>
  <c r="H7" i="36"/>
  <c r="U7" i="36" s="1"/>
  <c r="E94" i="3"/>
  <c r="E131" i="3"/>
  <c r="E118" i="3"/>
  <c r="E248" i="3"/>
  <c r="AA9" i="36"/>
  <c r="S9" i="36"/>
  <c r="AA34" i="35"/>
  <c r="S34" i="35"/>
  <c r="E15" i="71"/>
  <c r="E14" i="71" s="1"/>
  <c r="E13" i="71" s="1"/>
  <c r="E12" i="71" s="1"/>
  <c r="V16" i="71"/>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M8" i="83"/>
  <c r="L48" i="83"/>
  <c r="C16" i="15"/>
  <c r="F42" i="83"/>
  <c r="F27" i="68"/>
  <c r="M23" i="83"/>
  <c r="F13" i="83"/>
  <c r="L47" i="83"/>
  <c r="F41" i="67"/>
  <c r="F16" i="83"/>
  <c r="F37" i="83"/>
  <c r="F8" i="83"/>
  <c r="J15" i="83"/>
  <c r="M26" i="83"/>
  <c r="M24" i="83"/>
  <c r="F36" i="83"/>
  <c r="G1" i="73"/>
  <c r="M6" i="83"/>
  <c r="F38" i="83"/>
  <c r="C76" i="83"/>
  <c r="F6" i="83"/>
  <c r="F9" i="83"/>
  <c r="M28" i="83"/>
  <c r="F40" i="83"/>
  <c r="M9" i="83"/>
  <c r="F26" i="83"/>
  <c r="M22" i="83"/>
  <c r="C16" i="67"/>
  <c r="F68" i="83" l="1"/>
  <c r="F64" i="83"/>
  <c r="C6" i="83"/>
  <c r="C33" i="83" s="1"/>
  <c r="F65" i="83"/>
  <c r="L57" i="83"/>
  <c r="L56" i="83"/>
  <c r="L60" i="83"/>
  <c r="I54" i="83"/>
  <c r="J53" i="83"/>
  <c r="J57" i="83"/>
  <c r="J55" i="83" s="1"/>
  <c r="J58" i="83" s="1"/>
  <c r="Q50" i="83" s="1"/>
  <c r="Q71" i="83"/>
  <c r="C27" i="83"/>
  <c r="F66" i="83"/>
  <c r="F51" i="83"/>
  <c r="C49" i="83" s="1"/>
  <c r="C61" i="83" s="1"/>
  <c r="M59" i="83"/>
  <c r="L59" i="83"/>
  <c r="N59" i="83"/>
  <c r="L58" i="83"/>
  <c r="AZ5" i="3"/>
  <c r="J6" i="83"/>
  <c r="J18" i="83" s="1"/>
  <c r="AC37" i="34"/>
  <c r="W37" i="34"/>
  <c r="T32" i="71"/>
  <c r="D32" i="71"/>
  <c r="U37" i="34"/>
  <c r="AB37" i="34"/>
  <c r="P65" i="71"/>
  <c r="P66" i="71"/>
  <c r="F45" i="69"/>
  <c r="C29" i="69"/>
  <c r="D27" i="69" s="1"/>
  <c r="C32" i="83"/>
  <c r="E577" i="3"/>
  <c r="E399" i="3"/>
  <c r="E305" i="3"/>
  <c r="E549" i="3"/>
  <c r="E245" i="3"/>
  <c r="P6" i="3"/>
  <c r="E461" i="3"/>
  <c r="E405" i="3"/>
  <c r="O7" i="1"/>
  <c r="P7" i="1" s="1"/>
  <c r="E377" i="3"/>
  <c r="AO6" i="3"/>
  <c r="E214" i="3"/>
  <c r="E472" i="3"/>
  <c r="E180" i="3"/>
  <c r="E555" i="3"/>
  <c r="E476" i="3"/>
  <c r="E573" i="3"/>
  <c r="E260" i="3"/>
  <c r="E480" i="3"/>
  <c r="E338" i="3"/>
  <c r="E566" i="3"/>
  <c r="E198" i="3"/>
  <c r="E139" i="3"/>
  <c r="E369" i="3"/>
  <c r="E200" i="3"/>
  <c r="E191" i="3"/>
  <c r="E69" i="3"/>
  <c r="E514" i="3"/>
  <c r="E322" i="3"/>
  <c r="E211" i="3"/>
  <c r="E400" i="3"/>
  <c r="E227" i="3"/>
  <c r="E454" i="3"/>
  <c r="K6" i="3"/>
  <c r="E134" i="3"/>
  <c r="E538" i="3"/>
  <c r="E530" i="3"/>
  <c r="E478" i="3"/>
  <c r="E72" i="3"/>
  <c r="E518" i="3"/>
  <c r="E559" i="3"/>
  <c r="E316" i="3"/>
  <c r="E344" i="3"/>
  <c r="E285" i="3"/>
  <c r="E462" i="3"/>
  <c r="E234" i="3"/>
  <c r="E190" i="3"/>
  <c r="E84" i="3"/>
  <c r="E236" i="3"/>
  <c r="E238" i="3"/>
  <c r="W6" i="3"/>
  <c r="E222" i="3"/>
  <c r="E25" i="3"/>
  <c r="E174" i="3"/>
  <c r="E199" i="3"/>
  <c r="E450" i="3"/>
  <c r="E583" i="3"/>
  <c r="E114" i="3"/>
  <c r="E569" i="3"/>
  <c r="E558" i="3"/>
  <c r="E496" i="3"/>
  <c r="E353" i="3"/>
  <c r="E14" i="3"/>
  <c r="E584" i="3"/>
  <c r="E62" i="3"/>
  <c r="E116" i="3"/>
  <c r="E197" i="3"/>
  <c r="E249" i="3"/>
  <c r="E277" i="3"/>
  <c r="E586" i="3"/>
  <c r="E185" i="3"/>
  <c r="E143" i="3"/>
  <c r="E44" i="3"/>
  <c r="E477" i="3"/>
  <c r="E31" i="3"/>
  <c r="E457" i="3"/>
  <c r="E453" i="3"/>
  <c r="E290" i="3"/>
  <c r="E407" i="3"/>
  <c r="N6" i="3"/>
  <c r="E404" i="3"/>
  <c r="E32" i="3"/>
  <c r="E437" i="3"/>
  <c r="E237" i="3"/>
  <c r="E367" i="3"/>
  <c r="E307" i="3"/>
  <c r="E416" i="3"/>
  <c r="E36" i="3"/>
  <c r="E419" i="3"/>
  <c r="E470" i="3"/>
  <c r="E482" i="3"/>
  <c r="E363" i="3"/>
  <c r="E166" i="3"/>
  <c r="E576" i="3"/>
  <c r="E73" i="3"/>
  <c r="E330" i="3"/>
  <c r="E302" i="3"/>
  <c r="E53" i="3"/>
  <c r="E54" i="3"/>
  <c r="E87" i="3"/>
  <c r="E446" i="3"/>
  <c r="E165" i="3"/>
  <c r="E79" i="3"/>
  <c r="E564" i="3"/>
  <c r="E115" i="3"/>
  <c r="E308" i="3"/>
  <c r="E68" i="3"/>
  <c r="E37" i="3"/>
  <c r="E426" i="3"/>
  <c r="U6" i="3"/>
  <c r="E224" i="3"/>
  <c r="E179" i="3"/>
  <c r="E323" i="3"/>
  <c r="E58" i="3"/>
  <c r="E289" i="3"/>
  <c r="E540" i="3"/>
  <c r="E422" i="3"/>
  <c r="E35" i="3"/>
  <c r="E556" i="3"/>
  <c r="E34" i="3"/>
  <c r="E283" i="3"/>
  <c r="E467" i="3"/>
  <c r="C53" i="83"/>
  <c r="C10" i="83"/>
  <c r="C5" i="83" s="1"/>
  <c r="E286" i="3"/>
  <c r="I3" i="6"/>
  <c r="E152" i="3"/>
  <c r="E59" i="3"/>
  <c r="E30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02" i="3"/>
  <c r="E491" i="3"/>
  <c r="E76" i="3"/>
  <c r="E23"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E280" i="3"/>
  <c r="E120" i="3"/>
  <c r="E424" i="3"/>
  <c r="E55" i="3"/>
  <c r="E394" i="3"/>
  <c r="E164" i="3"/>
  <c r="E443" i="3"/>
  <c r="E88" i="3"/>
  <c r="E30" i="3"/>
  <c r="E282" i="3"/>
  <c r="E396" i="3"/>
  <c r="V6" i="3"/>
  <c r="E130" i="3"/>
  <c r="E550" i="3"/>
  <c r="E578" i="3"/>
  <c r="E253" i="3"/>
  <c r="E99" i="3"/>
  <c r="E527" i="3"/>
  <c r="E433" i="3"/>
  <c r="E351" i="3"/>
  <c r="E271" i="3"/>
  <c r="E414" i="3"/>
  <c r="E447" i="3"/>
  <c r="E384" i="3"/>
  <c r="E343" i="3"/>
  <c r="E410" i="3"/>
  <c r="E561" i="3"/>
  <c r="E216" i="3"/>
  <c r="E361" i="3"/>
  <c r="E350" i="3"/>
  <c r="E347" i="3"/>
  <c r="AK6" i="3"/>
  <c r="E560" i="3"/>
  <c r="E587" i="3"/>
  <c r="E106" i="3"/>
  <c r="E315" i="3"/>
  <c r="E368" i="3"/>
  <c r="Z6" i="3"/>
  <c r="E345" i="3"/>
  <c r="E28" i="3"/>
  <c r="E273" i="3"/>
  <c r="E217" i="3"/>
  <c r="AJ6" i="3"/>
  <c r="E247" i="3"/>
  <c r="E570" i="3"/>
  <c r="E335" i="3"/>
  <c r="E278" i="3"/>
  <c r="E535" i="3"/>
  <c r="E263" i="3"/>
  <c r="E246" i="3"/>
  <c r="E148" i="3"/>
  <c r="E275" i="3"/>
  <c r="E219" i="3"/>
  <c r="E142" i="3"/>
  <c r="E510" i="3"/>
  <c r="E255" i="3"/>
  <c r="E292" i="3"/>
  <c r="E46"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133" i="3"/>
  <c r="E406" i="3"/>
  <c r="E468" i="3"/>
  <c r="E171" i="3"/>
  <c r="E74" i="3"/>
  <c r="E204" i="3"/>
  <c r="E485" i="3"/>
  <c r="E531" i="3"/>
  <c r="E182" i="3"/>
  <c r="E572" i="3"/>
  <c r="E268" i="3"/>
  <c r="E579" i="3"/>
  <c r="E311" i="3"/>
  <c r="AB6" i="3"/>
  <c r="E189" i="3"/>
  <c r="E172" i="3"/>
  <c r="E135" i="3"/>
  <c r="AI6" i="3"/>
  <c r="E100" i="3"/>
  <c r="E132" i="3"/>
  <c r="E483" i="3"/>
  <c r="E240" i="3"/>
  <c r="C49" i="15"/>
  <c r="J18" i="15"/>
  <c r="C32" i="15"/>
  <c r="C32" i="67"/>
  <c r="Q52" i="67"/>
  <c r="E536" i="3"/>
  <c r="E539" i="3"/>
  <c r="E499" i="3"/>
  <c r="E541" i="3"/>
  <c r="AP6" i="3"/>
  <c r="E479" i="3"/>
  <c r="E192" i="3"/>
  <c r="E349" i="3"/>
  <c r="E484" i="3"/>
  <c r="E103" i="3"/>
  <c r="E371"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212" i="3"/>
  <c r="R6" i="3"/>
  <c r="E430" i="3"/>
  <c r="E517" i="3"/>
  <c r="E56" i="3"/>
  <c r="E258" i="3"/>
  <c r="E544" i="3"/>
  <c r="E425" i="3"/>
  <c r="E160"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AC6" i="3"/>
  <c r="E67" i="3"/>
  <c r="E310" i="3"/>
  <c r="E267" i="3"/>
  <c r="E64" i="3"/>
  <c r="E409" i="3"/>
  <c r="E389" i="3"/>
  <c r="E241" i="3"/>
  <c r="E95" i="3"/>
  <c r="E417" i="3"/>
  <c r="E554" i="3"/>
  <c r="E449" i="3"/>
  <c r="E442" i="3"/>
  <c r="E575" i="3"/>
  <c r="AA10" i="39"/>
  <c r="J10" i="39"/>
  <c r="W10" i="39" s="1"/>
  <c r="F10" i="40"/>
  <c r="S10" i="40" s="1"/>
  <c r="Q60" i="67"/>
  <c r="Q73" i="15"/>
  <c r="J5" i="67"/>
  <c r="J24" i="67" s="1"/>
  <c r="J18" i="67"/>
  <c r="F59" i="67"/>
  <c r="C49" i="67"/>
  <c r="J5" i="15"/>
  <c r="J24" i="15" s="1"/>
  <c r="Q61" i="15"/>
  <c r="H10" i="39"/>
  <c r="U10" i="39" s="1"/>
  <c r="H10" i="40"/>
  <c r="AB10" i="40" s="1"/>
  <c r="J10" i="40"/>
  <c r="AC10" i="40" s="1"/>
  <c r="AY6" i="3"/>
  <c r="AY260" i="3" s="1"/>
  <c r="E3" i="6"/>
  <c r="D22" i="71"/>
  <c r="C21" i="71"/>
  <c r="D56" i="71"/>
  <c r="T56" i="71"/>
  <c r="O65" i="71"/>
  <c r="D66" i="71"/>
  <c r="O66" i="71"/>
  <c r="T52" i="71"/>
  <c r="D52" i="71"/>
  <c r="S16" i="71"/>
  <c r="F48" i="69"/>
  <c r="C30" i="69"/>
  <c r="C48" i="69"/>
  <c r="F48" i="68"/>
  <c r="C48" i="68"/>
  <c r="C30" i="68"/>
  <c r="Q74" i="67"/>
  <c r="Q52" i="15"/>
  <c r="F1" i="15"/>
  <c r="T49" i="34"/>
  <c r="G49" i="34" s="1"/>
  <c r="G53" i="34" s="1"/>
  <c r="H53" i="34" s="1"/>
  <c r="C48" i="11"/>
  <c r="C30" i="11"/>
  <c r="E28" i="6"/>
  <c r="K20" i="6" s="1"/>
  <c r="F30" i="6"/>
  <c r="F31" i="6" s="1"/>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3" i="6"/>
  <c r="K22" i="6"/>
  <c r="K24" i="6"/>
  <c r="AY233" i="3"/>
  <c r="AY113" i="3"/>
  <c r="AY38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83"/>
  <c r="AE6" i="1"/>
  <c r="M27" i="15"/>
  <c r="M27" i="83"/>
  <c r="F41" i="15"/>
  <c r="M27" i="67"/>
  <c r="C48" i="83" l="1"/>
  <c r="J5" i="83"/>
  <c r="J26" i="83" s="1"/>
  <c r="J19" i="83"/>
  <c r="B14" i="74"/>
  <c r="B1" i="74" s="1"/>
  <c r="K19" i="6"/>
  <c r="S6" i="1" s="1"/>
  <c r="Q66" i="83"/>
  <c r="Q57" i="83"/>
  <c r="Q73" i="83"/>
  <c r="Q60" i="83"/>
  <c r="F1" i="83"/>
  <c r="Q52" i="83"/>
  <c r="Q61" i="83"/>
  <c r="Q74" i="83"/>
  <c r="J24" i="83"/>
  <c r="AY38" i="3"/>
  <c r="AY315" i="3"/>
  <c r="AY156" i="3"/>
  <c r="AA10" i="40"/>
  <c r="AY288" i="3"/>
  <c r="AY468" i="3"/>
  <c r="AY522" i="3"/>
  <c r="AY32" i="3"/>
  <c r="BN6" i="3"/>
  <c r="H6" i="3"/>
  <c r="E6" i="3" s="1"/>
  <c r="C38" i="83"/>
  <c r="L36" i="43"/>
  <c r="L37" i="43" s="1"/>
  <c r="O37" i="43" s="1"/>
  <c r="F24" i="83"/>
  <c r="C66" i="83"/>
  <c r="C60" i="83"/>
  <c r="C48" i="15"/>
  <c r="C66" i="15" s="1"/>
  <c r="R50" i="34"/>
  <c r="G54" i="34"/>
  <c r="H54" i="34" s="1"/>
  <c r="AC10" i="39"/>
  <c r="BT6" i="3"/>
  <c r="AY164" i="3"/>
  <c r="AY301" i="3"/>
  <c r="AY434" i="3"/>
  <c r="AY567" i="3"/>
  <c r="AY39" i="3"/>
  <c r="AY575" i="3"/>
  <c r="AY490" i="3"/>
  <c r="AY437" i="3"/>
  <c r="AY570" i="3"/>
  <c r="AY251" i="3"/>
  <c r="AY387" i="3"/>
  <c r="AY566" i="3"/>
  <c r="AY71" i="3"/>
  <c r="AY19" i="3"/>
  <c r="AY479" i="3"/>
  <c r="AY413" i="3"/>
  <c r="AY528" i="3"/>
  <c r="AY431" i="3"/>
  <c r="AY354" i="3"/>
  <c r="AY469" i="3"/>
  <c r="AY565" i="3"/>
  <c r="AY582" i="3"/>
  <c r="AY360" i="3"/>
  <c r="AY477" i="3"/>
  <c r="AY408" i="3"/>
  <c r="AY545" i="3"/>
  <c r="AY396" i="3"/>
  <c r="AY375" i="3"/>
  <c r="AY330" i="3"/>
  <c r="AY298" i="3"/>
  <c r="AY148" i="3"/>
  <c r="AY285" i="3"/>
  <c r="AY426" i="3"/>
  <c r="AY2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66" i="3"/>
  <c r="AY276" i="3"/>
  <c r="AY50" i="3"/>
  <c r="AY473" i="3"/>
  <c r="AY372" i="3"/>
  <c r="AY533" i="3"/>
  <c r="AY190" i="3"/>
  <c r="AY247" i="3"/>
  <c r="AY109" i="3"/>
  <c r="AY242" i="3"/>
  <c r="AY462" i="3"/>
  <c r="AY495" i="3"/>
  <c r="AY425" i="3"/>
  <c r="AY89" i="3"/>
  <c r="AY222" i="3"/>
  <c r="AY356" i="3"/>
  <c r="AY508" i="3"/>
  <c r="AY350" i="3"/>
  <c r="AY573" i="3"/>
  <c r="AY286" i="3"/>
  <c r="AY275" i="3"/>
  <c r="AY480"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297" i="3"/>
  <c r="AY289" i="3"/>
  <c r="AY441" i="3"/>
  <c r="AY310" i="3"/>
  <c r="AY97" i="3"/>
  <c r="AY154" i="3"/>
  <c r="AY230" i="3"/>
  <c r="AY56" i="3"/>
  <c r="AY353" i="3"/>
  <c r="AY398" i="3"/>
  <c r="AY501" i="3"/>
  <c r="AY244" i="3"/>
  <c r="AY36" i="3"/>
  <c r="BS6" i="3"/>
  <c r="AY467" i="3"/>
  <c r="AY577" i="3"/>
  <c r="AY497" i="3"/>
  <c r="AY100" i="3"/>
  <c r="AY227" i="3"/>
  <c r="AY370"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15" i="3"/>
  <c r="AY225" i="3"/>
  <c r="AY261" i="3"/>
  <c r="AY26" i="3"/>
  <c r="AY420" i="3"/>
  <c r="AY61" i="3"/>
  <c r="AY133" i="3"/>
  <c r="AY397" i="3"/>
  <c r="AY166" i="3"/>
  <c r="AY348" i="3"/>
  <c r="BQ6" i="3"/>
  <c r="AY90" i="3"/>
  <c r="AY481" i="3"/>
  <c r="AY146" i="3"/>
  <c r="AY40" i="3"/>
  <c r="AY435" i="3"/>
  <c r="AY49" i="3"/>
  <c r="AY212" i="3"/>
  <c r="AY20" i="3"/>
  <c r="AY507"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107" i="3"/>
  <c r="AY359" i="3"/>
  <c r="AY62" i="3"/>
  <c r="AY538" i="3"/>
  <c r="AY320" i="3"/>
  <c r="AY153" i="3"/>
  <c r="AY432" i="3"/>
  <c r="AY136" i="3"/>
  <c r="AY13" i="3"/>
  <c r="AY203" i="3"/>
  <c r="AY492" i="3"/>
  <c r="AY511" i="3"/>
  <c r="AY224" i="3"/>
  <c r="AY91" i="3"/>
  <c r="AY362" i="3"/>
  <c r="AY46" i="3"/>
  <c r="AY14" i="3"/>
  <c r="AY312" i="3"/>
  <c r="AY137" i="3"/>
  <c r="AY543" i="3"/>
  <c r="AY173" i="3"/>
  <c r="AY279" i="3"/>
  <c r="AY534" i="3"/>
  <c r="AY283" i="3"/>
  <c r="AY209" i="3"/>
  <c r="AY443" i="3"/>
  <c r="AY143" i="3"/>
  <c r="AY500" i="3"/>
  <c r="AY265" i="3"/>
  <c r="BP6" i="3"/>
  <c r="AY402" i="3"/>
  <c r="AY361" i="3"/>
  <c r="AY64" i="3"/>
  <c r="AY339" i="3"/>
  <c r="AY22" i="3"/>
  <c r="AY482" i="3"/>
  <c r="AY563" i="3"/>
  <c r="AY352" i="3"/>
  <c r="AY429" i="3"/>
  <c r="AY277" i="3"/>
  <c r="AY560" i="3"/>
  <c r="AY232" i="3"/>
  <c r="AY99" i="3"/>
  <c r="AY407" i="3"/>
  <c r="AY329" i="3"/>
  <c r="AY194" i="3"/>
  <c r="AY572" i="3"/>
  <c r="AY478" i="3"/>
  <c r="AY302" i="3"/>
  <c r="AY475" i="3"/>
  <c r="AY44" i="3"/>
  <c r="AY335" i="3"/>
  <c r="AY380" i="3"/>
  <c r="AY65" i="3"/>
  <c r="AY483" i="3"/>
  <c r="AY31" i="3"/>
  <c r="AY562" i="3"/>
  <c r="AY295" i="3"/>
  <c r="AY549" i="3"/>
  <c r="AY188" i="3"/>
  <c r="F25" i="12"/>
  <c r="C26" i="12" s="1"/>
  <c r="D25" i="12" s="1"/>
  <c r="AB10" i="39"/>
  <c r="C48" i="67"/>
  <c r="C60" i="67" s="1"/>
  <c r="F22" i="68"/>
  <c r="F41" i="68" s="1"/>
  <c r="W10" i="40"/>
  <c r="U10" i="40"/>
  <c r="D21" i="71"/>
  <c r="C20" i="71"/>
  <c r="K14" i="1"/>
  <c r="C34" i="69" s="1"/>
  <c r="E30" i="6"/>
  <c r="E31" i="6" s="1"/>
  <c r="K26" i="6"/>
  <c r="M26" i="6" s="1"/>
  <c r="I26" i="6" s="1"/>
  <c r="S26" i="6" s="1"/>
  <c r="F22" i="11"/>
  <c r="C23" i="11" s="1"/>
  <c r="F24" i="67"/>
  <c r="C24" i="67" s="1"/>
  <c r="F24" i="15"/>
  <c r="C24" i="15" s="1"/>
  <c r="F22" i="69"/>
  <c r="F41" i="69" s="1"/>
  <c r="E49" i="34"/>
  <c r="E53" i="34" s="1"/>
  <c r="F53" i="34" s="1"/>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17" i="15"/>
  <c r="D10" i="68"/>
  <c r="AE7" i="1"/>
  <c r="C17" i="83"/>
  <c r="F41" i="83"/>
  <c r="C14" i="67"/>
  <c r="C17" i="67"/>
  <c r="C14" i="74" l="1"/>
  <c r="B2" i="74" s="1"/>
  <c r="F69" i="83"/>
  <c r="J29" i="83"/>
  <c r="E7" i="70"/>
  <c r="Q37" i="43"/>
  <c r="M37" i="43"/>
  <c r="M19" i="82"/>
  <c r="C118" i="82" s="1"/>
  <c r="C15" i="74" s="1"/>
  <c r="S20" i="6"/>
  <c r="L18" i="82"/>
  <c r="M36" i="43"/>
  <c r="N36" i="43"/>
  <c r="N37" i="43"/>
  <c r="P37" i="43"/>
  <c r="Q36" i="43"/>
  <c r="P36" i="43"/>
  <c r="O36" i="43"/>
  <c r="C60" i="15"/>
  <c r="C24" i="83"/>
  <c r="D30" i="6"/>
  <c r="H24" i="6"/>
  <c r="R24" i="6" s="1"/>
  <c r="R11" i="1" s="1"/>
  <c r="C44" i="68"/>
  <c r="D41" i="68" s="1"/>
  <c r="E54" i="34"/>
  <c r="F54" i="34" s="1"/>
  <c r="H22" i="6"/>
  <c r="H25" i="6"/>
  <c r="R25" i="6" s="1"/>
  <c r="R12" i="1" s="1"/>
  <c r="H26" i="6"/>
  <c r="R26" i="6" s="1"/>
  <c r="C66" i="67"/>
  <c r="C26" i="68"/>
  <c r="D22" i="68" s="1"/>
  <c r="C26" i="11"/>
  <c r="D22" i="11" s="1"/>
  <c r="C44" i="11"/>
  <c r="D41" i="11" s="1"/>
  <c r="I54" i="34"/>
  <c r="J54" i="34" s="1"/>
  <c r="K16" i="1"/>
  <c r="B29" i="1" s="1"/>
  <c r="M14" i="1"/>
  <c r="T20" i="71"/>
  <c r="D20" i="71"/>
  <c r="U20" i="71" s="1"/>
  <c r="C19" i="71"/>
  <c r="C25" i="11"/>
  <c r="C24"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2" i="6"/>
  <c r="R9" i="1" s="1"/>
  <c r="R23" i="6"/>
  <c r="R10" i="1" s="1"/>
  <c r="D27" i="6"/>
  <c r="D31" i="6" s="1"/>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3"/>
  <c r="C14" i="15"/>
  <c r="D7" i="74" l="1"/>
  <c r="C8" i="68"/>
  <c r="C15" i="83"/>
  <c r="C18" i="83"/>
  <c r="L19" i="82"/>
  <c r="C18" i="12"/>
  <c r="O14" i="1"/>
  <c r="O16" i="1" s="1"/>
  <c r="M16" i="1"/>
  <c r="C34" i="11" s="1"/>
  <c r="P14" i="1"/>
  <c r="P16" i="1" s="1"/>
  <c r="C11" i="12" s="1"/>
  <c r="C18" i="71"/>
  <c r="D19" i="71"/>
  <c r="C22" i="11"/>
  <c r="C31" i="11" s="1"/>
  <c r="C19" i="67"/>
  <c r="C20" i="67" s="1"/>
  <c r="C26" i="67" s="1"/>
  <c r="T16" i="1"/>
  <c r="C18" i="15"/>
  <c r="C15" i="15"/>
  <c r="C36" i="11"/>
  <c r="C37" i="11"/>
  <c r="C23" i="12"/>
  <c r="C14" i="12"/>
  <c r="H19" i="6"/>
  <c r="L19" i="9" s="1"/>
  <c r="S19" i="6"/>
  <c r="S27" i="6" s="1"/>
  <c r="I27" i="6"/>
  <c r="C19" i="68"/>
  <c r="D37" i="68"/>
  <c r="C37" i="68" s="1"/>
  <c r="C19" i="69"/>
  <c r="C24" i="69" s="1"/>
  <c r="D37" i="69"/>
  <c r="C37" i="69" s="1"/>
  <c r="C33" i="69" s="1"/>
  <c r="I5" i="6"/>
  <c r="I6" i="6"/>
  <c r="I7" i="6" s="1"/>
  <c r="G3" i="43" s="1"/>
  <c r="C23" i="69"/>
  <c r="I69" i="39"/>
  <c r="J67" i="39"/>
  <c r="I63" i="40"/>
  <c r="H65" i="40"/>
  <c r="I58" i="21"/>
  <c r="J58" i="21" s="1"/>
  <c r="K58" i="21" s="1"/>
  <c r="L58" i="21" s="1"/>
  <c r="M58" i="21" s="1"/>
  <c r="N58" i="21" s="1"/>
  <c r="O58" i="21" s="1"/>
  <c r="H7" i="21" s="1"/>
  <c r="J48" i="35"/>
  <c r="C19" i="83" l="1"/>
  <c r="C20" i="83" s="1"/>
  <c r="C26" i="83" s="1"/>
  <c r="J26" i="43"/>
  <c r="N94" i="46"/>
  <c r="Z7" i="43"/>
  <c r="N370" i="46"/>
  <c r="G26" i="43"/>
  <c r="F26" i="43"/>
  <c r="E26" i="43"/>
  <c r="B116" i="43"/>
  <c r="H26" i="43"/>
  <c r="L16" i="1"/>
  <c r="N16" i="1"/>
  <c r="D18" i="71"/>
  <c r="C17" i="71"/>
  <c r="C15" i="12"/>
  <c r="C12" i="12"/>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4" i="68"/>
  <c r="C23" i="83" l="1"/>
  <c r="C29" i="83" s="1"/>
  <c r="C57" i="83" s="1"/>
  <c r="C64" i="8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C16" i="12"/>
  <c r="C21" i="12" s="1"/>
  <c r="C22" i="12" s="1"/>
  <c r="C27" i="12" s="1"/>
  <c r="C25" i="12" s="1"/>
  <c r="C35" i="68"/>
  <c r="C38" i="68"/>
  <c r="C16" i="71"/>
  <c r="D17" i="71"/>
  <c r="F50" i="68"/>
  <c r="F50" i="69"/>
  <c r="F50" i="1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M21" i="67"/>
  <c r="F35" i="83"/>
  <c r="M21" i="15"/>
  <c r="F35" i="15"/>
  <c r="M21" i="83"/>
  <c r="J14" i="83" l="1"/>
  <c r="Q49" i="83"/>
  <c r="J59" i="83"/>
  <c r="J60" i="83" s="1"/>
  <c r="Q48" i="83" s="1"/>
  <c r="C36" i="83"/>
  <c r="C13" i="83"/>
  <c r="C37" i="83" s="1"/>
  <c r="C118" i="43"/>
  <c r="D116" i="43"/>
  <c r="C33" i="43"/>
  <c r="J20" i="83"/>
  <c r="J17" i="83" s="1"/>
  <c r="C34" i="83"/>
  <c r="C31" i="83" s="1"/>
  <c r="F63" i="83"/>
  <c r="C62" i="83" s="1"/>
  <c r="C59" i="83" s="1"/>
  <c r="C30" i="12"/>
  <c r="C28" i="12" s="1"/>
  <c r="C32" i="12" s="1"/>
  <c r="B2" i="12" s="1"/>
  <c r="B3" i="12" s="1"/>
  <c r="C33" i="68"/>
  <c r="C42"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6" i="83" l="1"/>
  <c r="C65" i="83" s="1"/>
  <c r="C58" i="83" s="1"/>
  <c r="C67" i="83" s="1"/>
  <c r="C68" i="83" s="1"/>
  <c r="C71" i="83" s="1"/>
  <c r="Q70" i="83"/>
  <c r="C75" i="83"/>
  <c r="C30" i="83"/>
  <c r="C39" i="83" s="1"/>
  <c r="Q69" i="83" s="1"/>
  <c r="L46" i="83"/>
  <c r="J22" i="83"/>
  <c r="J13" i="83"/>
  <c r="J23" i="83" s="1"/>
  <c r="E33" i="43"/>
  <c r="C30" i="43" s="1"/>
  <c r="C34" i="43"/>
  <c r="E34" i="43" s="1"/>
  <c r="C31" i="43" s="1"/>
  <c r="C39" i="68"/>
  <c r="C43" i="68" s="1"/>
  <c r="C41"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Q68" i="83" l="1"/>
  <c r="C80" i="83"/>
  <c r="C79" i="83" s="1"/>
  <c r="J16" i="83"/>
  <c r="J25" i="83" s="1"/>
  <c r="C40" i="83"/>
  <c r="Q65" i="83" s="1"/>
  <c r="Q75" i="83" s="1"/>
  <c r="E2" i="76"/>
  <c r="B2" i="43"/>
  <c r="C6" i="68" s="1"/>
  <c r="C46" i="68"/>
  <c r="C45" i="68" s="1"/>
  <c r="C49" i="68" s="1"/>
  <c r="C51" i="68" s="1"/>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83"/>
  <c r="D2" i="33"/>
  <c r="L51" i="67"/>
  <c r="B6" i="76"/>
  <c r="Q67" i="83" l="1"/>
  <c r="Q69" i="15"/>
  <c r="Q68" i="15" s="1"/>
  <c r="H40" i="15"/>
  <c r="B2" i="83"/>
  <c r="B3" i="83" s="1"/>
  <c r="Q56" i="83"/>
  <c r="Q62" i="83" s="1"/>
  <c r="C43" i="83"/>
  <c r="C46" i="83"/>
  <c r="Q47" i="83"/>
  <c r="Q53" i="83" s="1"/>
  <c r="C83" i="83"/>
  <c r="C82" i="83" s="1"/>
  <c r="C7" i="68"/>
  <c r="C5" i="68" s="1"/>
  <c r="B2" i="76"/>
  <c r="B3" i="76" s="1"/>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35" i="82"/>
  <c r="D2" i="36"/>
  <c r="D34" i="82"/>
  <c r="D2" i="34"/>
  <c r="C23" i="68" l="1"/>
  <c r="C20" i="68"/>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2" i="1"/>
  <c r="AO9" i="1"/>
  <c r="AO8" i="1"/>
  <c r="AO7" i="1"/>
  <c r="AO10" i="1"/>
  <c r="C28" i="68" l="1"/>
  <c r="C27" i="68" s="1"/>
  <c r="C25" i="68"/>
  <c r="C22" i="68"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2"/>
  <c r="C20" i="9"/>
  <c r="D19" i="9"/>
  <c r="C31" i="68" l="1"/>
  <c r="C52" i="68" s="1"/>
  <c r="B2" i="68" s="1"/>
  <c r="C103" i="9"/>
  <c r="D102" i="82"/>
  <c r="D21" i="82"/>
  <c r="D102" i="9"/>
  <c r="D22" i="9"/>
  <c r="G19"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82"/>
  <c r="D20" i="9"/>
  <c r="B3" i="68"/>
  <c r="D35" i="9"/>
  <c r="D34" i="9"/>
  <c r="D20" i="82"/>
  <c r="G21" i="9" l="1"/>
  <c r="C57" i="68"/>
  <c r="C56" i="68" s="1"/>
  <c r="C102" i="82"/>
  <c r="C21" i="82"/>
  <c r="D22" i="82"/>
  <c r="G19" i="82"/>
  <c r="G21" i="82" s="1"/>
  <c r="D103" i="82"/>
  <c r="G20" i="9"/>
  <c r="C32" i="9" s="1"/>
  <c r="D103" i="9"/>
  <c r="D9" i="71"/>
  <c r="C8" i="71"/>
  <c r="C42" i="40"/>
  <c r="C43" i="40"/>
  <c r="E47" i="40"/>
  <c r="F47" i="40" s="1"/>
  <c r="E46" i="40"/>
  <c r="F46" i="40" s="1"/>
  <c r="I47" i="40"/>
  <c r="J47" i="40" s="1"/>
  <c r="C20" i="82"/>
  <c r="C103" i="82" l="1"/>
  <c r="G20" i="82"/>
  <c r="C32" i="82"/>
  <c r="C35" i="82" s="1"/>
  <c r="C34" i="82" s="1"/>
  <c r="C35" i="9"/>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D6" i="71" l="1"/>
  <c r="C5" i="71"/>
  <c r="D5" i="71" s="1"/>
  <c r="M24" i="43" s="1"/>
  <c r="D118" i="9"/>
  <c r="D119" i="9" s="1"/>
  <c r="D5" i="52" s="1"/>
  <c r="B49" i="72" s="1"/>
  <c r="F118" i="9"/>
  <c r="F119" i="9" s="1"/>
  <c r="F5" i="52" s="1"/>
  <c r="B53" i="72" s="1"/>
  <c r="H118" i="9"/>
  <c r="I118" i="9" l="1"/>
  <c r="C105" i="9" s="1"/>
  <c r="D14" i="74"/>
  <c r="G14" i="74" s="1"/>
  <c r="G118" i="9"/>
  <c r="G4" i="52" s="1"/>
  <c r="B52" i="72" s="1"/>
  <c r="H101" i="9"/>
  <c r="C104" i="9"/>
  <c r="H119" i="9"/>
  <c r="H5" i="52" s="1"/>
  <c r="F4" i="52"/>
  <c r="B51" i="72" s="1"/>
  <c r="H4" i="52"/>
  <c r="D4" i="52"/>
  <c r="B47" i="72" s="1"/>
  <c r="H102" i="9" l="1"/>
  <c r="D7" i="53" s="1"/>
  <c r="B21" i="72" s="1"/>
  <c r="I4" i="52"/>
  <c r="E118" i="9"/>
  <c r="E4" i="52" s="1"/>
  <c r="B48" i="72" s="1"/>
  <c r="E14" i="74"/>
  <c r="F14" i="74"/>
  <c r="D5" i="53"/>
  <c r="H107" i="9"/>
  <c r="D6" i="53" l="1"/>
  <c r="B22" i="72" s="1"/>
  <c r="B20" i="72"/>
  <c r="D13" i="53"/>
  <c r="D122" i="9"/>
  <c r="H108" i="9"/>
  <c r="D8" i="52" l="1"/>
  <c r="D123" i="9"/>
  <c r="D9" i="52" s="1"/>
  <c r="D14" i="53"/>
  <c r="B32" i="72" s="1"/>
  <c r="B30" i="72"/>
  <c r="D15" i="53"/>
  <c r="B31" i="72" s="1"/>
  <c r="F118" i="82" l="1"/>
  <c r="F119" i="82" s="1"/>
  <c r="D118" i="82"/>
  <c r="D119" i="82" s="1"/>
  <c r="H118" i="82"/>
  <c r="H119" i="82" l="1"/>
  <c r="D15" i="74"/>
  <c r="G15" i="74" s="1"/>
  <c r="B6" i="74" s="1"/>
  <c r="G118" i="82"/>
  <c r="H101" i="82"/>
  <c r="C104" i="82"/>
  <c r="I118" i="82"/>
  <c r="D6" i="74" l="1"/>
  <c r="C6" i="74"/>
  <c r="E15" i="74"/>
  <c r="F15" i="74"/>
  <c r="B5" i="74"/>
  <c r="E5" i="74" s="1"/>
  <c r="E118" i="82"/>
  <c r="C105" i="82"/>
  <c r="H102" i="82"/>
  <c r="H107" i="82"/>
  <c r="M48" i="82"/>
  <c r="D45" i="82"/>
  <c r="D45" i="9" l="1"/>
  <c r="C93" i="9" s="1"/>
  <c r="C86" i="9" s="1"/>
  <c r="M48" i="9"/>
  <c r="M49" i="9" s="1"/>
  <c r="C72" i="9"/>
  <c r="C85" i="9"/>
  <c r="D5" i="74"/>
  <c r="C5" i="74"/>
  <c r="M49" i="82"/>
  <c r="D122" i="82"/>
  <c r="D123" i="82" s="1"/>
  <c r="H108" i="82"/>
  <c r="D52" i="82"/>
  <c r="C85" i="82"/>
  <c r="D55" i="82"/>
  <c r="M53" i="82" s="1"/>
  <c r="C72" i="82"/>
  <c r="C64" i="82"/>
  <c r="C63" i="82" s="1"/>
  <c r="C67" i="82" s="1"/>
  <c r="D53" i="82"/>
  <c r="C78" i="82"/>
  <c r="C73" i="82" s="1"/>
  <c r="C93" i="82"/>
  <c r="C86" i="82" s="1"/>
  <c r="D53" i="9" l="1"/>
  <c r="D48" i="9" s="1"/>
  <c r="M52" i="9" s="1"/>
  <c r="C64" i="9"/>
  <c r="C63" i="9" s="1"/>
  <c r="C67" i="9" s="1"/>
  <c r="D55" i="9"/>
  <c r="M53" i="9" s="1"/>
  <c r="C78" i="9"/>
  <c r="C73" i="9" s="1"/>
  <c r="C79" i="9" s="1"/>
  <c r="C80" i="9" s="1"/>
  <c r="E80" i="9" s="1"/>
  <c r="E81" i="9" s="1"/>
  <c r="D52" i="9"/>
  <c r="L63" i="9"/>
  <c r="M63" i="9" s="1"/>
  <c r="L66" i="9"/>
  <c r="M66" i="9" s="1"/>
  <c r="L65" i="9"/>
  <c r="M65" i="9" s="1"/>
  <c r="L64" i="9"/>
  <c r="M64" i="9" s="1"/>
  <c r="L67" i="9"/>
  <c r="M67" i="9" s="1"/>
  <c r="L68" i="9"/>
  <c r="M68" i="9" s="1"/>
  <c r="C95" i="9"/>
  <c r="C68" i="9"/>
  <c r="D54" i="9" s="1"/>
  <c r="D59" i="9"/>
  <c r="M55" i="9" s="1"/>
  <c r="C68" i="82"/>
  <c r="D54" i="82" s="1"/>
  <c r="D59" i="82"/>
  <c r="M55" i="82" s="1"/>
  <c r="C79" i="82"/>
  <c r="C95" i="82"/>
  <c r="L68" i="82"/>
  <c r="M68" i="82" s="1"/>
  <c r="L66" i="82"/>
  <c r="M66" i="82" s="1"/>
  <c r="L63" i="82"/>
  <c r="M63" i="82" s="1"/>
  <c r="L64" i="82"/>
  <c r="M64" i="82" s="1"/>
  <c r="L67" i="82"/>
  <c r="M67" i="82" s="1"/>
  <c r="L65" i="82"/>
  <c r="M65" i="82" s="1"/>
  <c r="M69" i="9" l="1"/>
  <c r="N69" i="9" s="1"/>
  <c r="C81" i="9"/>
  <c r="C96" i="9"/>
  <c r="E96" i="9" s="1"/>
  <c r="E97" i="9" s="1"/>
  <c r="C97" i="9"/>
  <c r="D58" i="9" s="1"/>
  <c r="D56" i="9" s="1"/>
  <c r="M54" i="9" s="1"/>
  <c r="N57" i="9" s="1"/>
  <c r="M69" i="82"/>
  <c r="N69" i="82" s="1"/>
  <c r="C80" i="82"/>
  <c r="E80" i="82" s="1"/>
  <c r="E81" i="82" s="1"/>
  <c r="C96" i="82"/>
  <c r="E96" i="82" s="1"/>
  <c r="E97" i="82" s="1"/>
  <c r="N58" i="9" l="1"/>
  <c r="N59" i="9"/>
  <c r="N61" i="9" s="1"/>
  <c r="P57" i="9"/>
  <c r="C81" i="82"/>
  <c r="C97" i="82"/>
  <c r="D58" i="82" s="1"/>
  <c r="D56" i="82" s="1"/>
  <c r="M54" i="82" s="1"/>
  <c r="N57" i="82" s="1"/>
  <c r="H111" i="9" l="1"/>
  <c r="I14" i="74"/>
  <c r="B8" i="74" s="1"/>
  <c r="D126" i="9"/>
  <c r="D19" i="53"/>
  <c r="N60" i="9"/>
  <c r="H112" i="9"/>
  <c r="P57" i="82"/>
  <c r="N58" i="82"/>
  <c r="N59" i="82"/>
  <c r="H111" i="82" s="1"/>
  <c r="D126" i="82" s="1"/>
  <c r="D127" i="82" s="1"/>
  <c r="D8" i="74" l="1"/>
  <c r="E8" i="74"/>
  <c r="B38" i="72"/>
  <c r="D20" i="53"/>
  <c r="B40" i="72" s="1"/>
  <c r="D21" i="53"/>
  <c r="B39" i="72" s="1"/>
  <c r="C8" i="74"/>
  <c r="D12" i="52"/>
  <c r="D127" i="9"/>
  <c r="D13" i="52" s="1"/>
  <c r="N60" i="82"/>
  <c r="N61" i="82"/>
  <c r="H112" i="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4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4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4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4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4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4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4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4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4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4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<sst xmlns="http://schemas.openxmlformats.org/spreadsheetml/2006/main" count="9251" uniqueCount="3840">
  <si>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</si>
  <si>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</si>
  <si>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</si>
  <si>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</si>
  <si>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</si>
  <si>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</si>
  <si>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</si>
  <si>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</si>
  <si>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</si>
  <si>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</si>
  <si>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</si>
  <si>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</si>
  <si>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</si>
  <si>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</si>
  <si>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</si>
  <si>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</si>
  <si>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</si>
  <si>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</si>
  <si>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</si>
  <si>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</si>
  <si>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</si>
  <si>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</si>
  <si>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</si>
  <si>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</si>
  <si>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</si>
  <si>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</si>
  <si>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</si>
  <si>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</si>
  <si>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</si>
  <si>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</si>
  <si>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</si>
  <si>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</si>
  <si>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</si>
  <si>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</si>
  <si>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</si>
  <si>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</si>
  <si>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</si>
  <si>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</si>
  <si>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</si>
  <si>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</si>
  <si>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</si>
  <si>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</si>
  <si>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</si>
  <si>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</si>
  <si>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</si>
  <si>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</si>
  <si>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</si>
  <si>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</si>
  <si>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</si>
  <si>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</si>
  <si>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</si>
  <si>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</si>
  <si>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</si>
  <si>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</si>
  <si>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</si>
  <si>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</si>
  <si>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</si>
  <si>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</si>
  <si>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</si>
  <si>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</si>
  <si>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</si>
  <si>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</si>
  <si>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</si>
  <si>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</si>
  <si>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</si>
  <si>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</si>
  <si>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</si>
  <si>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</si>
  <si>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</si>
  <si>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</si>
  <si>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</si>
  <si>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</si>
  <si>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</si>
  <si>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</si>
  <si>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</si>
  <si>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</si>
  <si>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</si>
  <si>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</si>
  <si>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</si>
  <si>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</si>
  <si>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</si>
  <si>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</si>
  <si>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</si>
  <si>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</si>
  <si>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</si>
  <si>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</si>
  <si>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</si>
  <si>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</si>
  <si>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</si>
  <si>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</si>
  <si>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</si>
  <si>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</si>
  <si>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</si>
  <si>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</si>
  <si>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</si>
  <si>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</si>
  <si>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</si>
  <si>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</si>
  <si>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</si>
  <si>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</si>
  <si>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</si>
  <si>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</si>
  <si>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</si>
  <si>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</si>
  <si>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</si>
  <si>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</si>
  <si>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</si>
  <si>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</si>
  <si>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</si>
  <si>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</si>
  <si>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</si>
  <si>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</si>
  <si>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</si>
  <si>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</si>
  <si>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</si>
  <si>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</si>
  <si>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</si>
  <si>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</si>
  <si>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</si>
  <si>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</si>
  <si>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</si>
  <si>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</si>
  <si>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</si>
  <si>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</si>
  <si>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</si>
  <si>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</si>
  <si>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</si>
  <si>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</si>
  <si>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</si>
  <si>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</si>
  <si>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</si>
  <si>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</si>
  <si>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</si>
  <si>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</si>
  <si>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</si>
  <si>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</si>
  <si>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</si>
  <si>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</si>
  <si>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</si>
  <si>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</si>
  <si>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</si>
  <si>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</si>
  <si>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</si>
  <si>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</si>
  <si>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</si>
  <si>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</si>
  <si>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</si>
  <si>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</si>
  <si>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</si>
  <si>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</si>
  <si>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</si>
  <si>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</si>
  <si>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</si>
  <si>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</si>
  <si>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</si>
  <si>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</si>
  <si>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</si>
  <si>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</si>
  <si>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</si>
  <si>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</si>
  <si>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</si>
  <si>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</si>
  <si>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</si>
  <si>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</si>
  <si>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</si>
  <si>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</si>
  <si>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</si>
  <si>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</si>
  <si>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</si>
  <si>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</si>
  <si>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</si>
  <si>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</si>
  <si>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</si>
  <si>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</si>
  <si>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</si>
  <si>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</si>
  <si>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</si>
  <si>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</si>
  <si>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</si>
  <si>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</si>
  <si>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</si>
  <si>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</si>
  <si>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</si>
  <si>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</si>
  <si>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</si>
  <si>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</si>
  <si>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</si>
  <si>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</si>
  <si>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</si>
  <si>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</si>
  <si>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</si>
  <si>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</si>
  <si>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</si>
  <si>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</si>
  <si>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</si>
  <si>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</si>
  <si>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</si>
  <si>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</si>
  <si>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</si>
  <si>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</si>
  <si>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</si>
  <si>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</si>
  <si>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</si>
  <si>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</si>
  <si>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</si>
  <si>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</si>
  <si>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</si>
  <si>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</si>
  <si>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</si>
  <si>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</si>
  <si>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</si>
  <si>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</si>
  <si>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</si>
  <si>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</si>
  <si>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</si>
  <si>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</si>
  <si>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</si>
  <si>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</si>
  <si>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</si>
  <si>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</si>
  <si>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</si>
  <si>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</si>
  <si>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</si>
  <si>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</si>
  <si>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</si>
  <si>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</si>
  <si>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</si>
  <si>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</si>
  <si>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</si>
  <si>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</si>
  <si>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</si>
  <si>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</si>
  <si>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</si>
  <si>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</si>
  <si>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</si>
  <si>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</si>
  <si>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</si>
  <si>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</si>
  <si>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</si>
  <si>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</si>
  <si>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</si>
  <si>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</si>
  <si>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</si>
  <si>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</si>
  <si>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</si>
  <si>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</si>
  <si>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</si>
  <si>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</si>
  <si>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</si>
  <si>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</si>
  <si>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</si>
  <si>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</si>
  <si>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</si>
  <si>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</si>
  <si>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</si>
  <si>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</si>
  <si>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</si>
  <si>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</si>
  <si>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</si>
  <si>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</si>
  <si>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</si>
  <si>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</si>
  <si>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</si>
  <si>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</si>
  <si>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</si>
  <si>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</si>
  <si>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</si>
  <si>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</si>
  <si>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</si>
  <si>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</si>
  <si>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</si>
  <si>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</si>
  <si>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</si>
  <si>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</si>
  <si>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</si>
  <si>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</si>
  <si>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</si>
  <si>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</si>
  <si>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</si>
  <si>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</si>
  <si>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</si>
  <si>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</si>
  <si>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</si>
  <si>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</si>
  <si>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</si>
  <si>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</si>
  <si>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</si>
  <si>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</si>
  <si>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</si>
  <si>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</si>
  <si>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</si>
  <si>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</si>
  <si>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</si>
  <si>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</si>
  <si>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</si>
  <si>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</si>
  <si>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</si>
  <si>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</si>
  <si>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</si>
  <si>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</si>
  <si>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</si>
  <si>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</si>
  <si>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</si>
  <si>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</si>
  <si>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</si>
  <si>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</si>
  <si>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</si>
  <si>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</si>
  <si>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</si>
  <si>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</si>
  <si>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</si>
  <si>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</si>
  <si>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</si>
  <si>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</si>
  <si>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</si>
  <si>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</si>
  <si>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</si>
  <si>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</si>
  <si>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</si>
  <si>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</si>
  <si>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</si>
  <si>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</si>
  <si>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</si>
  <si>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</si>
  <si>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</si>
  <si>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</si>
  <si>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</si>
  <si>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</si>
  <si>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</si>
  <si>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</si>
  <si>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</si>
  <si>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</si>
  <si>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</si>
  <si>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</si>
  <si>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</si>
  <si>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</si>
  <si>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</si>
  <si>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</si>
  <si>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</si>
  <si>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</si>
  <si>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</si>
  <si>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</si>
  <si>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</si>
  <si>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</si>
  <si>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</si>
  <si>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</si>
  <si>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</si>
  <si>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</si>
  <si>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</si>
  <si>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</si>
  <si>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</si>
  <si>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</si>
  <si>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</si>
  <si>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</si>
  <si>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</si>
  <si>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</si>
  <si>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</si>
  <si>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</si>
  <si>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</si>
  <si>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</si>
  <si>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</si>
  <si>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</si>
  <si>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</si>
  <si>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</si>
  <si>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</si>
  <si>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</si>
  <si>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</si>
  <si>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</si>
  <si>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</si>
  <si>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</si>
  <si>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</si>
  <si>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</si>
  <si>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</si>
  <si>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</si>
  <si>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</si>
  <si>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</si>
  <si>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</si>
  <si>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</si>
  <si>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</si>
  <si>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</si>
  <si>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</si>
  <si>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</si>
  <si>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</si>
  <si>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</si>
  <si>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</si>
  <si>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</si>
  <si>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</si>
  <si>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</si>
  <si>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</si>
  <si>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</si>
  <si>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</si>
  <si>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</si>
  <si>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</si>
  <si>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</si>
  <si>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</si>
  <si>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</si>
  <si>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</si>
  <si>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</si>
  <si>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</si>
  <si>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</si>
  <si>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</si>
  <si>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</si>
  <si>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</si>
  <si>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</si>
  <si>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</si>
  <si>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</si>
  <si>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</si>
  <si>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</si>
  <si>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</si>
  <si>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</si>
  <si>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</si>
  <si>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</si>
  <si>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</si>
  <si>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</si>
  <si>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</si>
  <si>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</si>
  <si>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</si>
  <si>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</si>
  <si>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</si>
  <si>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</si>
  <si>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</si>
  <si>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</si>
  <si>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</si>
  <si>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</si>
  <si>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</si>
  <si>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</si>
  <si>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</si>
  <si>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</si>
  <si>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</si>
  <si>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</si>
  <si>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</si>
  <si>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</si>
  <si>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</si>
  <si>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</si>
  <si>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</si>
  <si>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</si>
  <si>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</si>
  <si>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</si>
  <si>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</si>
  <si>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</si>
  <si>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</si>
  <si>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</si>
  <si>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</si>
  <si>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</si>
  <si>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</si>
  <si>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</si>
  <si>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</si>
  <si>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</si>
  <si>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</si>
  <si>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</si>
  <si>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</si>
  <si>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</si>
  <si>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</si>
  <si>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</si>
  <si>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</si>
  <si>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</si>
  <si>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</si>
  <si>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</si>
  <si>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</si>
  <si>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</si>
  <si>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</si>
  <si>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</si>
  <si>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</si>
  <si>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</si>
  <si>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</si>
  <si>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</si>
  <si>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</si>
  <si>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</si>
  <si>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</si>
  <si>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</si>
  <si>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</si>
  <si>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</si>
  <si>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</si>
  <si>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</si>
  <si>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</si>
  <si>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</si>
  <si>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</si>
  <si>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</si>
  <si>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</si>
  <si>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</si>
  <si>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</si>
  <si>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</si>
  <si>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</si>
  <si>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</si>
  <si>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</si>
  <si>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</si>
  <si>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</si>
  <si>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</si>
  <si>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</si>
  <si>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</si>
  <si>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</si>
  <si>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</si>
  <si>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</si>
  <si>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</si>
  <si>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</si>
  <si>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</si>
  <si>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</si>
  <si>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</si>
  <si>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</si>
  <si>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</si>
  <si>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</si>
  <si>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</si>
  <si>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</si>
  <si>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</si>
  <si>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</si>
  <si>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</si>
  <si>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</si>
  <si>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</si>
  <si>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</si>
  <si>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</si>
  <si>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</si>
  <si>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</si>
  <si>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</si>
  <si>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</si>
  <si>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</si>
  <si>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</si>
  <si>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</si>
  <si>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</si>
  <si>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</si>
  <si>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</si>
  <si>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</si>
  <si>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</si>
  <si>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</si>
  <si>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</si>
  <si>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</si>
  <si>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</si>
  <si>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</si>
  <si>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</si>
  <si>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</si>
  <si>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</si>
  <si>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</si>
  <si>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</si>
  <si>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</si>
  <si>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</si>
  <si>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</si>
  <si>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</si>
  <si>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</si>
  <si>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</si>
  <si>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</si>
  <si>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</si>
  <si>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</si>
  <si>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</si>
  <si>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</si>
  <si>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</si>
  <si>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</si>
  <si>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</si>
  <si>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</si>
  <si>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</si>
  <si>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</si>
  <si>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</si>
  <si>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</si>
  <si>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</si>
  <si>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</si>
  <si>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</si>
  <si>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</si>
  <si>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</si>
  <si>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</si>
  <si>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</si>
  <si>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</si>
  <si>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</si>
  <si>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</si>
  <si>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</si>
  <si>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</si>
  <si>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</si>
  <si>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</si>
  <si>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</si>
  <si>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</si>
  <si>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</si>
  <si>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</si>
  <si>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</si>
  <si>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</si>
  <si>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</si>
  <si>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</si>
  <si>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</si>
  <si>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</si>
  <si>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</si>
  <si>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</si>
  <si>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</si>
  <si>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</si>
  <si>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</si>
  <si>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</si>
  <si>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</si>
  <si>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</si>
  <si>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</si>
  <si>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</si>
  <si>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</si>
  <si>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</si>
  <si>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</si>
  <si>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</si>
  <si>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</si>
  <si>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</si>
  <si>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</si>
  <si>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</si>
  <si>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</si>
  <si>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</si>
  <si>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</si>
  <si>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</si>
  <si>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</si>
  <si>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</si>
  <si>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</si>
  <si>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</si>
  <si>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</si>
  <si>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</si>
  <si>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</si>
  <si>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</si>
  <si>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</si>
  <si>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</si>
  <si>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</si>
  <si>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</si>
  <si>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</si>
  <si>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</si>
  <si>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</si>
  <si>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</si>
  <si>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</si>
  <si>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</si>
  <si>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</si>
  <si>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</si>
  <si>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</si>
  <si>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</si>
  <si>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</si>
  <si>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</si>
  <si>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</si>
  <si>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</si>
  <si>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</si>
  <si>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</si>
  <si>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</si>
  <si>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</si>
  <si>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</si>
  <si>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</si>
  <si>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</si>
  <si>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</si>
  <si>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</si>
  <si>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</si>
  <si>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</si>
  <si>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</si>
  <si>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</si>
  <si>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</si>
  <si>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</si>
  <si>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</si>
  <si>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</si>
  <si>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</si>
  <si>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</si>
  <si>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</si>
  <si>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</si>
  <si>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</si>
  <si>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</si>
  <si>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</si>
  <si>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</si>
  <si>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</si>
  <si>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</si>
  <si>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</si>
  <si>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</si>
  <si>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</si>
  <si>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</si>
  <si>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</si>
  <si>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</si>
  <si>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</si>
  <si>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</si>
  <si>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</si>
  <si>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</si>
  <si>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</si>
  <si>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</si>
  <si>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</si>
  <si>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</si>
  <si>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</si>
  <si>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</si>
  <si>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</si>
  <si>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</si>
  <si>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</si>
  <si>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</si>
  <si>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</si>
  <si>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</si>
  <si>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</si>
  <si>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</si>
  <si>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</si>
  <si>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</si>
  <si>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</si>
  <si>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</si>
  <si>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</si>
  <si>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</si>
  <si>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</si>
  <si>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</si>
  <si>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</si>
  <si>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</si>
  <si>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</si>
  <si>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</si>
  <si>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</si>
  <si>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</si>
  <si>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</si>
  <si>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</si>
  <si>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</si>
  <si>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</si>
  <si>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</si>
  <si>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</si>
  <si>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</si>
  <si>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</si>
  <si>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</si>
  <si>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</si>
  <si>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</si>
  <si>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</si>
  <si>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</si>
  <si>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</si>
  <si>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</si>
  <si>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</si>
  <si>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</si>
  <si>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</si>
  <si>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</si>
  <si>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</si>
  <si>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</si>
  <si>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</si>
  <si>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</si>
  <si>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</si>
  <si>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</si>
  <si>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</si>
  <si>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</si>
  <si>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</si>
  <si>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</si>
  <si>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</si>
  <si>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</si>
  <si>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</si>
  <si>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</si>
  <si>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</si>
  <si>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</si>
  <si>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</si>
  <si>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</si>
  <si>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</si>
  <si>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</si>
  <si>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</si>
  <si>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</si>
  <si>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</si>
  <si>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</si>
  <si>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</si>
  <si>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</si>
  <si>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</si>
  <si>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</si>
  <si>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</si>
  <si>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</si>
  <si>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</si>
  <si>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</si>
  <si>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</si>
  <si>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</si>
  <si>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</si>
  <si>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</si>
  <si>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</si>
  <si>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</si>
  <si>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</si>
  <si>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</si>
  <si>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</si>
  <si>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</si>
  <si>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</si>
  <si>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</si>
  <si>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</si>
  <si>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</si>
  <si>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</si>
  <si>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</si>
  <si>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</si>
  <si>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</si>
  <si>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</si>
  <si>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</si>
  <si>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</si>
  <si>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</si>
  <si>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</si>
  <si>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</si>
  <si>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</si>
  <si>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</si>
  <si>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</si>
  <si>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</si>
  <si>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</si>
  <si>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</si>
  <si>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</si>
  <si>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</si>
  <si>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</si>
  <si>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</si>
  <si>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</si>
  <si>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</si>
  <si>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</si>
  <si>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</si>
  <si>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</si>
  <si>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</si>
  <si>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</si>
  <si>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</si>
  <si>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</si>
  <si>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</si>
  <si>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</si>
  <si>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</si>
  <si>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</si>
  <si>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</si>
  <si>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</si>
  <si>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</si>
  <si>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</si>
  <si>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</si>
  <si>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</si>
  <si>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</si>
  <si>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</si>
  <si>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</si>
  <si>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</si>
  <si>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</si>
  <si>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</si>
  <si>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</si>
  <si>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</si>
  <si>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</si>
  <si>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</si>
  <si>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</si>
  <si>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</si>
  <si>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</si>
  <si>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</si>
  <si>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</si>
  <si>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</si>
  <si>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</si>
  <si>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</si>
  <si>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</si>
  <si>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</si>
  <si>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</si>
  <si>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</si>
  <si>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</si>
  <si>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</si>
  <si>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</si>
  <si>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</si>
  <si>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</si>
  <si>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</si>
  <si>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</si>
  <si>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</si>
  <si>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</si>
  <si>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</si>
  <si>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</si>
  <si>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</si>
  <si>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</si>
  <si>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</si>
  <si>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</si>
  <si>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</si>
  <si>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</si>
  <si>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</si>
  <si>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</si>
  <si>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</si>
  <si>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</si>
  <si>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</si>
  <si>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</si>
  <si>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</si>
  <si>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</si>
  <si>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</si>
  <si>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</si>
  <si>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</si>
  <si>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</si>
  <si>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</si>
  <si>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</si>
  <si>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</si>
  <si>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</si>
  <si>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</si>
  <si>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</si>
  <si>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</si>
  <si>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</si>
  <si>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</si>
  <si>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</si>
  <si>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</si>
  <si>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</si>
  <si>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</si>
  <si>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</si>
  <si>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</si>
  <si>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</si>
  <si>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</si>
  <si>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</si>
  <si>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</si>
  <si>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</si>
  <si>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</si>
  <si>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</si>
  <si>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</si>
  <si>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</si>
  <si>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</si>
  <si>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</si>
  <si>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</si>
  <si>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</si>
  <si>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</si>
  <si>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</si>
  <si>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</si>
  <si>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</si>
  <si>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</si>
  <si>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</si>
  <si>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</si>
  <si>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</si>
  <si>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</si>
  <si>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</si>
  <si>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</si>
  <si>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</si>
  <si>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</si>
  <si>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</si>
  <si>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</si>
  <si>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</si>
  <si>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</si>
  <si>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</si>
  <si>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</si>
  <si>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</si>
  <si>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</si>
  <si>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</si>
  <si>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</si>
  <si>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</si>
  <si>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</si>
  <si>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</si>
  <si>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</si>
  <si>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</si>
  <si>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</si>
  <si>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</si>
  <si>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</si>
  <si>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</si>
  <si>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</si>
  <si>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</si>
  <si>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</si>
  <si>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</si>
  <si>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</si>
  <si>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</si>
  <si>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</si>
  <si>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</si>
  <si>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</si>
  <si>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</si>
  <si>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</si>
  <si>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</si>
  <si>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</si>
  <si>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</si>
  <si>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</si>
  <si>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</si>
  <si>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</si>
  <si>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</si>
  <si>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</si>
  <si>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</si>
  <si>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</si>
  <si>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</si>
  <si>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</si>
  <si>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</si>
  <si>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</si>
  <si>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</si>
  <si>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</si>
  <si>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</si>
  <si>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</si>
  <si>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</si>
  <si>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</si>
  <si>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</si>
  <si>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</si>
  <si>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</si>
  <si>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</si>
  <si>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</si>
  <si>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</si>
  <si>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</si>
  <si>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</si>
  <si>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</si>
  <si>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</si>
  <si>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</si>
  <si>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</si>
  <si>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</si>
  <si>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</si>
  <si>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</si>
  <si>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</si>
  <si>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</si>
  <si>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</si>
  <si>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</si>
  <si>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</si>
  <si>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</si>
  <si>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</si>
  <si>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</si>
  <si>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</si>
  <si>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</si>
  <si>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</si>
  <si>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</si>
  <si>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</si>
  <si>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</si>
  <si>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</si>
  <si>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</si>
  <si>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</si>
  <si>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</si>
  <si>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</si>
  <si>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</si>
  <si>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</si>
  <si>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</si>
  <si>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</si>
  <si>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</si>
  <si>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</si>
  <si>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</si>
  <si>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</si>
  <si>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</si>
  <si>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</si>
  <si>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</si>
  <si>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</si>
  <si>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</si>
  <si>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</si>
  <si>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</si>
  <si>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</si>
  <si>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</si>
  <si>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</si>
  <si>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</si>
  <si>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</si>
  <si>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</si>
  <si>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</si>
  <si>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</si>
  <si>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</si>
  <si>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</si>
  <si>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</si>
  <si>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</si>
  <si>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</si>
  <si>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</si>
  <si>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</si>
  <si>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</si>
  <si>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</si>
  <si>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</si>
  <si>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</si>
  <si>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</si>
  <si>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</si>
  <si>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</si>
  <si>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</si>
  <si>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</si>
  <si>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</si>
  <si>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</si>
  <si>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</si>
  <si>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</si>
  <si>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</si>
  <si>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</si>
  <si>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</si>
  <si>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</si>
  <si>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</si>
  <si>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</si>
  <si>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</si>
  <si>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</si>
  <si>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</si>
  <si>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</si>
  <si>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</si>
  <si>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</si>
  <si>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</si>
  <si>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</si>
  <si>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</si>
  <si>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</si>
  <si>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</si>
  <si>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</si>
  <si>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</si>
  <si>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</si>
  <si>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</si>
  <si>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</si>
  <si>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</si>
  <si>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</si>
  <si>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</si>
  <si>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</si>
  <si>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</si>
  <si>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</si>
  <si>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</si>
  <si>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</si>
  <si>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</si>
  <si>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</si>
  <si>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</si>
  <si>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</si>
  <si>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</si>
  <si>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</si>
  <si>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</si>
  <si>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</si>
  <si>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</si>
  <si>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</si>
  <si>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</si>
  <si>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</si>
  <si>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</si>
  <si>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</si>
  <si>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</si>
  <si>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</si>
  <si>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</si>
  <si>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</si>
  <si>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</si>
  <si>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</si>
  <si>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</si>
  <si>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</si>
  <si>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</si>
  <si>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</si>
  <si>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</si>
  <si>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</si>
  <si>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</si>
  <si>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</si>
  <si>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</si>
  <si>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</si>
  <si>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</si>
  <si>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</si>
  <si>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</si>
  <si>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</si>
  <si>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</si>
  <si>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</si>
  <si>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</si>
  <si>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</si>
  <si>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</si>
  <si>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</si>
  <si>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</si>
  <si>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</si>
  <si>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</si>
  <si>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</si>
  <si>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</si>
  <si>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</si>
  <si>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</si>
  <si>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</si>
  <si>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</si>
  <si>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</si>
  <si>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</si>
  <si>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</si>
  <si>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</si>
  <si>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</si>
  <si>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</si>
  <si>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</si>
  <si>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</si>
  <si>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</si>
  <si>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</si>
  <si>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</si>
  <si>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</si>
  <si>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</si>
  <si>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</si>
  <si>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</si>
  <si>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</si>
  <si>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</si>
  <si>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</si>
  <si>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</si>
  <si>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</si>
  <si>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</si>
  <si>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</si>
  <si>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</si>
  <si>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</si>
  <si>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</si>
  <si>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</si>
  <si>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</si>
  <si>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</si>
  <si>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</si>
  <si>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</si>
  <si>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</si>
  <si>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</si>
  <si>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</si>
  <si>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</si>
  <si>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</si>
  <si>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</si>
  <si>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</si>
  <si>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</si>
  <si>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</si>
  <si>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</si>
  <si>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</si>
  <si>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</si>
  <si>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</si>
  <si>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</si>
  <si>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</si>
  <si>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</si>
  <si>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</si>
  <si>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</si>
  <si>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</si>
  <si>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</si>
  <si>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</si>
  <si>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</si>
  <si>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</si>
  <si>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</si>
  <si>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</si>
  <si>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</si>
  <si>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</si>
  <si>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</si>
  <si>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</si>
  <si>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</si>
  <si>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</si>
  <si>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</si>
  <si>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</si>
  <si>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</si>
  <si>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</si>
  <si>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</si>
  <si>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</si>
  <si>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</si>
  <si>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</si>
  <si>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</si>
  <si>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</si>
  <si>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</si>
  <si>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</si>
  <si>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</si>
  <si>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</si>
  <si>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</si>
  <si>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</si>
  <si>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</si>
  <si>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</si>
  <si>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</si>
  <si>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</si>
  <si>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</si>
  <si>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</si>
  <si>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</si>
  <si>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</si>
  <si>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</si>
  <si>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</si>
  <si>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</si>
  <si>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</si>
  <si>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</si>
  <si>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</si>
  <si>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</si>
  <si>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</si>
  <si>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</si>
  <si>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</si>
  <si>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</si>
  <si>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</si>
  <si>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</si>
  <si>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</si>
  <si>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</si>
  <si>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</si>
  <si>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</si>
  <si>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</si>
  <si>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</si>
  <si>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</si>
  <si>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</si>
  <si>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</si>
  <si>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</si>
  <si>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</si>
  <si>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</si>
  <si>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</si>
  <si>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</si>
  <si>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</si>
  <si>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</si>
  <si>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</si>
  <si>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</si>
  <si>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</si>
  <si>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</si>
  <si>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</si>
  <si>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</si>
  <si>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</si>
  <si>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</si>
  <si>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</si>
  <si>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</si>
  <si>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</si>
  <si>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</si>
  <si>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</si>
  <si>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</si>
  <si>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</si>
  <si>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</si>
  <si>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</si>
  <si>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</si>
  <si>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</si>
  <si>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</si>
  <si>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</si>
  <si>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</si>
  <si>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</si>
  <si>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</si>
  <si>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</si>
  <si>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</si>
  <si>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</si>
  <si>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</si>
  <si>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</si>
  <si>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</si>
  <si>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</si>
  <si>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</si>
  <si>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</si>
  <si>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</si>
  <si>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</si>
  <si>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</si>
  <si>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</si>
  <si>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</si>
  <si>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</si>
  <si>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</si>
  <si>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</si>
  <si>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</si>
  <si>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</si>
  <si>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</si>
  <si>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</si>
  <si>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</si>
  <si>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</si>
  <si>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</si>
  <si>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</si>
  <si>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</si>
  <si>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</si>
  <si>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</si>
  <si>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</si>
  <si>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</si>
  <si>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</si>
  <si>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</si>
  <si>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</si>
  <si>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</si>
  <si>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</si>
  <si>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</si>
  <si>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</si>
  <si>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</si>
  <si>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</si>
  <si>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</si>
  <si>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</si>
  <si>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</si>
  <si>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</si>
  <si>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</si>
  <si>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</si>
  <si>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</si>
  <si>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</si>
  <si>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</si>
  <si>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</si>
  <si>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</si>
  <si>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</si>
  <si>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</si>
  <si>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</si>
  <si>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</si>
  <si>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</si>
  <si>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</si>
  <si>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</si>
  <si>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</si>
  <si>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</si>
  <si>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</si>
  <si>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</si>
  <si>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</si>
  <si>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</si>
  <si>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</si>
  <si>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</si>
  <si>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</si>
  <si>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</si>
  <si>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</si>
  <si>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</si>
  <si>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</si>
  <si>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</si>
  <si>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</si>
  <si>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</si>
  <si>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</si>
  <si>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</si>
  <si>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</si>
  <si>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</si>
  <si>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</si>
  <si>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</si>
  <si>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</si>
  <si>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</si>
  <si>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</si>
  <si>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</si>
  <si>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</si>
  <si>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</si>
  <si>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</si>
  <si>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</si>
  <si>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</si>
  <si>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</si>
  <si>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</si>
  <si>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</si>
  <si>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</si>
  <si>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</si>
  <si>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</si>
  <si>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</si>
  <si>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</si>
  <si>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</si>
  <si>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</si>
  <si>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</si>
  <si>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</si>
  <si>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</si>
  <si>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</si>
  <si>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</si>
  <si>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</si>
  <si>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</si>
  <si>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</si>
  <si>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</si>
  <si>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</si>
  <si>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</si>
  <si>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</si>
  <si>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</si>
  <si>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</si>
  <si>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</si>
  <si>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</si>
  <si>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</si>
  <si>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</si>
  <si>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</si>
  <si>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</si>
  <si>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</si>
  <si>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</si>
  <si>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</si>
  <si>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</si>
  <si>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</si>
  <si>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</si>
  <si>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</si>
  <si>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</si>
  <si>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</si>
  <si>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</si>
  <si>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</si>
  <si>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</si>
  <si>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</si>
  <si>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</si>
  <si>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</si>
  <si>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</si>
  <si>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</si>
  <si>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</si>
  <si>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</si>
  <si>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</si>
  <si>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</si>
  <si>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</si>
  <si>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</si>
  <si>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</si>
  <si>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</si>
  <si>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</si>
  <si>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</si>
  <si>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</si>
  <si>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</si>
  <si>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</si>
  <si>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</si>
  <si>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</si>
  <si>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</si>
  <si>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</si>
  <si>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</si>
  <si>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</si>
  <si>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</si>
  <si>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</si>
  <si>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</si>
  <si>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</si>
  <si>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</si>
  <si>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</si>
  <si>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</si>
  <si>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</si>
  <si>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</si>
  <si>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</si>
  <si>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</si>
  <si>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</si>
  <si>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</si>
  <si>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</si>
  <si>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</si>
  <si>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</si>
  <si>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</si>
  <si>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</si>
  <si>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</si>
  <si>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</si>
  <si>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</si>
  <si>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</si>
  <si>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</si>
  <si>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</si>
  <si>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</si>
  <si>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</si>
  <si>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</si>
  <si>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</si>
  <si>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</si>
  <si>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</si>
  <si>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</si>
  <si>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</si>
  <si>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</si>
  <si>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</si>
  <si>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</si>
  <si>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</si>
  <si>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</si>
  <si>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</si>
  <si>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</si>
  <si>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</si>
  <si>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</si>
  <si>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</si>
  <si>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</si>
  <si>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</si>
  <si>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</si>
  <si>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</si>
  <si>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</si>
  <si>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</si>
  <si>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</si>
  <si>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</si>
  <si>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</si>
  <si>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</si>
  <si>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</si>
  <si>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</si>
  <si>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</si>
  <si>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</si>
  <si>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</si>
  <si>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</si>
  <si>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</si>
  <si>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</si>
  <si>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</si>
  <si>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</si>
  <si>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</si>
  <si>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</si>
  <si>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</si>
  <si>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</si>
  <si>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</si>
  <si>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</si>
  <si>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</si>
  <si>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</si>
  <si>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</si>
  <si>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</si>
  <si>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</si>
  <si>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</si>
  <si>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</si>
  <si>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</si>
  <si>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</si>
  <si>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</si>
  <si>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</si>
  <si>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</si>
  <si>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</si>
  <si>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</si>
  <si>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</si>
  <si>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</si>
  <si>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</si>
  <si>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</si>
  <si>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</si>
  <si>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</si>
  <si>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</si>
  <si>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</si>
  <si>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</si>
  <si>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</si>
  <si>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</si>
  <si>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</si>
  <si>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</si>
  <si>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</si>
  <si>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</si>
  <si>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</si>
  <si>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</si>
  <si>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</si>
  <si>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</si>
  <si>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</si>
  <si>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</si>
  <si>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</si>
  <si>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</si>
  <si>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</si>
  <si>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</si>
  <si>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</si>
  <si>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</si>
  <si>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</si>
  <si>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</si>
  <si>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</si>
  <si>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</si>
  <si>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</si>
  <si>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</si>
  <si>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</si>
  <si>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</si>
  <si>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</si>
  <si>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</si>
  <si>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</si>
  <si>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</si>
  <si>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</si>
  <si>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</si>
  <si>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</si>
  <si>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</si>
  <si>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</si>
  <si>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</si>
  <si>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</si>
  <si>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</si>
  <si>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</si>
  <si>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</si>
  <si>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</si>
  <si>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</si>
  <si>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</si>
  <si>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</si>
  <si>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</si>
  <si>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</si>
  <si>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</si>
  <si>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</si>
  <si>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</si>
  <si>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</si>
  <si>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</si>
  <si>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</si>
  <si>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</si>
  <si>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</si>
  <si>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</si>
  <si>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</si>
  <si>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</si>
  <si>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</si>
  <si>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</si>
  <si>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</si>
  <si>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</si>
  <si>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</si>
  <si>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</si>
  <si>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</si>
  <si>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</si>
  <si>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</si>
  <si>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</si>
  <si>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</si>
  <si>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</si>
  <si>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</si>
  <si>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</si>
  <si>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</si>
  <si>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</si>
  <si>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</si>
  <si>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</si>
  <si>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</si>
  <si>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</si>
  <si>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</si>
  <si>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</si>
  <si>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</si>
  <si>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</si>
  <si>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</si>
  <si>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</si>
  <si>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</si>
  <si>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</si>
  <si>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</si>
  <si>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</si>
  <si>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</si>
  <si>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</si>
  <si>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</si>
  <si>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</si>
  <si>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</si>
  <si>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</si>
  <si>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</si>
  <si>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</si>
  <si>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</si>
  <si>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</si>
  <si>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</si>
  <si>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</si>
  <si>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</si>
  <si>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</si>
  <si>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</si>
  <si>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</si>
  <si>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</si>
  <si>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</si>
  <si>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</si>
  <si>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</si>
  <si>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</si>
  <si>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</si>
  <si>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</si>
  <si>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</si>
  <si>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</si>
  <si>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</si>
  <si>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</si>
  <si>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</si>
  <si>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</si>
  <si>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</si>
  <si>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</si>
  <si>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</si>
  <si>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</si>
  <si>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</si>
  <si>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</si>
  <si>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</si>
  <si>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</si>
  <si>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</si>
  <si>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</si>
  <si>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</si>
  <si>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</si>
  <si>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</si>
  <si>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</si>
  <si>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</si>
  <si>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</si>
  <si>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</si>
  <si>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</si>
  <si>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</si>
  <si>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</si>
  <si>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</si>
  <si>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</si>
  <si>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</si>
  <si>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</si>
  <si>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</si>
  <si>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</si>
  <si>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</si>
  <si>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</si>
  <si>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</si>
  <si>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</si>
  <si>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</si>
  <si>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</si>
  <si>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</si>
  <si>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</si>
  <si>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</si>
  <si>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</si>
  <si>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</si>
  <si>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</si>
  <si>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</si>
  <si>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</si>
  <si>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</si>
  <si>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</si>
  <si>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</si>
  <si>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</si>
  <si>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</si>
  <si>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</si>
  <si>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</si>
  <si>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</si>
  <si>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</si>
  <si>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</si>
  <si>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</si>
  <si>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</si>
  <si>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</si>
  <si>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</si>
  <si>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</si>
  <si>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</si>
  <si>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</si>
  <si>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</si>
  <si>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</si>
  <si>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</si>
  <si>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</si>
  <si>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</si>
  <si>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</si>
  <si>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</si>
  <si>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</si>
  <si>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</si>
  <si>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</si>
  <si>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</si>
  <si>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</si>
  <si>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</si>
  <si>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</si>
  <si>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</si>
  <si>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</si>
  <si>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</si>
  <si>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</si>
  <si>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</si>
  <si>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</si>
  <si>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</si>
  <si>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</si>
  <si>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</si>
  <si>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</si>
  <si>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</si>
  <si>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</si>
  <si>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</si>
  <si>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</si>
  <si>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</si>
  <si>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</si>
  <si>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</si>
  <si>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</si>
  <si>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</si>
  <si>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</si>
  <si>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</si>
  <si>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</si>
  <si>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</si>
  <si>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</si>
  <si>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</si>
  <si>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</si>
  <si>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</si>
  <si>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</si>
  <si>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</si>
  <si>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</si>
  <si>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</si>
  <si>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</si>
  <si>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</si>
  <si>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</si>
  <si>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</si>
  <si>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</si>
  <si>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</si>
  <si>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</si>
  <si>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</si>
  <si>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</si>
  <si>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</si>
  <si>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</si>
  <si>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</si>
  <si>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</si>
  <si>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</si>
  <si>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</si>
  <si>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</si>
  <si>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</si>
  <si>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</si>
  <si>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</si>
  <si>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</si>
  <si>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</si>
  <si>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</si>
  <si>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</si>
  <si>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</si>
  <si>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</si>
  <si>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</si>
  <si>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</si>
  <si>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</si>
  <si>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</si>
  <si>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</si>
  <si>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</si>
  <si>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</si>
  <si>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</si>
  <si>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</si>
  <si>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</si>
  <si>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</si>
  <si>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</si>
  <si>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</si>
  <si>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</si>
  <si>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</si>
  <si>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</si>
  <si>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</si>
  <si>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</si>
  <si>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</si>
  <si>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</si>
  <si>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</si>
  <si>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</si>
  <si>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</si>
  <si>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</si>
  <si>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</si>
  <si>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</si>
  <si>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</si>
  <si>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</si>
  <si>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</si>
  <si>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</si>
  <si>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</si>
  <si>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</si>
  <si>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</si>
  <si>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</si>
  <si>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</si>
  <si>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</si>
  <si>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</si>
  <si>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</si>
  <si>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</si>
  <si>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</si>
  <si>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</si>
  <si>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</si>
  <si>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</si>
  <si>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</si>
  <si>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</si>
  <si>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</si>
  <si>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</si>
  <si>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</si>
  <si>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</si>
  <si>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</si>
  <si>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</si>
  <si>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</si>
  <si>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</si>
  <si>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</si>
  <si>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</si>
  <si>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</si>
  <si>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</si>
  <si>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</si>
  <si>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</si>
  <si>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</si>
  <si>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</si>
  <si>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</si>
  <si>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</si>
  <si>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</si>
  <si>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</si>
  <si>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</si>
  <si>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</si>
  <si>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</si>
  <si>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</si>
  <si>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</si>
  <si>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</si>
  <si>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</si>
  <si>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</si>
  <si>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</si>
  <si>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</si>
  <si>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</si>
  <si>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</si>
  <si>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</si>
  <si>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</si>
  <si>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</si>
  <si>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</si>
  <si>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</si>
  <si>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</si>
  <si>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</si>
  <si>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</si>
  <si>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</si>
  <si>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</si>
  <si>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</si>
  <si>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</si>
  <si>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</si>
  <si>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</si>
  <si>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</si>
  <si>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</si>
  <si>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</si>
  <si>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</si>
  <si>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</si>
  <si>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</si>
  <si>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</si>
  <si>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</si>
  <si>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</si>
  <si>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</si>
  <si>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</si>
  <si>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</si>
  <si>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</si>
  <si>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</si>
  <si>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</si>
  <si>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</si>
  <si>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</si>
  <si>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</si>
  <si>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</si>
  <si>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</si>
  <si>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</si>
  <si>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</si>
  <si>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</si>
  <si>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</si>
  <si>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</si>
  <si>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</si>
  <si>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</si>
  <si>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</si>
  <si>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</si>
  <si>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</si>
  <si>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</si>
  <si>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</si>
  <si>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</si>
  <si>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</si>
  <si>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</si>
  <si>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</si>
  <si>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</si>
  <si>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</si>
  <si>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</si>
  <si>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</si>
  <si>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</si>
  <si>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</si>
  <si>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</si>
  <si>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</si>
  <si>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</si>
  <si>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</si>
  <si>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</si>
  <si>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</si>
  <si>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</si>
  <si>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</si>
  <si>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</si>
  <si>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</si>
  <si>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</si>
  <si>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</si>
  <si>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</si>
  <si>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</si>
  <si>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</si>
  <si>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</si>
  <si>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</si>
  <si>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</si>
  <si>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</si>
  <si>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</si>
  <si>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</si>
  <si>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</si>
  <si>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</si>
  <si>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</si>
  <si>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</si>
  <si>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</si>
  <si>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</si>
  <si>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</si>
  <si>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</si>
  <si>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</si>
  <si>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</si>
  <si>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</si>
  <si>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</si>
  <si>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</si>
  <si>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</si>
  <si>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</si>
  <si>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</si>
  <si>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</si>
  <si>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</si>
  <si>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</si>
  <si>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</si>
  <si>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</si>
  <si>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</si>
  <si>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</si>
  <si>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</si>
  <si>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</si>
  <si>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</si>
  <si>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</si>
  <si>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</si>
  <si>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</si>
  <si>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</si>
  <si>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</si>
  <si>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</si>
  <si>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</si>
  <si>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</si>
  <si>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</si>
  <si>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</si>
  <si>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</si>
  <si>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</si>
  <si>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</si>
  <si>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</si>
  <si>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</si>
  <si>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</si>
  <si>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</si>
  <si>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</si>
  <si>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</si>
  <si>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</si>
  <si>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</si>
  <si>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</si>
  <si>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</si>
  <si>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</si>
  <si>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</si>
  <si>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</si>
  <si>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</si>
  <si>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</si>
  <si>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</si>
  <si>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</si>
  <si>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</si>
  <si>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</si>
  <si>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</si>
  <si>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</si>
  <si>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</si>
  <si>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</si>
  <si>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</si>
  <si>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</si>
  <si>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</si>
  <si>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</si>
  <si>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</si>
  <si>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</si>
  <si>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</si>
  <si>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</si>
  <si>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</si>
  <si>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</si>
  <si>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</si>
  <si>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</si>
  <si>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</si>
  <si>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</si>
  <si>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</si>
  <si>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</si>
  <si>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</si>
  <si>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</si>
  <si>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</si>
  <si>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</si>
  <si>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</si>
  <si>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</si>
  <si>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</si>
  <si>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</si>
  <si>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</si>
  <si>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</si>
  <si>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</si>
  <si>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</si>
  <si>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</si>
  <si>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</si>
  <si>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</si>
  <si>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</si>
  <si>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</si>
  <si>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</si>
  <si>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</si>
  <si>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</si>
  <si>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</si>
  <si>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</si>
  <si>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</si>
  <si>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</si>
  <si>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</si>
  <si>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</si>
  <si>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</si>
  <si>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</si>
  <si>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</si>
  <si>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</si>
  <si>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</si>
  <si>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</si>
  <si>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</si>
  <si>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</si>
  <si>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</si>
  <si>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</si>
  <si>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</si>
  <si>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</si>
  <si>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</si>
  <si>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</si>
  <si>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</si>
  <si>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</si>
  <si>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</si>
  <si>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</si>
  <si>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</si>
  <si>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</si>
  <si>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</si>
  <si>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</si>
  <si>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</si>
  <si>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</si>
  <si>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</si>
  <si>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</si>
  <si>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</si>
  <si>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</si>
  <si>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</si>
  <si>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</si>
  <si>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</si>
  <si>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</si>
  <si>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</si>
  <si>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</si>
  <si>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</si>
  <si>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</si>
  <si>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</si>
  <si>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</si>
  <si>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</si>
  <si>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</si>
  <si>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</si>
  <si>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</si>
  <si>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</si>
  <si>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</si>
  <si>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</si>
  <si>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</si>
  <si>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</si>
  <si>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</si>
  <si>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</si>
  <si>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</si>
  <si>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</si>
  <si>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</si>
  <si>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</si>
  <si>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</si>
  <si>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</si>
  <si>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</si>
  <si>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</si>
  <si>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</si>
  <si>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</si>
  <si>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</si>
  <si>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</si>
  <si>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</si>
  <si>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</si>
  <si>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</si>
  <si>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</si>
  <si>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</si>
  <si>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</si>
  <si>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</si>
  <si>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</si>
  <si>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</si>
  <si>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</si>
  <si>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</si>
  <si>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</si>
  <si>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</si>
  <si>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</si>
  <si>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</si>
  <si>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</si>
  <si>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</si>
  <si>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</si>
  <si>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</si>
  <si>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</si>
  <si>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</si>
  <si>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</si>
  <si>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</si>
  <si>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</si>
  <si>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</si>
  <si>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</si>
  <si>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</si>
  <si>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</si>
  <si>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</si>
  <si>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</si>
  <si>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</si>
  <si>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</si>
  <si>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</si>
  <si>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</si>
  <si>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</si>
  <si>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</si>
  <si>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</si>
  <si>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</si>
  <si>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</si>
  <si>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</si>
  <si>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</si>
  <si>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</si>
  <si>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</si>
  <si>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</si>
  <si>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</si>
  <si>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</si>
  <si>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</si>
  <si>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</si>
  <si>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</si>
  <si>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</si>
  <si>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</si>
  <si>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</si>
  <si>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</si>
  <si>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</si>
  <si>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</si>
  <si>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</si>
  <si>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</si>
  <si>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</si>
  <si>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</si>
  <si>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</si>
  <si>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</si>
  <si>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</si>
  <si>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</si>
  <si>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</si>
  <si>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</si>
  <si>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</si>
  <si>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</si>
  <si>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</si>
  <si>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</si>
  <si>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</si>
  <si>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</si>
  <si>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</si>
  <si>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</si>
  <si>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</si>
  <si>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</si>
  <si>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</si>
  <si>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</si>
  <si>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</si>
  <si>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</si>
  <si>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</si>
  <si>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</si>
  <si>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</si>
  <si>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</si>
  <si>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</si>
  <si>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</si>
  <si>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</si>
  <si>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</si>
  <si>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</si>
  <si>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</si>
  <si>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</si>
  <si>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</si>
  <si>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</si>
  <si>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</si>
  <si>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</si>
  <si>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</si>
  <si>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</si>
  <si>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</si>
  <si>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</si>
  <si>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</si>
  <si>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</si>
  <si>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</si>
  <si>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</si>
  <si>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</si>
  <si>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</si>
  <si>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</si>
  <si>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</si>
  <si>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</si>
  <si>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</si>
  <si>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</si>
  <si>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</si>
  <si>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</si>
  <si>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</si>
  <si>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</si>
  <si>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</si>
  <si>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</si>
  <si>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</si>
  <si>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</si>
  <si>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</si>
  <si>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</si>
  <si>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</si>
  <si>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</si>
  <si>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</si>
  <si>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</si>
  <si>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</si>
  <si>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</si>
  <si>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</si>
  <si>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</si>
  <si>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</si>
  <si>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</si>
  <si>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</si>
  <si>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</si>
  <si>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</si>
  <si>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</si>
  <si>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</si>
  <si>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</si>
  <si>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</si>
  <si>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</si>
  <si>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</si>
  <si>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</si>
  <si>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</si>
  <si>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</si>
  <si>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</si>
  <si>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</si>
  <si>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</si>
  <si>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</si>
  <si>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</si>
  <si>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</si>
  <si>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</si>
  <si>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</si>
  <si>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</si>
  <si>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</si>
  <si>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</si>
  <si>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</si>
  <si>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</si>
  <si>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</si>
  <si>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</si>
  <si>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</si>
  <si>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</si>
  <si>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</si>
  <si>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</si>
  <si>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</si>
  <si>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</si>
  <si>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</si>
  <si>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</si>
  <si>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</si>
  <si>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</si>
  <si>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</si>
  <si>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</si>
  <si>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</si>
  <si>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</si>
  <si>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</si>
  <si>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</si>
  <si>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</si>
  <si>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</si>
  <si>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</si>
  <si>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</si>
  <si>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</si>
  <si>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</si>
  <si>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</si>
  <si>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</si>
  <si>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</si>
  <si>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</si>
  <si>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</si>
  <si>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</si>
  <si>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</si>
  <si>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</si>
  <si>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</si>
  <si>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</si>
  <si>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</si>
  <si>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</si>
  <si>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</si>
  <si>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</si>
  <si>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</si>
  <si>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</si>
  <si>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</si>
  <si>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</si>
  <si>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</si>
  <si>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</si>
  <si>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</si>
  <si>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</si>
  <si>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</si>
  <si>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</si>
  <si>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</si>
  <si>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</si>
  <si>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</si>
  <si>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</si>
  <si>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</si>
  <si>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</si>
  <si>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</si>
  <si>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</si>
  <si>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</si>
  <si>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</si>
  <si>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</si>
  <si>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</si>
  <si>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</si>
  <si>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</si>
  <si>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</si>
  <si>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</si>
  <si>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</si>
  <si>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</si>
  <si>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</si>
  <si>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</si>
  <si>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</si>
  <si>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</si>
  <si>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</si>
  <si>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</si>
  <si>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</si>
  <si>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</si>
  <si>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</si>
  <si>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</si>
  <si>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</si>
  <si>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</si>
  <si>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</si>
  <si>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</si>
  <si>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</si>
  <si>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</si>
  <si>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</si>
  <si>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</si>
  <si>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</si>
  <si>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</si>
  <si>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</si>
  <si>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</si>
  <si>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</si>
  <si>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</si>
  <si>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</si>
  <si>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</si>
  <si>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</si>
  <si>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</si>
  <si>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</si>
  <si>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</si>
  <si>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</si>
  <si>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</si>
  <si>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</si>
  <si>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</si>
  <si>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</si>
  <si>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</si>
  <si>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</si>
  <si>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</si>
  <si>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</si>
  <si>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</si>
  <si>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</si>
  <si>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</si>
  <si>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</si>
  <si>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</si>
  <si>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</si>
  <si>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</si>
  <si>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</si>
  <si>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</si>
  <si>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</si>
  <si>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</si>
  <si>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</si>
  <si>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</si>
  <si>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</si>
  <si>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</si>
  <si>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</si>
  <si>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</si>
  <si>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</si>
  <si>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</si>
  <si>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</si>
  <si>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</si>
  <si>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</si>
  <si>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</si>
  <si>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</si>
  <si>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</si>
  <si>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</si>
  <si>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</si>
  <si>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</si>
  <si>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</si>
  <si>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</si>
  <si>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</si>
  <si>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</si>
  <si>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</si>
  <si>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</si>
  <si>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</si>
  <si>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</si>
  <si>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</si>
  <si>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</si>
  <si>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</si>
  <si>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</si>
  <si>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</si>
  <si>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</si>
  <si>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</si>
  <si>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</si>
  <si>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</si>
  <si>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</si>
  <si>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</si>
  <si>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</si>
  <si>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</si>
  <si>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</si>
  <si>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</si>
  <si>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</si>
  <si>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</si>
  <si>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</si>
  <si>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</si>
  <si>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</si>
  <si>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</si>
  <si>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</si>
  <si>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</si>
  <si>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</si>
  <si>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</si>
  <si>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</si>
  <si>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</si>
  <si>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</si>
  <si>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</si>
  <si>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</si>
  <si>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</si>
  <si>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</si>
  <si>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</si>
  <si>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</si>
  <si>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</si>
  <si>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</si>
  <si>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</si>
  <si>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</si>
  <si>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</si>
  <si>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</si>
  <si>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</si>
  <si>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</si>
  <si>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</si>
  <si>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</si>
  <si>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</si>
  <si>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</si>
  <si>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</si>
  <si>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</si>
  <si>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</si>
  <si>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</si>
  <si>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</si>
  <si>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</si>
  <si>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</si>
  <si>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</si>
  <si>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</si>
  <si>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</si>
  <si>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</si>
  <si>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</si>
  <si>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</si>
  <si>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</si>
  <si>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</si>
  <si>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</si>
  <si>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</si>
  <si>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</si>
  <si>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</si>
  <si>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</si>
  <si>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</si>
  <si>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</si>
  <si>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</si>
  <si>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</si>
  <si>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</si>
  <si>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</si>
  <si>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</si>
  <si>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</si>
  <si>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</si>
  <si>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</si>
  <si>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</si>
  <si>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</si>
  <si>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</si>
  <si>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</si>
  <si>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</si>
  <si>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</si>
  <si>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</si>
  <si>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</si>
  <si>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</si>
  <si>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</si>
  <si>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</si>
  <si>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</si>
  <si>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</si>
  <si>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</si>
  <si>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</si>
  <si>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</si>
  <si>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</si>
  <si>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</si>
  <si>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</si>
  <si>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</si>
  <si>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</si>
  <si>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</si>
  <si>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</si>
  <si>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</si>
  <si>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</si>
  <si>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</si>
  <si>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</si>
  <si>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</si>
  <si>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</si>
  <si>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</si>
  <si>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</si>
  <si>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</si>
  <si>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</si>
  <si>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</si>
  <si>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</si>
  <si>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</si>
  <si>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</si>
  <si>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</si>
  <si>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</si>
  <si>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</si>
  <si>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</si>
  <si>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</si>
  <si>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</si>
  <si>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</si>
  <si>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</si>
  <si>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</si>
  <si>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</si>
  <si>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</si>
  <si>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</si>
  <si>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</si>
  <si>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</si>
  <si>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</si>
  <si>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</si>
  <si>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</si>
  <si>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</si>
  <si>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</si>
  <si>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</si>
  <si>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</si>
  <si>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</si>
  <si>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</si>
  <si>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</si>
  <si>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</si>
  <si>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</si>
  <si>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</si>
  <si>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</si>
  <si>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</si>
  <si>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</si>
  <si>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</si>
  <si>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</si>
  <si>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</si>
  <si>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</si>
  <si>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</si>
  <si>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</si>
  <si>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</si>
  <si>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</si>
  <si>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</si>
  <si>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</si>
  <si>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</si>
  <si>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</si>
  <si>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</si>
  <si>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</si>
  <si>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</si>
  <si>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</si>
  <si>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</si>
  <si>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</si>
  <si>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</si>
  <si>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</si>
  <si>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</si>
  <si>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</si>
  <si>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</si>
  <si>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</si>
  <si>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</si>
  <si>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</si>
  <si>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</si>
  <si>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</si>
  <si>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</si>
  <si>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</si>
  <si>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</si>
  <si>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</si>
  <si>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</si>
  <si>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</si>
  <si>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</si>
  <si>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</si>
  <si>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</si>
  <si>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</si>
  <si>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</si>
  <si>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</si>
  <si>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</si>
  <si>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</si>
  <si>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</si>
  <si>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</si>
  <si>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</si>
  <si>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</si>
  <si>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</si>
  <si>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</si>
  <si>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</si>
  <si>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</si>
  <si>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</si>
  <si>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</si>
  <si>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</si>
  <si>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</si>
  <si>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</si>
  <si>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</si>
  <si>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</si>
  <si>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</si>
  <si>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</si>
  <si>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</si>
  <si>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</si>
  <si>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</si>
  <si>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</si>
  <si>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</si>
  <si>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</si>
  <si>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</si>
  <si>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</si>
  <si>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</si>
  <si>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</si>
  <si>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</si>
  <si>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</si>
  <si>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</si>
  <si>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</si>
  <si>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</si>
  <si>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</si>
  <si>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</si>
  <si>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</si>
  <si>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</si>
  <si>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</si>
  <si>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</si>
  <si>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</si>
  <si>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</si>
  <si>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</si>
  <si>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</si>
  <si>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</si>
  <si>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</si>
  <si>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</si>
  <si>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</si>
  <si>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</si>
  <si>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</si>
  <si>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</si>
  <si>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</si>
  <si>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</si>
  <si>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</si>
  <si>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</si>
  <si>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</si>
  <si>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</si>
  <si>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</si>
  <si>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</si>
  <si>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</si>
  <si>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</si>
  <si>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</si>
  <si>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</si>
  <si>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</si>
  <si>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</si>
  <si>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</si>
  <si>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</si>
  <si>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</si>
  <si>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</si>
  <si>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</si>
  <si>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</si>
  <si>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</si>
  <si>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</si>
  <si>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</si>
  <si>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</si>
  <si>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</si>
  <si>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</si>
  <si>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</si>
  <si>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</si>
  <si>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</si>
  <si>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</si>
  <si>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</si>
  <si>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</si>
  <si>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</si>
  <si>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</si>
  <si>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</si>
  <si>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</si>
  <si>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</si>
  <si>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</si>
  <si>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</si>
  <si>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</si>
  <si>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</si>
  <si>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</si>
  <si>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</si>
  <si>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</si>
  <si>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</si>
  <si>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</si>
  <si>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</si>
  <si>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</si>
  <si>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</si>
  <si>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</si>
  <si>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</si>
  <si>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</si>
  <si>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</si>
  <si>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</si>
  <si>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</si>
  <si>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</si>
  <si>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</si>
  <si>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</si>
  <si>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</si>
  <si>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</si>
  <si>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</si>
  <si>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</si>
  <si>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</si>
  <si>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</si>
  <si>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</si>
  <si>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</si>
  <si>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</si>
  <si>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</si>
  <si>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</si>
  <si>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</si>
  <si>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</si>
  <si>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</si>
  <si>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</si>
  <si>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</si>
  <si>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</si>
  <si>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</si>
  <si>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</si>
  <si>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</si>
  <si>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</si>
  <si>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</si>
  <si>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</si>
  <si>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</si>
  <si>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</si>
  <si>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</si>
  <si>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</si>
  <si>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</si>
  <si>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</si>
  <si>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</si>
  <si>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</si>
  <si>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</si>
  <si>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</si>
  <si>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</si>
  <si>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</si>
  <si>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</si>
  <si>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</si>
  <si>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</si>
  <si>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</si>
  <si>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</si>
  <si>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</si>
  <si>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</si>
  <si>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</si>
  <si>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</si>
  <si>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</si>
  <si>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</si>
  <si>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</si>
  <si>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</si>
  <si>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</si>
  <si>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</si>
  <si>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</si>
  <si>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</si>
  <si>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</si>
  <si>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</si>
  <si>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</si>
  <si>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</si>
  <si>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</si>
  <si>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</si>
  <si>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</si>
  <si>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</si>
  <si>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</si>
  <si>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</si>
  <si>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</si>
  <si>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</si>
  <si>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</si>
  <si>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</si>
  <si>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</si>
  <si>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</si>
  <si>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</si>
  <si>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</si>
  <si>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</si>
  <si>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</si>
  <si>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</si>
  <si>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</si>
  <si>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</si>
  <si>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</si>
  <si>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</si>
  <si>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</si>
  <si>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</si>
  <si>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</si>
  <si>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</si>
  <si>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</si>
  <si>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</si>
  <si>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</si>
  <si>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</si>
  <si>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</si>
  <si>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</si>
  <si>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</si>
  <si>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</si>
  <si>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</si>
  <si>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</si>
  <si>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</si>
  <si>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</si>
  <si>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</si>
  <si>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</si>
  <si>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</si>
  <si>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</si>
  <si>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</si>
  <si>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</si>
  <si>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</si>
  <si>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</si>
  <si>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</si>
  <si>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</si>
  <si>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</si>
  <si>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</si>
  <si>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</si>
  <si>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</si>
  <si>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</si>
  <si>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</si>
  <si>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</si>
  <si>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</si>
  <si>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</si>
  <si>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</si>
  <si>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</si>
  <si>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</si>
  <si>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</si>
  <si>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</si>
  <si>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</si>
  <si>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</si>
  <si>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</si>
  <si>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</si>
  <si>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</si>
  <si>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</si>
  <si>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</si>
  <si>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</si>
  <si>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</si>
  <si>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</si>
  <si>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</si>
  <si>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</si>
  <si>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</si>
  <si>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</si>
  <si>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</si>
  <si>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</si>
  <si>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</si>
  <si>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</si>
  <si>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</si>
  <si>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</si>
  <si>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</si>
  <si>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</si>
  <si>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</si>
  <si>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</si>
  <si>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</si>
  <si>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</si>
  <si>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</si>
  <si>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</si>
  <si>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</si>
  <si>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</si>
  <si>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</si>
  <si>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</si>
  <si>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</si>
  <si>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</si>
  <si>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</si>
  <si>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</si>
  <si>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</si>
  <si>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</si>
  <si>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</si>
  <si>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</si>
  <si>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</si>
  <si>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</si>
  <si>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</si>
  <si>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</si>
  <si>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</si>
  <si>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</si>
  <si>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</si>
  <si>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</si>
  <si>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</si>
  <si>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</si>
  <si>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</si>
  <si>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</si>
  <si>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</si>
  <si>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</si>
  <si>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</si>
  <si>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</si>
  <si>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</si>
  <si>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</si>
  <si>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</si>
  <si>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</si>
  <si>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</si>
  <si>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</si>
  <si>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</si>
  <si>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</si>
  <si>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</si>
  <si>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</si>
  <si>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</si>
  <si>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</si>
  <si>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</si>
  <si>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</si>
  <si>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</si>
  <si>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</si>
  <si>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</si>
  <si>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</si>
  <si>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</si>
  <si>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</si>
  <si>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</si>
  <si>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</si>
  <si>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</si>
  <si>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</si>
  <si>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</si>
  <si>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</si>
  <si>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</si>
  <si>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</si>
  <si>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</si>
  <si>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</si>
  <si>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</si>
  <si>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</si>
  <si>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</si>
  <si>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</si>
  <si>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</si>
  <si>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</si>
  <si>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</si>
  <si>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</si>
  <si>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</si>
  <si>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</si>
  <si>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</si>
  <si>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</si>
  <si>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</si>
  <si>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</si>
  <si>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</si>
  <si>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</si>
  <si>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</si>
  <si>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</si>
  <si>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</si>
  <si>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</si>
  <si>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</si>
  <si>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</si>
  <si>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</si>
  <si>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</si>
  <si>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</si>
  <si>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</si>
  <si>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</si>
  <si>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</si>
  <si>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</si>
  <si>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</si>
  <si>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</si>
  <si>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</si>
  <si>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</si>
  <si>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</si>
  <si>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</si>
  <si>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</si>
  <si>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</si>
  <si>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</si>
  <si>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</si>
  <si>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</si>
  <si>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</si>
  <si>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</si>
  <si>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</si>
  <si>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</si>
  <si>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</si>
  <si>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</si>
  <si>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</si>
  <si>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</si>
  <si>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</si>
  <si>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</si>
  <si>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</si>
  <si>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</si>
  <si>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</si>
  <si>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</si>
  <si>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</si>
  <si>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</si>
  <si>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</si>
  <si>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</si>
  <si>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</si>
  <si>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</si>
  <si>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</si>
  <si>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</si>
  <si>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</si>
  <si>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</si>
  <si>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</si>
  <si>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</si>
  <si>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</si>
  <si>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</si>
  <si>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</si>
  <si>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</si>
  <si>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</si>
  <si>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</si>
  <si>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</si>
  <si>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</si>
  <si>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</si>
  <si>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</si>
  <si>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</si>
  <si>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</si>
  <si>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</si>
  <si>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</si>
  <si>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</si>
  <si>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</si>
  <si>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</si>
  <si>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</si>
  <si>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</si>
  <si>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</si>
  <si>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</si>
  <si>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</si>
  <si>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</si>
  <si>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</si>
  <si>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</si>
  <si>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</si>
  <si>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</si>
  <si>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</si>
  <si>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</si>
  <si>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</si>
  <si>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</si>
  <si>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</si>
  <si>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</si>
  <si>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</si>
  <si>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</si>
  <si>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</si>
  <si>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</si>
  <si>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</si>
  <si>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</si>
  <si>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</si>
  <si>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</si>
  <si>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</si>
  <si>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</si>
  <si>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</si>
  <si>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</si>
  <si>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</si>
  <si>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</si>
  <si>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</si>
  <si>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</si>
  <si>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</si>
  <si>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</si>
  <si>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</si>
  <si>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</si>
  <si>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</si>
  <si>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</si>
  <si>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</si>
  <si>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</si>
  <si>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</si>
  <si>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</si>
  <si>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</si>
  <si>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</si>
  <si>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</si>
  <si>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</si>
  <si>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</si>
  <si>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</si>
  <si>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</si>
  <si>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</si>
  <si>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</si>
  <si>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</si>
  <si>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</si>
  <si>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</si>
  <si>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</si>
  <si>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</si>
  <si>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</si>
  <si>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</si>
  <si>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</si>
  <si>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</si>
  <si>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</si>
  <si>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</si>
  <si>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</si>
  <si>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</si>
  <si>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</si>
  <si>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</si>
  <si>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</si>
  <si>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</si>
  <si>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</si>
  <si>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</si>
  <si>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</si>
  <si>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</si>
  <si>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</si>
  <si>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</si>
  <si>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</si>
  <si>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</si>
  <si>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</si>
  <si>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</si>
  <si>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</si>
  <si>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</si>
  <si>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</si>
  <si>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</si>
  <si>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</si>
  <si>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</si>
  <si>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</si>
  <si>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</si>
  <si>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</si>
  <si>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</si>
  <si>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</si>
  <si>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</si>
  <si>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</si>
  <si>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</si>
  <si>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</si>
  <si>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</si>
  <si>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</si>
  <si>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</si>
  <si>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</si>
  <si>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</si>
  <si>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</si>
  <si>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</si>
  <si>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</si>
  <si>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</si>
  <si>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</si>
  <si>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</si>
  <si>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</si>
  <si>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</si>
  <si>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</si>
  <si>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</si>
  <si>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</si>
  <si>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</si>
  <si>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</si>
  <si>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</si>
  <si>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</si>
  <si>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</si>
  <si>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</si>
  <si>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</si>
  <si>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</si>
  <si>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</si>
  <si>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</si>
  <si>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</si>
  <si>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</si>
  <si>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</si>
  <si>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</si>
  <si>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</si>
  <si>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</si>
  <si>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</si>
  <si>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</si>
  <si>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</si>
  <si>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</si>
  <si>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</si>
  <si>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</si>
  <si>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</si>
  <si>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</si>
  <si>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</si>
  <si>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</si>
  <si>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</si>
  <si>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</si>
  <si>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</si>
  <si>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</si>
  <si>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</si>
  <si>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</si>
  <si>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</si>
  <si>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</si>
  <si>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</si>
  <si>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</si>
  <si>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</si>
  <si>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</si>
  <si>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</si>
  <si>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</si>
  <si>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</si>
  <si>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</si>
  <si>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</si>
  <si>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</si>
  <si>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</si>
  <si>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</si>
  <si>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</si>
  <si>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</si>
  <si>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</si>
  <si>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</si>
  <si>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</si>
  <si>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</si>
  <si>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</si>
  <si>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</si>
  <si>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</si>
  <si>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</si>
  <si>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</si>
  <si>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</si>
  <si>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</si>
  <si>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</si>
  <si>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</si>
  <si>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</si>
  <si>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</si>
  <si>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</si>
  <si>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</si>
  <si>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</si>
  <si>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</si>
  <si>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</si>
  <si>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</si>
  <si>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</si>
  <si>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</si>
  <si>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</si>
  <si>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</si>
  <si>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</si>
  <si>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</si>
  <si>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</si>
  <si>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</si>
  <si>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</si>
  <si>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</si>
  <si>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</si>
  <si>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</si>
  <si>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</si>
  <si>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</si>
  <si>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</si>
  <si>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</si>
  <si>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</si>
  <si>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</si>
  <si>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</si>
  <si>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</si>
  <si>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</si>
  <si>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</si>
  <si>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</si>
  <si>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</si>
  <si>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</si>
  <si>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</si>
  <si>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</si>
  <si>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</si>
  <si>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</si>
  <si>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</si>
  <si>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</si>
  <si>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</si>
  <si>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</si>
  <si>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</si>
  <si>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</si>
  <si>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</si>
  <si>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</si>
  <si>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</si>
  <si>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</si>
  <si>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</si>
  <si>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</si>
  <si>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</si>
  <si>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</si>
  <si>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</si>
  <si>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</si>
  <si>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</si>
  <si>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</si>
  <si>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</si>
  <si>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</si>
  <si>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</si>
  <si>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</si>
  <si>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</si>
  <si>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</si>
  <si>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</si>
  <si>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</si>
  <si>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</si>
  <si>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</si>
  <si>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</si>
  <si>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</si>
  <si>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</si>
  <si>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</si>
  <si>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</si>
  <si>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</si>
  <si>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</si>
  <si>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</si>
  <si>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</si>
  <si>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</si>
  <si>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</si>
  <si>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</si>
  <si>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</si>
  <si>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</si>
  <si>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</si>
  <si>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</si>
  <si>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</si>
  <si>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</si>
  <si>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</si>
  <si>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</si>
  <si>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</si>
  <si>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</si>
  <si>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</si>
  <si>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</si>
  <si>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</si>
  <si>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</si>
  <si>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</si>
  <si>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</si>
  <si>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</si>
  <si>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</si>
  <si>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</si>
  <si>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</si>
  <si>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</si>
  <si>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</si>
  <si>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</si>
  <si>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</si>
  <si>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</si>
  <si>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</si>
  <si>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</si>
  <si>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</si>
  <si>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</si>
  <si>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</si>
  <si>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</si>
  <si>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</si>
  <si>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</si>
  <si>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</si>
  <si>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</si>
  <si>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</si>
  <si>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</si>
  <si>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</si>
  <si>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</si>
  <si>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</si>
  <si>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</si>
  <si>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</si>
  <si>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</si>
  <si>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</si>
  <si>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</si>
  <si>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</si>
  <si>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</si>
  <si>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</si>
  <si>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</si>
  <si>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</si>
  <si>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</si>
  <si>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</si>
  <si>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</si>
  <si>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</si>
  <si>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</si>
  <si>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</si>
  <si>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</si>
  <si>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</si>
  <si>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</si>
  <si>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</si>
  <si>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</si>
  <si>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</si>
  <si>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</si>
  <si>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</si>
  <si>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</si>
  <si>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</si>
  <si>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</si>
  <si>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</si>
  <si>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</si>
  <si>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</si>
  <si>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</si>
  <si>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</si>
  <si>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</si>
  <si>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</si>
  <si>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</si>
  <si>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</si>
  <si>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</si>
  <si>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</si>
  <si>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</si>
  <si>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</si>
  <si>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</si>
  <si>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</si>
  <si>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</si>
  <si>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</si>
  <si>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</si>
  <si>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</si>
  <si>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</si>
  <si>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</si>
  <si>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</si>
  <si>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</si>
  <si>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</si>
  <si>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</si>
  <si>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</si>
  <si>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</si>
  <si>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</si>
  <si>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</si>
  <si>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</si>
  <si>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</si>
  <si>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</si>
  <si>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</si>
  <si>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</si>
  <si>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</si>
  <si>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</si>
  <si>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</si>
  <si>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</si>
  <si>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</si>
  <si>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</si>
  <si>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</si>
  <si>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</si>
  <si>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</si>
  <si>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</si>
  <si>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</si>
  <si>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</si>
  <si>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</si>
  <si>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</si>
  <si>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</si>
  <si>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</si>
  <si>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</si>
  <si>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</si>
  <si>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</si>
  <si>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</si>
  <si>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</si>
  <si>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</si>
  <si>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</si>
  <si>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</si>
  <si>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</si>
  <si>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</si>
  <si>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</si>
  <si>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</si>
  <si>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</si>
  <si>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</si>
  <si>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</si>
  <si>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</si>
  <si>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</si>
  <si>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</si>
  <si>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</si>
  <si>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</si>
  <si>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</si>
  <si>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</si>
  <si>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</si>
  <si>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</si>
  <si>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</si>
  <si>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</si>
  <si>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</si>
  <si>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</si>
  <si>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</si>
  <si>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</si>
  <si>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</si>
  <si>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</si>
  <si>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</si>
  <si>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</si>
  <si>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</si>
  <si>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</si>
  <si>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</si>
  <si>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</si>
  <si>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</si>
  <si>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</si>
  <si>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</si>
  <si>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</si>
  <si>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</si>
  <si>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</si>
  <si>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</si>
  <si>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</si>
  <si>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</si>
  <si>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</si>
  <si>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</si>
  <si>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</si>
  <si>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</si>
  <si>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</si>
  <si>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</si>
  <si>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</si>
  <si>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</si>
  <si>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</si>
  <si>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</si>
  <si>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</si>
  <si>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</si>
  <si>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</si>
  <si>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</si>
  <si>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</si>
  <si>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</si>
  <si>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</si>
  <si>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</si>
  <si>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</si>
  <si>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</si>
  <si>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</si>
  <si>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</si>
  <si>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</si>
  <si>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</si>
  <si>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</si>
  <si>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</si>
  <si>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</si>
  <si>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</si>
  <si>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</si>
  <si>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</si>
  <si>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</si>
  <si>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</si>
  <si>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</si>
  <si>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</si>
  <si>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</si>
  <si>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</si>
  <si>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</si>
  <si>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</si>
  <si>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</si>
  <si>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</si>
  <si>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</si>
  <si>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</si>
  <si>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</si>
  <si>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</si>
  <si>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</si>
  <si>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</si>
  <si>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</si>
  <si>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</si>
  <si>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</si>
  <si>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</si>
  <si>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</si>
  <si>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</si>
  <si>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</si>
  <si>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</si>
  <si>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</si>
  <si>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</si>
  <si>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</si>
  <si>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</si>
  <si>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</si>
  <si>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</si>
  <si>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</si>
  <si>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</si>
  <si>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</si>
  <si>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</si>
  <si>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</si>
  <si>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</si>
  <si>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</si>
  <si>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</si>
  <si>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</si>
  <si>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</si>
  <si>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</si>
  <si>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</si>
  <si>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</si>
  <si>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</si>
  <si>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</si>
  <si>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</si>
  <si>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</si>
  <si>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</si>
  <si>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</si>
  <si>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</si>
  <si>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</si>
  <si>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</si>
  <si>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</si>
  <si>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</si>
  <si>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</si>
  <si>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</si>
  <si>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</si>
  <si>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</si>
  <si>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</si>
  <si>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</si>
  <si>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</si>
  <si>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郑燚</t>
  </si>
  <si>
    <t>吴薇</t>
  </si>
  <si>
    <t>抵押</t>
  </si>
  <si>
    <t>房地产抵押价值</t>
  </si>
  <si>
    <t>企业</t>
  </si>
  <si>
    <t>北京市</t>
  </si>
  <si>
    <t>序号</t>
  </si>
  <si>
    <t>楼号</t>
  </si>
  <si>
    <t>坐落</t>
  </si>
  <si>
    <t>房屋所有权证</t>
  </si>
  <si>
    <t>测绘地上建筑面积㎡</t>
  </si>
  <si>
    <t>屋面附属用房面积㎡</t>
  </si>
  <si>
    <t>测绘地上总建筑面积㎡</t>
  </si>
  <si>
    <t>测绘地下建筑面积㎡</t>
  </si>
  <si>
    <t>测绘总面积㎡</t>
  </si>
  <si>
    <t>产证总建筑面积㎡</t>
  </si>
  <si>
    <t>1号楼</t>
  </si>
  <si>
    <t>丰台区南四环西路186号四区1号楼1至9层101</t>
    <phoneticPr fontId="135" type="noConversion"/>
  </si>
  <si>
    <t>研发楼</t>
  </si>
  <si>
    <t>2号楼</t>
  </si>
  <si>
    <t>丰台区南四环西路186号四区2号楼1至9层101</t>
    <phoneticPr fontId="135" type="noConversion"/>
  </si>
  <si>
    <t>X京房权证丰字第454420号</t>
  </si>
  <si>
    <t>3号楼</t>
  </si>
  <si>
    <t>丰台区南四环西路186号四区3号楼1至9层101</t>
    <phoneticPr fontId="135" type="noConversion"/>
  </si>
  <si>
    <t>X京房权证丰字第454419号</t>
  </si>
  <si>
    <t>4号楼</t>
  </si>
  <si>
    <t>丰台区南四环西路186号四区4号楼1至9层101</t>
  </si>
  <si>
    <t>X京房权证丰字第454526号</t>
  </si>
  <si>
    <t>5号楼</t>
  </si>
  <si>
    <t>丰台区南四环西路186号四区5号楼1至9层101</t>
  </si>
  <si>
    <t>X京房权证丰字第454523号</t>
  </si>
  <si>
    <t>6号楼</t>
  </si>
  <si>
    <t>丰台区南四环西路186号四区6号楼1至9层101</t>
  </si>
  <si>
    <t>X京房权证丰字第454524号</t>
  </si>
  <si>
    <t>7号楼</t>
  </si>
  <si>
    <t>丰台区南四环西路186号四区7号楼1至9层101</t>
  </si>
  <si>
    <t>X京房权证丰字第454528号</t>
  </si>
  <si>
    <t>8号楼</t>
  </si>
  <si>
    <t>丰台区南四环西路186号四区8号楼1至9层101</t>
  </si>
  <si>
    <t>X京房权证丰字第454525号</t>
  </si>
  <si>
    <t>9号楼</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</si>
  <si>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</si>
  <si>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</si>
  <si>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</si>
  <si>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</si>
  <si>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</si>
  <si>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</si>
  <si>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</si>
  <si>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</si>
  <si>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</si>
  <si>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</si>
  <si>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</si>
  <si>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</si>
  <si>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X京房权证丰字第454417号</t>
  </si>
  <si>
    <t>合计</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</si>
  <si>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</si>
  <si>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</si>
  <si>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</si>
  <si>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</si>
  <si>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</si>
  <si>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</si>
  <si>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</si>
  <si>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</si>
  <si>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</si>
  <si>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</si>
  <si>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</si>
  <si>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</si>
  <si>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</si>
  <si>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</si>
  <si>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</si>
  <si>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</si>
  <si>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</si>
  <si>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</si>
  <si>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房产证楼层</t>
    <phoneticPr fontId="248" type="noConversion"/>
  </si>
  <si>
    <t>电梯楼层</t>
    <phoneticPr fontId="248" type="noConversion"/>
  </si>
  <si>
    <t>层高</t>
    <phoneticPr fontId="248" type="noConversion"/>
  </si>
  <si>
    <t>地下3层</t>
    <phoneticPr fontId="248" type="noConversion"/>
  </si>
  <si>
    <t>B2层</t>
    <phoneticPr fontId="248" type="noConversion"/>
  </si>
  <si>
    <t>地下2层</t>
    <phoneticPr fontId="248" type="noConversion"/>
  </si>
  <si>
    <t>B1层</t>
    <phoneticPr fontId="248" type="noConversion"/>
  </si>
  <si>
    <t>地下1层</t>
    <phoneticPr fontId="248" type="noConversion"/>
  </si>
  <si>
    <t>M层</t>
    <phoneticPr fontId="248" type="noConversion"/>
  </si>
  <si>
    <t>1层</t>
    <phoneticPr fontId="248" type="noConversion"/>
  </si>
  <si>
    <t>挑高7.8米</t>
    <phoneticPr fontId="248" type="noConversion"/>
  </si>
  <si>
    <t>2层</t>
    <phoneticPr fontId="248" type="noConversion"/>
  </si>
  <si>
    <t>3.9米</t>
    <phoneticPr fontId="248" type="noConversion"/>
  </si>
  <si>
    <t>3层</t>
  </si>
  <si>
    <t>4层</t>
  </si>
  <si>
    <t>5层</t>
    <phoneticPr fontId="248" type="noConversion"/>
  </si>
  <si>
    <t>5层</t>
  </si>
  <si>
    <t>6、6M夹层</t>
    <phoneticPr fontId="248" type="noConversion"/>
  </si>
  <si>
    <t>超高层高、7.8米</t>
    <phoneticPr fontId="248" type="noConversion"/>
  </si>
  <si>
    <t>6层</t>
  </si>
  <si>
    <t>7、7M夹层</t>
    <phoneticPr fontId="248" type="noConversion"/>
  </si>
  <si>
    <t>7层</t>
  </si>
  <si>
    <t>8、8M夹层</t>
    <phoneticPr fontId="248" type="noConversion"/>
  </si>
  <si>
    <t>8层</t>
  </si>
  <si>
    <t>9、9M夹层</t>
    <phoneticPr fontId="248" type="noConversion"/>
  </si>
  <si>
    <t>9层</t>
  </si>
  <si>
    <t>10层</t>
    <phoneticPr fontId="248" type="noConversion"/>
  </si>
  <si>
    <t>标准层高、3.9米</t>
    <phoneticPr fontId="248" type="noConversion"/>
  </si>
  <si>
    <t>租赁面积</t>
    <phoneticPr fontId="135" type="noConversion"/>
  </si>
  <si>
    <t>研发楼</t>
    <phoneticPr fontId="17" type="noConversion"/>
  </si>
  <si>
    <t>是</t>
  </si>
  <si>
    <t>土地面积</t>
    <phoneticPr fontId="248" type="noConversion"/>
  </si>
  <si>
    <t xml:space="preserve">研发楼 </t>
  </si>
  <si>
    <t xml:space="preserve">研发楼 </t>
    <phoneticPr fontId="8" type="noConversion"/>
  </si>
  <si>
    <t>地下</t>
    <phoneticPr fontId="8"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</si>
  <si>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</si>
  <si>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</si>
  <si>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</si>
  <si>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</si>
  <si>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</si>
  <si>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</si>
  <si>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</si>
  <si>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</si>
  <si>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</si>
  <si>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</si>
  <si>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</si>
  <si>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</si>
  <si>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</si>
  <si>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</si>
  <si>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</si>
  <si>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</si>
  <si>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</si>
  <si>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</si>
  <si>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</si>
  <si>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</si>
  <si>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</si>
  <si>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</si>
  <si>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</si>
  <si>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</si>
  <si>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</si>
  <si>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</si>
  <si>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</si>
  <si>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</si>
  <si>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</si>
  <si>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</si>
  <si>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</si>
  <si>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</si>
  <si>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</si>
  <si>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</si>
  <si>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</si>
  <si>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</si>
  <si>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</si>
  <si>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</si>
  <si>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</si>
  <si>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</si>
  <si>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</si>
  <si>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</si>
  <si>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</si>
  <si>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</si>
  <si>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</si>
  <si>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</si>
  <si>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</si>
  <si>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</si>
  <si>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</si>
  <si>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</si>
  <si>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</si>
  <si>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</si>
  <si>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</si>
  <si>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</si>
  <si>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</si>
  <si>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</si>
  <si>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</si>
  <si>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</si>
  <si>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</si>
  <si>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</si>
  <si>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</si>
  <si>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</si>
  <si>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</si>
  <si>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</si>
  <si>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</si>
  <si>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</si>
  <si>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</si>
  <si>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</si>
  <si>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</si>
  <si>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</si>
  <si>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</si>
  <si>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</si>
  <si>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</si>
  <si>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</si>
  <si>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</si>
  <si>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</si>
  <si>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</si>
  <si>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</si>
  <si>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</si>
  <si>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</si>
  <si>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</si>
  <si>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</si>
  <si>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</si>
  <si>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</si>
  <si>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</si>
  <si>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</si>
  <si>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</si>
  <si>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</si>
  <si>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</si>
  <si>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</si>
  <si>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</si>
  <si>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</si>
  <si>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</si>
  <si>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</si>
  <si>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</si>
  <si>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</si>
  <si>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</si>
  <si>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</si>
  <si>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</si>
  <si>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</si>
  <si>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</si>
  <si>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</si>
  <si>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</si>
  <si>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</si>
  <si>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</si>
  <si>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</si>
  <si>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</si>
  <si>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</si>
  <si>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</si>
  <si>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</si>
  <si>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</si>
  <si>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</si>
  <si>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</si>
  <si>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</si>
  <si>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</si>
  <si>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</si>
  <si>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</si>
  <si>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</si>
  <si>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</si>
  <si>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</si>
  <si>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</si>
  <si>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</si>
  <si>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</si>
  <si>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</si>
  <si>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</si>
  <si>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</si>
  <si>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</si>
  <si>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</si>
  <si>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</si>
  <si>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</si>
  <si>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</si>
  <si>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</si>
  <si>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</si>
  <si>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</si>
  <si>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</si>
  <si>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</si>
  <si>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</si>
  <si>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</si>
  <si>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</si>
  <si>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</si>
  <si>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</si>
  <si>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</si>
  <si>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</si>
  <si>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</si>
  <si>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</si>
  <si>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</si>
  <si>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</si>
  <si>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</si>
  <si>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</si>
  <si>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</si>
  <si>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</si>
  <si>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</si>
  <si>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</si>
  <si>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</si>
  <si>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</si>
  <si>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</si>
  <si>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</si>
  <si>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</si>
  <si>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</si>
  <si>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</si>
  <si>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</si>
  <si>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</si>
  <si>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</si>
  <si>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</si>
  <si>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</si>
  <si>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</si>
  <si>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</si>
  <si>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</si>
  <si>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</si>
  <si>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</si>
  <si>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</si>
  <si>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</si>
  <si>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</si>
  <si>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</si>
  <si>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</si>
  <si>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</si>
  <si>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</si>
  <si>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</si>
  <si>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</si>
  <si>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</si>
  <si>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</si>
  <si>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</si>
  <si>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</si>
  <si>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</si>
  <si>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</si>
  <si>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</si>
  <si>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</si>
  <si>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</si>
  <si>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</si>
  <si>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</si>
  <si>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</si>
  <si>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</si>
  <si>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</si>
  <si>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</si>
  <si>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</si>
  <si>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</si>
  <si>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</si>
  <si>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</si>
  <si>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</si>
  <si>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</si>
  <si>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</si>
  <si>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</si>
  <si>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</si>
  <si>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</si>
  <si>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</si>
  <si>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</si>
  <si>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</si>
  <si>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</si>
  <si>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</si>
  <si>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</si>
  <si>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</si>
  <si>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</si>
  <si>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</si>
  <si>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</si>
  <si>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</si>
  <si>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</si>
  <si>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</si>
  <si>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</si>
  <si>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</si>
  <si>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</si>
  <si>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</si>
  <si>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</si>
  <si>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</si>
  <si>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</si>
  <si>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</si>
  <si>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</si>
  <si>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</si>
  <si>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</si>
  <si>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</si>
  <si>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</si>
  <si>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</si>
  <si>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</si>
  <si>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</si>
  <si>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</si>
  <si>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</si>
  <si>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</si>
  <si>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</si>
  <si>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</si>
  <si>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</si>
  <si>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</si>
  <si>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</si>
  <si>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</si>
  <si>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</si>
  <si>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项目模式</t>
  </si>
  <si>
    <t>售价</t>
  </si>
  <si>
    <t>正常</t>
  </si>
  <si>
    <t>科研办公</t>
  </si>
  <si>
    <t>40-50</t>
  </si>
  <si>
    <t>较好</t>
  </si>
  <si>
    <t>七通</t>
  </si>
  <si>
    <t>一般</t>
  </si>
  <si>
    <t>次干道</t>
  </si>
  <si>
    <t>精装修</t>
  </si>
  <si>
    <t>专业物业</t>
  </si>
  <si>
    <t>六通</t>
  </si>
  <si>
    <t>毛坯</t>
  </si>
  <si>
    <t>30-40</t>
  </si>
  <si>
    <t>普通装修</t>
  </si>
  <si>
    <t>20-30</t>
  </si>
  <si>
    <t>10-20</t>
  </si>
  <si>
    <t>高速路</t>
    <phoneticPr fontId="4" type="noConversion"/>
  </si>
  <si>
    <t>快速路</t>
    <phoneticPr fontId="4" type="noConversion"/>
  </si>
  <si>
    <t>主干道</t>
    <phoneticPr fontId="4" type="noConversion"/>
  </si>
  <si>
    <t>次干道</t>
    <phoneticPr fontId="4" type="noConversion"/>
  </si>
  <si>
    <t>支路</t>
    <phoneticPr fontId="4" type="noConversion"/>
  </si>
  <si>
    <t>简单装修</t>
  </si>
  <si>
    <t>普通物业</t>
  </si>
  <si>
    <t>五通</t>
  </si>
  <si>
    <t>四通</t>
  </si>
  <si>
    <t>三通</t>
  </si>
  <si>
    <t>超高层高</t>
    <phoneticPr fontId="32" type="noConversion"/>
  </si>
  <si>
    <t>部分超高</t>
  </si>
  <si>
    <t>部分超高</t>
    <phoneticPr fontId="32" type="noConversion"/>
  </si>
  <si>
    <t>标准层高</t>
  </si>
  <si>
    <t>标准层高</t>
    <phoneticPr fontId="32" type="noConversion"/>
  </si>
  <si>
    <t>中关村生命科学园科技中心3号楼</t>
    <phoneticPr fontId="4" type="noConversion"/>
  </si>
  <si>
    <t>地上面积</t>
    <phoneticPr fontId="248" type="noConversion"/>
  </si>
  <si>
    <t>分层面积</t>
    <phoneticPr fontId="248" type="noConversion"/>
  </si>
  <si>
    <t>收益法</t>
  </si>
  <si>
    <t>押一</t>
  </si>
  <si>
    <t>非生产用房</t>
  </si>
  <si>
    <t>否</t>
  </si>
  <si>
    <t>现房</t>
  </si>
  <si>
    <t>比较法-办公</t>
  </si>
  <si>
    <t>车位总数648个，应该都备案了，其中人防车位380个。</t>
    <phoneticPr fontId="248" type="noConversion"/>
  </si>
  <si>
    <t>规证</t>
    <phoneticPr fontId="248" type="noConversion"/>
  </si>
  <si>
    <t>地下高新技术商业配套综合</t>
    <phoneticPr fontId="248" type="noConversion"/>
  </si>
  <si>
    <t>地下自行车库</t>
    <phoneticPr fontId="248" type="noConversion"/>
  </si>
  <si>
    <t>地下机动车库（不含人防）</t>
    <phoneticPr fontId="248" type="noConversion"/>
  </si>
  <si>
    <t>地下库房</t>
    <phoneticPr fontId="248" type="noConversion"/>
  </si>
  <si>
    <t>地下设备用房</t>
    <phoneticPr fontId="248" type="noConversion"/>
  </si>
  <si>
    <t>地下人防</t>
    <phoneticPr fontId="248" type="noConversion"/>
  </si>
  <si>
    <t>建筑面积</t>
    <phoneticPr fontId="248" type="noConversion"/>
  </si>
  <si>
    <r>
      <t>1</t>
    </r>
    <r>
      <rPr>
        <sz val="10"/>
        <color indexed="8"/>
        <rFont val="宋体"/>
        <family val="3"/>
        <charset val="134"/>
      </rPr>
      <t>至</t>
    </r>
    <r>
      <rPr>
        <sz val="10"/>
        <color indexed="8"/>
        <rFont val="Arial"/>
        <family val="2"/>
      </rPr>
      <t>13</t>
    </r>
    <r>
      <rPr>
        <sz val="10"/>
        <color indexed="8"/>
        <rFont val="宋体"/>
        <family val="3"/>
        <charset val="134"/>
      </rPr>
      <t>号楼</t>
    </r>
    <phoneticPr fontId="4" type="noConversion"/>
  </si>
  <si>
    <t>收益法地下</t>
  </si>
  <si>
    <t>收益法地下</t>
    <phoneticPr fontId="17" type="noConversion"/>
  </si>
  <si>
    <t xml:space="preserve">   </t>
    <phoneticPr fontId="248" type="noConversion"/>
  </si>
  <si>
    <t>未包含在土地购买价格中</t>
  </si>
  <si>
    <t>全部缴纳</t>
  </si>
  <si>
    <t>已包含在土地取得成本中</t>
  </si>
  <si>
    <t>宗地容积率</t>
  </si>
  <si>
    <t>不临65条商业街</t>
  </si>
  <si>
    <t>通路</t>
  </si>
  <si>
    <t>通电</t>
  </si>
  <si>
    <t>通讯</t>
  </si>
  <si>
    <t>通上水</t>
  </si>
  <si>
    <t>通下水</t>
  </si>
  <si>
    <t>燃气</t>
  </si>
  <si>
    <t>与级别开发程度不一致</t>
  </si>
  <si>
    <t>好</t>
  </si>
  <si>
    <t>成本法</t>
  </si>
  <si>
    <t>项目局部</t>
  </si>
  <si>
    <t>总价</t>
  </si>
  <si>
    <t>收益比率</t>
  </si>
  <si>
    <t>情况3</t>
  </si>
  <si>
    <t>自行开发建设</t>
  </si>
  <si>
    <t>非个人房产</t>
  </si>
  <si>
    <t>出让金+开发费</t>
  </si>
  <si>
    <t>企业提供（在右侧录入）</t>
  </si>
  <si>
    <t>丰台区南四环西路186号四区13幢-3至1层101</t>
    <phoneticPr fontId="248" type="noConversion"/>
  </si>
  <si>
    <t>X京房权证丰字第454527号</t>
    <phoneticPr fontId="248" type="noConversion"/>
  </si>
  <si>
    <t>高新技术产业服务配套及库房、自行车库、设备用房、机动车库</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</si>
</sst>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b/>
      <sz val="10"/>
      <color theme="1"/>
      <name val="华文细黑"/>
      <family val="3"/>
      <charset val="134"/>
    </font>
    <font>
      <sz val="10"/>
      <color indexed="8"/>
      <name val="华文细黑"/>
      <family val="3"/>
      <charset val="134"/>
    </font>
    <font>
      <b/>
      <sz val="10"/>
      <color indexed="8"/>
      <name val="华文细黑"/>
      <family val="3"/>
      <charset val="134"/>
    </font>
    <font>
      <sz val="10"/>
      <name val="Calibri"/>
      <family val="3"/>
      <charset val="16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96" fillId="0" borderId="0">
      <alignment vertical="center"/>
    </xf>
    <xf numFmtId="9" fontId="96"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cellStyleXfs>
  <cellXfs count="356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1" xfId="10" applyFont="1" applyBorder="1" applyAlignment="1">
      <alignment horizontal="center" vertical="center" wrapText="1"/>
    </xf>
    <xf numFmtId="0" fontId="272" fillId="0" borderId="0" xfId="19" applyFont="1">
      <alignment vertical="center"/>
    </xf>
    <xf numFmtId="0" fontId="272" fillId="0" borderId="1" xfId="10" applyFont="1" applyBorder="1" applyAlignment="1">
      <alignment horizontal="center" vertical="center"/>
    </xf>
    <xf numFmtId="0" fontId="272" fillId="0" borderId="1" xfId="10" applyFont="1" applyBorder="1" applyAlignment="1">
      <alignment horizontal="left" vertical="center"/>
    </xf>
    <xf numFmtId="0" fontId="272" fillId="0" borderId="1" xfId="10" applyFont="1" applyBorder="1" applyAlignment="1">
      <alignment horizontal="right" vertical="center"/>
    </xf>
    <xf numFmtId="0" fontId="273" fillId="0" borderId="1" xfId="10" applyFont="1" applyBorder="1" applyAlignment="1">
      <alignment horizontal="center" vertical="center"/>
    </xf>
    <xf numFmtId="0" fontId="273" fillId="0" borderId="1" xfId="10" applyFont="1" applyBorder="1">
      <alignment vertical="center"/>
    </xf>
    <xf numFmtId="179" fontId="273" fillId="0" borderId="1" xfId="10" applyNumberFormat="1" applyFont="1" applyBorder="1" applyAlignment="1">
      <alignment horizontal="center" vertical="center"/>
    </xf>
    <xf numFmtId="0" fontId="272" fillId="0" borderId="0" xfId="10" applyFont="1">
      <alignment vertical="center"/>
    </xf>
    <xf numFmtId="0" fontId="274" fillId="12" borderId="1" xfId="10" applyFont="1" applyFill="1" applyBorder="1" applyAlignment="1" applyProtection="1">
      <alignment horizontal="left" vertical="center"/>
      <protection locked="0"/>
    </xf>
    <xf numFmtId="0" fontId="274" fillId="0" borderId="1" xfId="10" applyFont="1" applyBorder="1" applyAlignment="1" applyProtection="1">
      <alignment horizontal="left" vertical="center"/>
      <protection locked="0"/>
    </xf>
    <xf numFmtId="0" fontId="275" fillId="12" borderId="1" xfId="10" applyFont="1" applyFill="1" applyBorder="1" applyAlignment="1" applyProtection="1">
      <alignment horizontal="left" vertical="center"/>
      <protection locked="0"/>
    </xf>
    <xf numFmtId="9" fontId="274" fillId="12" borderId="1" xfId="10" applyNumberFormat="1" applyFont="1" applyFill="1" applyBorder="1" applyAlignment="1" applyProtection="1">
      <alignment horizontal="left" vertical="center"/>
      <protection locked="0"/>
    </xf>
    <xf numFmtId="176" fontId="274" fillId="12" borderId="1" xfId="10" applyNumberFormat="1" applyFont="1" applyFill="1" applyBorder="1" applyAlignment="1" applyProtection="1">
      <alignment horizontal="left" vertical="center"/>
      <protection locked="0"/>
    </xf>
    <xf numFmtId="9" fontId="274" fillId="12" borderId="1" xfId="20" applyFont="1" applyFill="1" applyBorder="1" applyAlignment="1" applyProtection="1">
      <alignment horizontal="left" vertical="center"/>
      <protection locked="0"/>
    </xf>
    <xf numFmtId="181" fontId="274" fillId="12" borderId="1" xfId="20" applyNumberFormat="1" applyFont="1" applyFill="1" applyBorder="1" applyAlignment="1" applyProtection="1">
      <alignment horizontal="left" vertical="center"/>
      <protection locked="0"/>
    </xf>
    <xf numFmtId="0" fontId="96" fillId="0" borderId="1" xfId="19" applyBorder="1">
      <alignment vertical="center"/>
    </xf>
    <xf numFmtId="49" fontId="272" fillId="0" borderId="0" xfId="19" applyNumberFormat="1" applyFont="1">
      <alignment vertical="center"/>
    </xf>
    <xf numFmtId="0" fontId="20" fillId="0" borderId="1" xfId="21" applyFont="1" applyBorder="1" applyAlignment="1">
      <alignment horizontal="center" vertical="center" wrapText="1"/>
    </xf>
    <xf numFmtId="176" fontId="20" fillId="0" borderId="1" xfId="21" applyNumberFormat="1" applyFont="1" applyBorder="1" applyAlignment="1">
      <alignment horizontal="center" vertical="center" wrapText="1"/>
    </xf>
    <xf numFmtId="183" fontId="20" fillId="0" borderId="1" xfId="21" applyNumberFormat="1" applyFont="1" applyBorder="1" applyAlignment="1">
      <alignment horizontal="center" vertical="center" wrapText="1"/>
    </xf>
    <xf numFmtId="0" fontId="1" fillId="0" borderId="0" xfId="21"/>
    <xf numFmtId="0" fontId="20" fillId="0" borderId="1" xfId="21" applyFont="1" applyBorder="1" applyAlignment="1">
      <alignment horizontal="center" vertical="center"/>
    </xf>
    <xf numFmtId="176" fontId="20" fillId="0" borderId="1" xfId="21" applyNumberFormat="1" applyFont="1" applyBorder="1" applyAlignment="1">
      <alignment horizontal="center" vertical="center"/>
    </xf>
    <xf numFmtId="0" fontId="20" fillId="7" borderId="1" xfId="21" applyFont="1" applyFill="1" applyBorder="1" applyAlignment="1">
      <alignment horizontal="center" vertical="center" wrapText="1"/>
    </xf>
    <xf numFmtId="1" fontId="20" fillId="7" borderId="1" xfId="21" applyNumberFormat="1" applyFont="1" applyFill="1" applyBorder="1" applyAlignment="1">
      <alignment horizontal="center" vertical="center"/>
    </xf>
    <xf numFmtId="189" fontId="20" fillId="0" borderId="1" xfId="21" applyNumberFormat="1" applyFont="1" applyBorder="1" applyAlignment="1">
      <alignment horizontal="center" vertical="center"/>
    </xf>
    <xf numFmtId="0" fontId="20" fillId="0" borderId="1" xfId="21" applyFont="1" applyBorder="1" applyAlignment="1">
      <alignment horizontal="left" vertical="center"/>
    </xf>
    <xf numFmtId="1" fontId="20" fillId="0" borderId="1" xfId="21" applyNumberFormat="1" applyFont="1" applyBorder="1" applyAlignment="1">
      <alignment horizontal="center" vertical="center"/>
    </xf>
    <xf numFmtId="9" fontId="20" fillId="0" borderId="1" xfId="22" applyFont="1" applyBorder="1" applyAlignment="1">
      <alignment horizontal="center" vertical="center"/>
    </xf>
    <xf numFmtId="183" fontId="20" fillId="0" borderId="1" xfId="21" applyNumberFormat="1" applyFont="1" applyBorder="1" applyAlignment="1">
      <alignment horizontal="center" vertical="center"/>
    </xf>
    <xf numFmtId="0" fontId="20" fillId="0" borderId="1" xfId="21" applyFont="1" applyBorder="1" applyAlignment="1">
      <alignment vertical="center" wrapText="1"/>
    </xf>
    <xf numFmtId="31" fontId="20" fillId="0" borderId="1" xfId="21" applyNumberFormat="1" applyFont="1" applyBorder="1" applyAlignment="1">
      <alignment horizontal="center" vertical="center" wrapText="1"/>
    </xf>
    <xf numFmtId="0" fontId="20" fillId="0" borderId="1" xfId="21" applyFont="1" applyBorder="1" applyAlignment="1">
      <alignment horizontal="left" vertical="center" wrapText="1"/>
    </xf>
    <xf numFmtId="1" fontId="20" fillId="0" borderId="1" xfId="21" applyNumberFormat="1" applyFont="1" applyBorder="1" applyAlignment="1">
      <alignment horizontal="center" vertical="center" wrapText="1"/>
    </xf>
    <xf numFmtId="2" fontId="20" fillId="0" borderId="1" xfId="21" applyNumberFormat="1" applyFont="1" applyBorder="1" applyAlignment="1">
      <alignment horizontal="center" vertical="center"/>
    </xf>
    <xf numFmtId="0" fontId="20" fillId="0" borderId="0" xfId="21" applyFont="1" applyAlignment="1">
      <alignment horizontal="center" vertical="center"/>
    </xf>
    <xf numFmtId="0" fontId="20" fillId="0" borderId="13" xfId="21" applyFont="1" applyBorder="1" applyAlignment="1">
      <alignment horizontal="center" vertical="center" wrapText="1"/>
    </xf>
    <xf numFmtId="189" fontId="20" fillId="0" borderId="13" xfId="21" applyNumberFormat="1" applyFont="1" applyBorder="1" applyAlignment="1">
      <alignment horizontal="center" vertical="center" wrapText="1"/>
    </xf>
    <xf numFmtId="0" fontId="20" fillId="5" borderId="1" xfId="21" applyFont="1" applyFill="1" applyBorder="1" applyAlignment="1">
      <alignment horizontal="center" vertical="center" wrapText="1"/>
    </xf>
    <xf numFmtId="0" fontId="20" fillId="5" borderId="1" xfId="21" applyFont="1" applyFill="1" applyBorder="1" applyAlignment="1">
      <alignment horizontal="center" vertical="center"/>
    </xf>
    <xf numFmtId="176" fontId="20" fillId="5" borderId="1" xfId="21" applyNumberFormat="1" applyFont="1" applyFill="1" applyBorder="1" applyAlignment="1">
      <alignment horizontal="center" vertical="center"/>
    </xf>
    <xf numFmtId="1" fontId="20" fillId="5" borderId="1" xfId="21" applyNumberFormat="1" applyFont="1" applyFill="1" applyBorder="1" applyAlignment="1">
      <alignment horizontal="center" vertical="center"/>
    </xf>
    <xf numFmtId="189" fontId="20" fillId="5" borderId="13" xfId="21" applyNumberFormat="1" applyFont="1" applyFill="1" applyBorder="1" applyAlignment="1">
      <alignment horizontal="center" vertical="center" wrapText="1"/>
    </xf>
    <xf numFmtId="9" fontId="20" fillId="5" borderId="1" xfId="22" applyFont="1" applyFill="1" applyBorder="1" applyAlignment="1">
      <alignment horizontal="center" vertical="center"/>
    </xf>
    <xf numFmtId="0" fontId="1" fillId="5" borderId="0" xfId="21" applyFill="1"/>
    <xf numFmtId="189" fontId="20" fillId="5" borderId="1" xfId="21" applyNumberFormat="1" applyFont="1" applyFill="1" applyBorder="1" applyAlignment="1">
      <alignment horizontal="center" vertical="center"/>
    </xf>
    <xf numFmtId="0" fontId="20" fillId="7" borderId="1" xfId="21" applyFont="1" applyFill="1" applyBorder="1" applyAlignment="1">
      <alignment horizontal="center" vertical="center"/>
    </xf>
    <xf numFmtId="176" fontId="20" fillId="7" borderId="1" xfId="21" applyNumberFormat="1" applyFont="1" applyFill="1" applyBorder="1" applyAlignment="1">
      <alignment horizontal="center" vertical="center"/>
    </xf>
    <xf numFmtId="189" fontId="20" fillId="7" borderId="1" xfId="21" applyNumberFormat="1" applyFont="1" applyFill="1" applyBorder="1" applyAlignment="1">
      <alignment horizontal="center" vertical="center"/>
    </xf>
    <xf numFmtId="0" fontId="20" fillId="7" borderId="1" xfId="21" applyFont="1" applyFill="1" applyBorder="1" applyAlignment="1">
      <alignment vertical="center" wrapText="1"/>
    </xf>
    <xf numFmtId="31" fontId="20" fillId="7" borderId="1" xfId="21" applyNumberFormat="1" applyFont="1" applyFill="1" applyBorder="1" applyAlignment="1">
      <alignment horizontal="center" vertical="center" wrapText="1"/>
    </xf>
    <xf numFmtId="4" fontId="20" fillId="0" borderId="1" xfId="21" applyNumberFormat="1" applyFont="1" applyBorder="1" applyAlignment="1">
      <alignment horizontal="center" vertical="center"/>
    </xf>
    <xf numFmtId="0" fontId="129" fillId="0" borderId="51"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2" fillId="0" borderId="0" xfId="19" applyFont="1" applyAlignment="1">
      <alignment vertical="center" wrapText="1"/>
    </xf>
    <xf numFmtId="2" fontId="272" fillId="0" borderId="0" xfId="19" applyNumberFormat="1" applyFont="1">
      <alignment vertical="center"/>
    </xf>
    <xf numFmtId="196" fontId="272" fillId="0" borderId="0" xfId="19" applyNumberFormat="1" applyFont="1">
      <alignment vertical="center"/>
    </xf>
    <xf numFmtId="0" fontId="96" fillId="0" borderId="0" xfId="10">
      <alignment vertical="center"/>
    </xf>
    <xf numFmtId="2" fontId="96" fillId="0" borderId="1" xfId="10" applyNumberFormat="1" applyBorder="1">
      <alignment vertical="center"/>
    </xf>
    <xf numFmtId="2" fontId="54" fillId="0" borderId="1" xfId="0" applyNumberFormat="1" applyFont="1" applyBorder="1" applyAlignment="1" applyProtection="1">
      <alignment vertical="center" wrapText="1"/>
      <protection locked="0"/>
    </xf>
    <xf numFmtId="2" fontId="54" fillId="0" borderId="32" xfId="0" applyNumberFormat="1" applyFont="1" applyBorder="1" applyAlignment="1" applyProtection="1">
      <alignment vertical="center" wrapText="1"/>
      <protection locked="0"/>
    </xf>
    <xf numFmtId="0" fontId="272" fillId="16" borderId="0" xfId="19" applyFont="1" applyFill="1">
      <alignment vertical="center"/>
    </xf>
    <xf numFmtId="0" fontId="48" fillId="8"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45" fillId="6" borderId="5" xfId="0" applyFont="1" applyFill="1" applyBorder="1" applyAlignment="1" applyProtection="1">
      <alignment horizontal="left" vertical="center" wrapText="1"/>
      <protection locked="0"/>
    </xf>
    <xf numFmtId="0" fontId="45" fillId="6" borderId="54"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cellXfs>
  <cellStyles count="23">
    <cellStyle name="百分比" xfId="17" builtinId="5"/>
    <cellStyle name="百分比 2" xfId="14" xr:uid="{00000000-0005-0000-0000-000001000000}"/>
    <cellStyle name="百分比 3" xfId="20" xr:uid="{00000000-0005-0000-0000-000002000000}"/>
    <cellStyle name="百分比 4" xfId="22" xr:uid="{00000000-0005-0000-0000-000003000000}"/>
    <cellStyle name="常规" xfId="0" builtinId="0"/>
    <cellStyle name="常规 11" xfId="18" xr:uid="{00000000-0005-0000-0000-000005000000}"/>
    <cellStyle name="常规 13"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1" xr:uid="{00000000-0005-0000-0000-000016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136458</xdr:colOff>
      <xdr:row>42</xdr:row>
      <xdr:rowOff>144781</xdr:rowOff>
    </xdr:from>
    <xdr:to>
      <xdr:col>34</xdr:col>
      <xdr:colOff>12311</xdr:colOff>
      <xdr:row>58</xdr:row>
      <xdr:rowOff>38101</xdr:rowOff>
    </xdr:to>
    <xdr:pic>
      <xdr:nvPicPr>
        <xdr:cNvPr id="2" name="图片 1">
          <a:extLst>
            <a:ext uri="{FF2B5EF4-FFF2-40B4-BE49-F238E27FC236}">
              <a16:creationId xmlns:a16="http://schemas.microsoft.com/office/drawing/2014/main" id="{84C1536D-8845-D8AB-40F1-24C4F49B8396}"/>
            </a:ext>
          </a:extLst>
        </xdr:cNvPr>
        <xdr:cNvPicPr>
          <a:picLocks noChangeAspect="1"/>
        </xdr:cNvPicPr>
      </xdr:nvPicPr>
      <xdr:blipFill>
        <a:blip xmlns:r="http://schemas.openxmlformats.org/officeDocument/2006/relationships" r:embed="rId1"/>
        <a:stretch>
          <a:fillRect/>
        </a:stretch>
      </xdr:blipFill>
      <xdr:spPr>
        <a:xfrm>
          <a:off x="136458" y="51861721"/>
          <a:ext cx="21539513" cy="2819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310-P02-&#26093;&#38451;&#31185;&#25216;&#22823;&#21414;1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efreshError="1"/>
      <sheetData sheetId="14" refreshError="1"/>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估价对象为北京市房地产，为所有。根据《国有土地使用证》[]，估价对象（分摊）出让国有建设用地使用权面积为49363.59平方米，建筑面积为176954.78平方米。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估价对象为北京市房地产,属开发建设的，该项目尚在开发建设中。根据《国有土地使用证》[]，估价对象（分摊）出让国有建设用地使用权面积为49363.59平方米，规划建筑面积为176954.78平方米。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2025年4月2日（评估专业人员实地查勘之日）</v>
      </c>
    </row>
    <row r="13" spans="1:2">
      <c r="A13" s="1118" t="s">
        <v>529</v>
      </c>
      <c r="B13" s="1119"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448332</v>
      </c>
    </row>
    <row r="21" spans="1:2">
      <c r="A21" s="1118" t="s">
        <v>537</v>
      </c>
      <c r="B21" s="1119">
        <f ca="1">'预评函-2'!D7</f>
        <v>37741</v>
      </c>
    </row>
    <row r="22" spans="1:2">
      <c r="A22" s="1118" t="s">
        <v>538</v>
      </c>
      <c r="B22" s="1119" t="str">
        <f ca="1">'预评函-2'!D6</f>
        <v>肆拾肆亿捌仟叁佰叁拾贰万元整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448332</v>
      </c>
    </row>
    <row r="31" spans="1:2">
      <c r="A31" s="1118" t="s">
        <v>576</v>
      </c>
      <c r="B31" s="1119">
        <f ca="1">'预评函-2'!D15</f>
        <v>37741</v>
      </c>
    </row>
    <row r="32" spans="1:2">
      <c r="A32" s="1118" t="s">
        <v>543</v>
      </c>
      <c r="B32" s="1119" t="str">
        <f ca="1">'预评函-2'!D14</f>
        <v>肆拾肆亿捌仟叁佰叁拾贰万元整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441386</v>
      </c>
    </row>
    <row r="39" spans="1:2">
      <c r="A39" s="1118" t="s">
        <v>545</v>
      </c>
      <c r="B39" s="1119">
        <f ca="1">'预评函-2'!D21</f>
        <v>24943</v>
      </c>
    </row>
    <row r="40" spans="1:2">
      <c r="A40" s="1118" t="s">
        <v>546</v>
      </c>
      <c r="B40" s="1119" t="str">
        <f ca="1">'预评函-2'!D20</f>
        <v>肆拾肆亿壹仟叁佰捌拾陆万元整</v>
      </c>
    </row>
    <row r="41" spans="1:2">
      <c r="A41" s="1118" t="s">
        <v>592</v>
      </c>
      <c r="B41" s="1119" t="str">
        <f>'预评函-3'!A4</f>
        <v>北京市房地产</v>
      </c>
    </row>
    <row r="42" spans="1:2" ht="31.2">
      <c r="A42" s="1118" t="s">
        <v>590</v>
      </c>
      <c r="B42" s="1119" t="str">
        <f>'预评函-3'!B2</f>
        <v>建筑面积</v>
      </c>
    </row>
    <row r="43" spans="1:2">
      <c r="A43" s="1118" t="s">
        <v>591</v>
      </c>
      <c r="B43" s="1119">
        <f>'预评函-3'!B4</f>
        <v>176954.78</v>
      </c>
    </row>
    <row r="44" spans="1:2" ht="31.2">
      <c r="A44" s="1118" t="s">
        <v>575</v>
      </c>
      <c r="B44" s="1119" t="str">
        <f>'预评函-3'!C2</f>
        <v>(分摊)土地面积</v>
      </c>
    </row>
    <row r="45" spans="1:2">
      <c r="A45" s="1118" t="s">
        <v>547</v>
      </c>
      <c r="B45" s="1119">
        <f>'预评函-3'!C4</f>
        <v>49363.59</v>
      </c>
    </row>
    <row r="46" spans="1:2">
      <c r="A46" s="1118" t="s">
        <v>573</v>
      </c>
      <c r="B46" s="1119" t="str">
        <f>'预评函-3'!D2</f>
        <v>出让国有建设用地使用权价值</v>
      </c>
    </row>
    <row r="47" spans="1:2">
      <c r="A47" s="1118" t="s">
        <v>548</v>
      </c>
      <c r="B47" s="1119">
        <f ca="1">'预评函-3'!D4</f>
        <v>274828</v>
      </c>
    </row>
    <row r="48" spans="1:2">
      <c r="A48" s="1118" t="s">
        <v>549</v>
      </c>
      <c r="B48" s="1119">
        <f ca="1">'预评函-3'!E4</f>
        <v>23135</v>
      </c>
    </row>
    <row r="49" spans="1:2">
      <c r="A49" s="1118" t="s">
        <v>550</v>
      </c>
      <c r="B49" s="1119" t="str">
        <f ca="1">'预评函-3'!D5</f>
        <v>贰拾柒亿肆仟捌佰贰拾捌万元整</v>
      </c>
    </row>
    <row r="50" spans="1:2">
      <c r="A50" s="1118" t="s">
        <v>574</v>
      </c>
      <c r="B50" s="1119" t="str">
        <f>'预评函-3'!F2</f>
        <v>在建建筑物价值</v>
      </c>
    </row>
    <row r="51" spans="1:2">
      <c r="A51" s="1118" t="s">
        <v>551</v>
      </c>
      <c r="B51" s="1119">
        <f ca="1">'预评函-3'!F4</f>
        <v>173504</v>
      </c>
    </row>
    <row r="52" spans="1:2">
      <c r="A52" s="1118" t="s">
        <v>552</v>
      </c>
      <c r="B52" s="1119">
        <f ca="1">'预评函-3'!G4</f>
        <v>14606</v>
      </c>
    </row>
    <row r="53" spans="1:2">
      <c r="A53" s="1118" t="s">
        <v>580</v>
      </c>
      <c r="B53" s="1119" t="str">
        <f ca="1">'预评函-3'!F5</f>
        <v>壹拾柒亿叁仟伍佰零肆万元整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6.2" thickBot="1">
      <c r="A73" s="1121" t="s">
        <v>565</v>
      </c>
      <c r="B73" s="1122">
        <f ca="1">'预评函-4'!B5</f>
        <v>1419970001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N11" sqref="N1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3" t="s">
        <v>3512</v>
      </c>
      <c r="B19" s="1440" t="s">
        <v>3813</v>
      </c>
      <c r="C19" s="1441"/>
    </row>
    <row r="20" spans="1:3">
      <c r="A20" s="1440"/>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6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1446" t="s">
        <v>385</v>
      </c>
      <c r="C54" s="1444" t="s">
        <v>583</v>
      </c>
    </row>
    <row r="55" spans="1:4">
      <c r="A55" s="3269"/>
      <c r="B55" s="1446" t="s">
        <v>386</v>
      </c>
      <c r="C55" s="1444" t="s">
        <v>584</v>
      </c>
    </row>
    <row r="56" spans="1:4">
      <c r="A56" s="3269"/>
      <c r="B56" s="1446" t="s">
        <v>387</v>
      </c>
      <c r="C56" s="1444" t="s">
        <v>588</v>
      </c>
    </row>
    <row r="57" spans="1:4">
      <c r="A57" s="326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270" t="s">
        <v>2578</v>
      </c>
      <c r="J2" s="3270"/>
      <c r="K2" s="3270"/>
      <c r="L2" s="3270"/>
      <c r="M2" s="3270"/>
      <c r="N2" s="3270"/>
      <c r="O2" s="3270"/>
      <c r="P2" s="3270"/>
      <c r="Q2" s="3270"/>
      <c r="R2" s="3270"/>
    </row>
    <row r="3" spans="1:18">
      <c r="A3" s="2762" t="s">
        <v>2499</v>
      </c>
      <c r="B3" s="2763">
        <f>项目基本情况!D3</f>
        <v>45749</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5" thickBot="1">
      <c r="A18" s="2772" t="s">
        <v>2514</v>
      </c>
      <c r="B18" s="2773">
        <f>ROUND(B17*F11/F12,2)</f>
        <v>5541.87</v>
      </c>
      <c r="C18" s="2773">
        <f>ROUND(F11/F12,4)</f>
        <v>1.1521999999999999</v>
      </c>
      <c r="D18" s="2774"/>
      <c r="E18" s="2774"/>
      <c r="F18" s="2775"/>
    </row>
    <row r="19" spans="1:14" ht="15" thickBot="1"/>
    <row r="20" spans="1:14" s="2808" customFormat="1" ht="1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78" t="str">
        <f>IF(B10="北京市","北京市",C10)&amp;F10&amp;IF(结果表!G1="在建","出让国有建设用地使用权及在建建筑物",IF(结果表!G1="土地","出让国有建设用地使用权",))&amp;B9&amp;"预评估"</f>
        <v>北京市房地产抵押价值预评估</v>
      </c>
      <c r="C1" s="3279"/>
      <c r="D1" s="3279"/>
      <c r="E1" s="3279"/>
      <c r="F1" s="3279"/>
      <c r="G1" s="3279"/>
      <c r="H1" s="3279"/>
      <c r="I1" s="328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45749</v>
      </c>
      <c r="C3" s="2185" t="s">
        <v>2169</v>
      </c>
      <c r="D3" s="2184">
        <f>B3</f>
        <v>45749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3410</v>
      </c>
      <c r="C4" s="2187">
        <f ca="1">SUMIF(注册房地产估价师,B4,估价师及机构信息!B3:B24)</f>
        <v>1120070131</v>
      </c>
      <c r="D4" s="2186" t="s">
        <v>3411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3412</v>
      </c>
      <c r="C8" s="2200"/>
      <c r="D8" s="3281" t="s">
        <v>2175</v>
      </c>
      <c r="E8" s="2201" t="s">
        <v>3413</v>
      </c>
      <c r="F8" s="2202"/>
      <c r="G8" s="2441"/>
      <c r="H8" s="2441"/>
      <c r="I8" s="2441"/>
      <c r="J8" s="2244"/>
      <c r="K8" s="2399"/>
      <c r="L8" s="2398"/>
      <c r="M8" s="2398"/>
      <c r="N8" s="2244"/>
      <c r="O8" s="1669"/>
      <c r="P8" s="2244"/>
      <c r="Q8" s="2244"/>
      <c r="R8" s="2244"/>
    </row>
    <row r="9" spans="1:30" ht="13.8" thickBot="1">
      <c r="A9" s="2203" t="s">
        <v>2176</v>
      </c>
      <c r="B9" s="2204" t="s">
        <v>3413</v>
      </c>
      <c r="C9" s="2205"/>
      <c r="D9" s="3282"/>
      <c r="E9" s="2204" t="s">
        <v>587</v>
      </c>
      <c r="F9" s="2206"/>
      <c r="G9" s="2442"/>
      <c r="H9" s="2442"/>
      <c r="I9" s="2442"/>
      <c r="J9" s="2244"/>
      <c r="K9" s="2401"/>
      <c r="L9" s="2398"/>
      <c r="M9" s="2398"/>
      <c r="N9" s="2244"/>
      <c r="O9" s="1669"/>
      <c r="P9" s="2244"/>
      <c r="Q9" s="2244"/>
      <c r="R9" s="2244"/>
    </row>
    <row r="10" spans="1:30" ht="13.8" thickTop="1">
      <c r="A10" s="2207" t="s">
        <v>2177</v>
      </c>
      <c r="B10" s="2208" t="s">
        <v>3415</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3414</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2574</v>
      </c>
      <c r="J12" s="2802"/>
      <c r="K12" s="2398"/>
      <c r="L12" s="2398"/>
      <c r="M12" s="2244"/>
      <c r="N12" s="1669"/>
      <c r="O12" s="2244"/>
      <c r="P12" s="2244"/>
      <c r="Q12" s="2244"/>
      <c r="AD12" s="1617"/>
    </row>
    <row r="13" spans="1:30">
      <c r="A13" s="3121" t="s">
        <v>3330</v>
      </c>
      <c r="B13" s="2217" t="s">
        <v>2188</v>
      </c>
      <c r="C13" s="802"/>
      <c r="D13" s="802"/>
      <c r="E13" s="802">
        <v>58546</v>
      </c>
      <c r="F13" s="802">
        <v>58546</v>
      </c>
      <c r="G13" s="802"/>
      <c r="H13" s="802"/>
      <c r="I13" s="802">
        <v>58546</v>
      </c>
      <c r="J13" s="2802"/>
      <c r="K13" s="2398"/>
      <c r="L13" s="2398"/>
      <c r="M13" s="2244"/>
      <c r="N13" s="1669"/>
      <c r="O13" s="2244"/>
      <c r="P13" s="2244"/>
      <c r="Q13" s="2244"/>
      <c r="AD13" s="1617"/>
    </row>
    <row r="14" spans="1:30">
      <c r="A14" s="1017"/>
      <c r="B14" s="2217" t="s">
        <v>2189</v>
      </c>
      <c r="C14" s="2218"/>
      <c r="D14" s="2218"/>
      <c r="E14" s="2218">
        <v>50</v>
      </c>
      <c r="F14" s="2218">
        <v>50</v>
      </c>
      <c r="G14" s="2218"/>
      <c r="H14" s="2218"/>
      <c r="I14" s="2218">
        <v>50</v>
      </c>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35.06</v>
      </c>
      <c r="F15" s="2220">
        <f>IF(A13="出让",IF(F13="","",ROUNDDOWN(MIN((F13-$D$3)/365,F14),2)),F14)</f>
        <v>35.06</v>
      </c>
      <c r="G15" s="2220" t="str">
        <f>IF(A13="出让",IF(G13="","",ROUNDDOWN(MIN((G13-$D$3)/365,G14),2)),G14)</f>
        <v/>
      </c>
      <c r="H15" s="2220" t="str">
        <f>IF(A13="出让",IF(H13="","",ROUNDDOWN(MIN((H13-$D$3)/365,H14),2)),H14)</f>
        <v/>
      </c>
      <c r="I15" s="2220">
        <f>IF(A13="出让",IF(I13="","",ROUNDDOWN(MIN((I13-$D$3)/365,I14),2)),I14)</f>
        <v>35.06</v>
      </c>
      <c r="J15" s="2804"/>
      <c r="K15" s="1669"/>
      <c r="L15" s="1669"/>
      <c r="M15" s="2244"/>
      <c r="N15" s="1669"/>
      <c r="O15" s="2244"/>
      <c r="P15" s="2244"/>
      <c r="Q15" s="2244"/>
      <c r="AD15" s="1617"/>
    </row>
    <row r="16" spans="1:30">
      <c r="A16" s="2210" t="s">
        <v>2191</v>
      </c>
      <c r="B16" s="3288"/>
      <c r="C16" s="3289"/>
      <c r="D16" s="3290"/>
      <c r="E16" s="2221" t="s">
        <v>2192</v>
      </c>
      <c r="F16" s="3291"/>
      <c r="G16" s="3292"/>
      <c r="H16" s="3292"/>
      <c r="I16" s="3293"/>
      <c r="J16" s="2244"/>
      <c r="K16" s="2402"/>
      <c r="L16" s="1669"/>
      <c r="M16" s="1669"/>
      <c r="N16" s="2244"/>
      <c r="O16" s="1669"/>
      <c r="P16" s="2244"/>
      <c r="Q16" s="2244"/>
      <c r="R16" s="2244"/>
    </row>
    <row r="17" spans="1:28">
      <c r="A17" s="304" t="s">
        <v>2193</v>
      </c>
      <c r="B17" s="293" t="s">
        <v>2194</v>
      </c>
      <c r="C17" s="8">
        <f>'数据-汇总表'!E3</f>
        <v>176954.78</v>
      </c>
      <c r="D17" s="1255" t="s">
        <v>2195</v>
      </c>
      <c r="E17" s="3294" t="s">
        <v>2196</v>
      </c>
      <c r="F17" s="3295"/>
      <c r="G17" s="3295"/>
      <c r="H17" s="3295"/>
      <c r="I17" s="3296"/>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49363.59</v>
      </c>
      <c r="D18" s="1028" t="s">
        <v>2199</v>
      </c>
      <c r="E18" s="3297" t="s">
        <v>2200</v>
      </c>
      <c r="F18" s="3298"/>
      <c r="G18" s="3298"/>
      <c r="H18" s="3298"/>
      <c r="I18" s="3299"/>
      <c r="J18" s="2244"/>
      <c r="K18" s="2403"/>
      <c r="L18" s="1669"/>
      <c r="M18" s="1669"/>
      <c r="N18" s="2244"/>
      <c r="O18" s="1669"/>
      <c r="P18" s="2244"/>
      <c r="Q18" s="2244"/>
      <c r="R18" s="2244"/>
      <c r="S18" s="2244"/>
      <c r="T18" s="2244"/>
      <c r="U18" s="2244"/>
      <c r="V18" s="2244"/>
    </row>
    <row r="19" spans="1:28" ht="37.200000000000003"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84" t="s">
        <v>2204</v>
      </c>
      <c r="C20" s="3285"/>
      <c r="D20" s="3286" t="s">
        <v>2205</v>
      </c>
      <c r="E20" s="3287"/>
      <c r="F20" s="2429" t="s">
        <v>1054</v>
      </c>
      <c r="G20" s="2441"/>
      <c r="H20" s="2441"/>
      <c r="I20" s="2441"/>
      <c r="J20" s="2244"/>
      <c r="K20" s="3283"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1055</v>
      </c>
      <c r="D21" s="1459" t="s">
        <v>2208</v>
      </c>
      <c r="E21" s="2418" t="s">
        <v>1055</v>
      </c>
      <c r="F21" s="2430"/>
      <c r="G21" s="2441"/>
      <c r="H21" s="2441"/>
      <c r="I21" s="2441"/>
      <c r="J21" s="2244"/>
      <c r="K21" s="328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1056</v>
      </c>
      <c r="D22" s="2441"/>
      <c r="E22" s="2441"/>
      <c r="F22" s="2441"/>
      <c r="G22" s="2441"/>
      <c r="H22" s="2441"/>
      <c r="I22" s="2441"/>
      <c r="J22" s="2244"/>
      <c r="K22" s="328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72"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72"/>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72"/>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73"/>
      <c r="B30" s="293" t="s">
        <v>2216</v>
      </c>
      <c r="C30" s="3274"/>
      <c r="D30" s="3275"/>
      <c r="E30" s="2441"/>
      <c r="F30" s="2441"/>
      <c r="G30" s="2441"/>
      <c r="H30" s="2441"/>
      <c r="I30" s="2441"/>
      <c r="J30" s="2244"/>
      <c r="K30" s="2401"/>
      <c r="L30" s="2398"/>
      <c r="M30" s="2398"/>
      <c r="N30" s="2244"/>
      <c r="O30" s="1669"/>
      <c r="P30" s="2244"/>
      <c r="Q30" s="2244"/>
      <c r="R30" s="2244"/>
      <c r="S30" s="2244"/>
      <c r="T30" s="2244"/>
      <c r="U30" s="2244"/>
      <c r="V30" s="2244"/>
    </row>
    <row r="31" spans="1:28">
      <c r="A31" s="3276"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7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7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71" t="s">
        <v>2226</v>
      </c>
      <c r="T34" s="314" t="str">
        <f>NUMBERSTRING(7-K34,1)&amp;"通"</f>
        <v>七通</v>
      </c>
      <c r="U34" s="2244"/>
      <c r="V34" s="2244"/>
    </row>
    <row r="35" spans="1:30">
      <c r="A35" s="2235"/>
      <c r="B35" s="3271" t="s">
        <v>2227</v>
      </c>
      <c r="C35" s="3271"/>
      <c r="D35" s="3271"/>
      <c r="E35" s="3271"/>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1"/>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2577</v>
      </c>
      <c r="G36" s="2441"/>
      <c r="H36" s="2441"/>
      <c r="I36" s="2441"/>
      <c r="J36" s="2244"/>
      <c r="K36" s="2401"/>
      <c r="L36" s="2398"/>
      <c r="M36" s="2398"/>
      <c r="N36" s="2244"/>
      <c r="O36" s="1669"/>
      <c r="P36" s="2244"/>
      <c r="Q36" s="2244"/>
      <c r="R36" s="2244"/>
      <c r="S36" s="2244"/>
      <c r="T36" s="2244"/>
      <c r="U36" s="2244"/>
      <c r="V36" s="2244"/>
    </row>
    <row r="37" spans="1:30">
      <c r="A37" s="2414" t="s">
        <v>2228</v>
      </c>
      <c r="B37" s="2236" t="s">
        <v>303</v>
      </c>
      <c r="C37" s="2236" t="s">
        <v>303</v>
      </c>
      <c r="D37" s="2236"/>
      <c r="E37" s="2236"/>
      <c r="F37" s="2236" t="s">
        <v>303</v>
      </c>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t="s">
        <v>247</v>
      </c>
      <c r="C38" s="2237" t="s">
        <v>247</v>
      </c>
      <c r="D38" s="2237"/>
      <c r="E38" s="2237"/>
      <c r="F38" s="2237" t="s">
        <v>247</v>
      </c>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8"/>
  <sheetViews>
    <sheetView workbookViewId="0">
      <pane xSplit="1" ySplit="1" topLeftCell="B32" activePane="bottomRight" state="frozen"/>
      <selection pane="topRight"/>
      <selection pane="bottomLeft"/>
      <selection pane="bottomRight" activeCell="J9" sqref="J9"/>
    </sheetView>
  </sheetViews>
  <sheetFormatPr defaultColWidth="9" defaultRowHeight="15.6"/>
  <cols>
    <col min="1" max="1" width="3.21875" style="3163" customWidth="1"/>
    <col min="2" max="2" width="11.88671875" style="3179" customWidth="1"/>
    <col min="3" max="3" width="13.33203125" style="3163" customWidth="1"/>
    <col min="4" max="4" width="26.109375" style="3163" customWidth="1"/>
    <col min="5" max="5" width="21" style="3163" customWidth="1"/>
    <col min="6" max="6" width="22" style="3163" customWidth="1"/>
    <col min="7" max="7" width="10.109375" style="3163" bestFit="1" customWidth="1"/>
    <col min="8" max="8" width="9.109375" style="3163" bestFit="1" customWidth="1"/>
    <col min="9" max="9" width="11.77734375" style="3163" bestFit="1" customWidth="1"/>
    <col min="10" max="10" width="25.44140625" style="3163" bestFit="1" customWidth="1"/>
    <col min="11" max="11" width="11.77734375" style="3163" bestFit="1" customWidth="1"/>
    <col min="12" max="12" width="11.77734375" style="3163" customWidth="1"/>
    <col min="13" max="13" width="26.77734375" style="3163" customWidth="1"/>
    <col min="14" max="16384" width="9" style="3163"/>
  </cols>
  <sheetData>
    <row r="1" spans="2:13">
      <c r="B1" s="3179" t="s">
        <v>3514</v>
      </c>
      <c r="C1" s="3163">
        <v>49363.59</v>
      </c>
    </row>
    <row r="2" spans="2:13" ht="46.8">
      <c r="B2" s="3162" t="s">
        <v>3416</v>
      </c>
      <c r="C2" s="3162" t="s">
        <v>3417</v>
      </c>
      <c r="D2" s="3162" t="s">
        <v>3418</v>
      </c>
      <c r="E2" s="3162" t="s">
        <v>3419</v>
      </c>
      <c r="F2" s="3162" t="s">
        <v>672</v>
      </c>
      <c r="G2" s="3162" t="s">
        <v>3420</v>
      </c>
      <c r="H2" s="3162" t="s">
        <v>3421</v>
      </c>
      <c r="I2" s="3162" t="s">
        <v>3422</v>
      </c>
      <c r="J2" s="3162" t="s">
        <v>3423</v>
      </c>
      <c r="K2" s="3162" t="s">
        <v>3424</v>
      </c>
      <c r="L2" s="3162" t="s">
        <v>3425</v>
      </c>
    </row>
    <row r="3" spans="2:13">
      <c r="B3" s="3164">
        <v>1</v>
      </c>
      <c r="C3" s="3164" t="s">
        <v>3426</v>
      </c>
      <c r="D3" s="3165" t="s">
        <v>3427</v>
      </c>
      <c r="E3" s="3164" t="s">
        <v>3838</v>
      </c>
      <c r="F3" s="3164" t="s">
        <v>3428</v>
      </c>
      <c r="G3" s="3164">
        <v>11696.62</v>
      </c>
      <c r="H3" s="3164">
        <v>135.06</v>
      </c>
      <c r="I3" s="3164">
        <f>G3+H3</f>
        <v>11831.68</v>
      </c>
      <c r="J3" s="3164">
        <v>0</v>
      </c>
      <c r="K3" s="3164">
        <f t="shared" ref="K3:K14" si="0">I3+J3</f>
        <v>11831.68</v>
      </c>
      <c r="L3" s="3166">
        <v>11831.68</v>
      </c>
    </row>
    <row r="4" spans="2:13">
      <c r="B4" s="3164">
        <v>2</v>
      </c>
      <c r="C4" s="3164" t="s">
        <v>3429</v>
      </c>
      <c r="D4" s="3165" t="s">
        <v>3430</v>
      </c>
      <c r="E4" s="3164" t="s">
        <v>3431</v>
      </c>
      <c r="F4" s="3164" t="s">
        <v>3428</v>
      </c>
      <c r="G4" s="3164">
        <v>9831.15</v>
      </c>
      <c r="H4" s="3164">
        <v>135.04</v>
      </c>
      <c r="I4" s="3164">
        <f t="shared" ref="I4:I14" si="1">G4+H4</f>
        <v>9966.19</v>
      </c>
      <c r="J4" s="3164">
        <v>0</v>
      </c>
      <c r="K4" s="3164">
        <f t="shared" si="0"/>
        <v>9966.19</v>
      </c>
      <c r="L4" s="3166">
        <v>9966.19</v>
      </c>
    </row>
    <row r="5" spans="2:13">
      <c r="B5" s="3164">
        <v>3</v>
      </c>
      <c r="C5" s="3164" t="s">
        <v>3432</v>
      </c>
      <c r="D5" s="3165" t="s">
        <v>3433</v>
      </c>
      <c r="E5" s="3164" t="s">
        <v>3434</v>
      </c>
      <c r="F5" s="3164" t="s">
        <v>3428</v>
      </c>
      <c r="G5" s="3164">
        <v>9831.15</v>
      </c>
      <c r="H5" s="3164">
        <v>135.04</v>
      </c>
      <c r="I5" s="3164">
        <f t="shared" si="1"/>
        <v>9966.19</v>
      </c>
      <c r="J5" s="3164">
        <v>0</v>
      </c>
      <c r="K5" s="3164">
        <f t="shared" si="0"/>
        <v>9966.19</v>
      </c>
      <c r="L5" s="3166">
        <v>9966.19</v>
      </c>
    </row>
    <row r="6" spans="2:13">
      <c r="B6" s="3164">
        <v>4</v>
      </c>
      <c r="C6" s="3164" t="s">
        <v>3435</v>
      </c>
      <c r="D6" s="3165" t="s">
        <v>3436</v>
      </c>
      <c r="E6" s="3164" t="s">
        <v>3437</v>
      </c>
      <c r="F6" s="3164" t="s">
        <v>3428</v>
      </c>
      <c r="G6" s="3164">
        <v>9831.15</v>
      </c>
      <c r="H6" s="3164">
        <v>135.04</v>
      </c>
      <c r="I6" s="3164">
        <f t="shared" si="1"/>
        <v>9966.19</v>
      </c>
      <c r="J6" s="3164">
        <v>0</v>
      </c>
      <c r="K6" s="3164">
        <f t="shared" si="0"/>
        <v>9966.19</v>
      </c>
      <c r="L6" s="3166">
        <v>9966.19</v>
      </c>
    </row>
    <row r="7" spans="2:13">
      <c r="B7" s="3164">
        <v>5</v>
      </c>
      <c r="C7" s="3164" t="s">
        <v>3438</v>
      </c>
      <c r="D7" s="3165" t="s">
        <v>3439</v>
      </c>
      <c r="E7" s="3164" t="s">
        <v>3440</v>
      </c>
      <c r="F7" s="3164" t="s">
        <v>3428</v>
      </c>
      <c r="G7" s="3164">
        <v>11696.62</v>
      </c>
      <c r="H7" s="3164">
        <v>120.34</v>
      </c>
      <c r="I7" s="3164">
        <f t="shared" si="1"/>
        <v>11816.960000000001</v>
      </c>
      <c r="J7" s="3164">
        <v>0</v>
      </c>
      <c r="K7" s="3164">
        <f t="shared" si="0"/>
        <v>11816.960000000001</v>
      </c>
      <c r="L7" s="3166">
        <v>11816.96</v>
      </c>
    </row>
    <row r="8" spans="2:13">
      <c r="B8" s="3164">
        <v>6</v>
      </c>
      <c r="C8" s="3164" t="s">
        <v>3441</v>
      </c>
      <c r="D8" s="3165" t="s">
        <v>3442</v>
      </c>
      <c r="E8" s="3164" t="s">
        <v>3443</v>
      </c>
      <c r="F8" s="3164" t="s">
        <v>3428</v>
      </c>
      <c r="G8" s="3164">
        <v>11696.61</v>
      </c>
      <c r="H8" s="3164">
        <v>135.06</v>
      </c>
      <c r="I8" s="3164">
        <f t="shared" si="1"/>
        <v>11831.67</v>
      </c>
      <c r="J8" s="3164">
        <v>0</v>
      </c>
      <c r="K8" s="3164">
        <f t="shared" si="0"/>
        <v>11831.67</v>
      </c>
      <c r="L8" s="3166">
        <v>11831.67</v>
      </c>
    </row>
    <row r="9" spans="2:13">
      <c r="B9" s="3164">
        <v>7</v>
      </c>
      <c r="C9" s="3164" t="s">
        <v>3444</v>
      </c>
      <c r="D9" s="3165" t="s">
        <v>3445</v>
      </c>
      <c r="E9" s="3164" t="s">
        <v>3446</v>
      </c>
      <c r="F9" s="3164" t="s">
        <v>3428</v>
      </c>
      <c r="G9" s="3164">
        <v>9697.19</v>
      </c>
      <c r="H9" s="3164">
        <v>135.04</v>
      </c>
      <c r="I9" s="3164">
        <f t="shared" si="1"/>
        <v>9832.2300000000014</v>
      </c>
      <c r="J9" s="3164">
        <v>0</v>
      </c>
      <c r="K9" s="3164">
        <f t="shared" si="0"/>
        <v>9832.2300000000014</v>
      </c>
      <c r="L9" s="3166">
        <v>9832.23</v>
      </c>
    </row>
    <row r="10" spans="2:13">
      <c r="B10" s="3164">
        <v>8</v>
      </c>
      <c r="C10" s="3164" t="s">
        <v>3447</v>
      </c>
      <c r="D10" s="3165" t="s">
        <v>3448</v>
      </c>
      <c r="E10" s="3164" t="s">
        <v>3449</v>
      </c>
      <c r="F10" s="3164" t="s">
        <v>3428</v>
      </c>
      <c r="G10" s="3164">
        <v>9697.19</v>
      </c>
      <c r="H10" s="3164">
        <v>135.06</v>
      </c>
      <c r="I10" s="3164">
        <f t="shared" si="1"/>
        <v>9832.25</v>
      </c>
      <c r="J10" s="3164">
        <v>0</v>
      </c>
      <c r="K10" s="3164">
        <f t="shared" si="0"/>
        <v>9832.25</v>
      </c>
      <c r="L10" s="3166">
        <v>9832.25</v>
      </c>
    </row>
    <row r="11" spans="2:13">
      <c r="B11" s="3164">
        <v>9</v>
      </c>
      <c r="C11" s="3164" t="s">
        <v>3450</v>
      </c>
      <c r="D11" s="3165" t="s">
        <v>3451</v>
      </c>
      <c r="E11" s="3164" t="s">
        <v>3452</v>
      </c>
      <c r="F11" s="3164" t="s">
        <v>3428</v>
      </c>
      <c r="G11" s="3164">
        <v>7775.5</v>
      </c>
      <c r="H11" s="3164">
        <v>135.66999999999999</v>
      </c>
      <c r="I11" s="3164">
        <f t="shared" si="1"/>
        <v>7911.17</v>
      </c>
      <c r="J11" s="3164">
        <v>0</v>
      </c>
      <c r="K11" s="3164">
        <f t="shared" si="0"/>
        <v>7911.17</v>
      </c>
      <c r="L11" s="3166">
        <v>7911.17</v>
      </c>
    </row>
    <row r="12" spans="2:13">
      <c r="B12" s="3164">
        <v>10</v>
      </c>
      <c r="C12" s="3164" t="s">
        <v>3453</v>
      </c>
      <c r="D12" s="3165" t="s">
        <v>3454</v>
      </c>
      <c r="E12" s="3164" t="s">
        <v>3455</v>
      </c>
      <c r="F12" s="3164" t="s">
        <v>3428</v>
      </c>
      <c r="G12" s="3164">
        <v>7775.5</v>
      </c>
      <c r="H12" s="3164">
        <v>135.66999999999999</v>
      </c>
      <c r="I12" s="3164">
        <f t="shared" si="1"/>
        <v>7911.17</v>
      </c>
      <c r="J12" s="3164">
        <v>0</v>
      </c>
      <c r="K12" s="3164">
        <f t="shared" si="0"/>
        <v>7911.17</v>
      </c>
      <c r="L12" s="3166">
        <v>7911.17</v>
      </c>
    </row>
    <row r="13" spans="2:13">
      <c r="B13" s="3164">
        <v>11</v>
      </c>
      <c r="C13" s="3164" t="s">
        <v>3456</v>
      </c>
      <c r="D13" s="3165" t="s">
        <v>3457</v>
      </c>
      <c r="E13" s="3164" t="s">
        <v>3458</v>
      </c>
      <c r="F13" s="3164" t="s">
        <v>3428</v>
      </c>
      <c r="G13" s="3164">
        <v>7775.5</v>
      </c>
      <c r="H13" s="3164">
        <v>135.66999999999999</v>
      </c>
      <c r="I13" s="3164">
        <f t="shared" si="1"/>
        <v>7911.17</v>
      </c>
      <c r="J13" s="3164">
        <v>0</v>
      </c>
      <c r="K13" s="3164">
        <f t="shared" si="0"/>
        <v>7911.17</v>
      </c>
      <c r="L13" s="3166">
        <v>7911.17</v>
      </c>
    </row>
    <row r="14" spans="2:13">
      <c r="B14" s="3164">
        <v>12</v>
      </c>
      <c r="C14" s="3164" t="s">
        <v>3459</v>
      </c>
      <c r="D14" s="3165" t="s">
        <v>3460</v>
      </c>
      <c r="E14" s="3164" t="s">
        <v>3461</v>
      </c>
      <c r="F14" s="3164" t="s">
        <v>3428</v>
      </c>
      <c r="G14" s="3164">
        <v>7775.5</v>
      </c>
      <c r="H14" s="3164">
        <v>135.66999999999999</v>
      </c>
      <c r="I14" s="3164">
        <f t="shared" si="1"/>
        <v>7911.17</v>
      </c>
      <c r="J14" s="3164">
        <v>0</v>
      </c>
      <c r="K14" s="3164">
        <f t="shared" si="0"/>
        <v>7911.17</v>
      </c>
      <c r="L14" s="3166">
        <v>7911.17</v>
      </c>
    </row>
    <row r="15" spans="2:13" ht="46.8">
      <c r="B15" s="3164">
        <v>13</v>
      </c>
      <c r="C15" s="3164" t="s">
        <v>3462</v>
      </c>
      <c r="D15" s="3165" t="s">
        <v>3837</v>
      </c>
      <c r="E15" s="3164" t="s">
        <v>3463</v>
      </c>
      <c r="F15" s="3162" t="s">
        <v>3839</v>
      </c>
      <c r="G15" s="3164">
        <v>2103.85</v>
      </c>
      <c r="H15" s="3164"/>
      <c r="I15" s="3164">
        <f>G15</f>
        <v>2103.85</v>
      </c>
      <c r="J15" s="3164">
        <v>58162.89</v>
      </c>
      <c r="K15" s="3164">
        <f>J15+G15</f>
        <v>60266.74</v>
      </c>
      <c r="L15" s="3166">
        <v>60266.74</v>
      </c>
      <c r="M15" s="3220" t="s">
        <v>3802</v>
      </c>
    </row>
    <row r="16" spans="2:13">
      <c r="B16" s="3167" t="s">
        <v>3464</v>
      </c>
      <c r="C16" s="3167"/>
      <c r="D16" s="3168"/>
      <c r="E16" s="3167"/>
      <c r="F16" s="3167"/>
      <c r="G16" s="3167">
        <f t="shared" ref="G16:L16" si="2">SUM(G3:G15)</f>
        <v>117183.53000000001</v>
      </c>
      <c r="H16" s="3167">
        <f t="shared" si="2"/>
        <v>1608.3600000000001</v>
      </c>
      <c r="I16" s="3169">
        <f t="shared" si="2"/>
        <v>118791.89</v>
      </c>
      <c r="J16" s="3167">
        <f t="shared" si="2"/>
        <v>58162.89</v>
      </c>
      <c r="K16" s="3169">
        <f t="shared" si="2"/>
        <v>176954.78</v>
      </c>
      <c r="L16" s="3167">
        <f t="shared" si="2"/>
        <v>176954.78</v>
      </c>
    </row>
    <row r="18" spans="2:8" s="3170" customFormat="1">
      <c r="B18" s="3170" t="s">
        <v>3465</v>
      </c>
    </row>
    <row r="19" spans="2:8" s="3170" customFormat="1">
      <c r="B19" s="3171"/>
      <c r="C19" s="3171" t="s">
        <v>3466</v>
      </c>
      <c r="D19" s="3171" t="s">
        <v>3467</v>
      </c>
      <c r="E19" s="3171" t="s">
        <v>3464</v>
      </c>
      <c r="F19" s="3171"/>
      <c r="G19" s="3172" t="s">
        <v>3468</v>
      </c>
    </row>
    <row r="20" spans="2:8" s="3170" customFormat="1">
      <c r="B20" s="3173" t="s">
        <v>3469</v>
      </c>
      <c r="C20" s="3173">
        <f>C21+C22</f>
        <v>176954.78</v>
      </c>
      <c r="D20" s="3173">
        <f>E20/C20</f>
        <v>2920.3260403590116</v>
      </c>
      <c r="E20" s="3173">
        <f>E21+E22</f>
        <v>516765652</v>
      </c>
      <c r="F20" s="3171"/>
      <c r="G20" s="3174">
        <v>1</v>
      </c>
    </row>
    <row r="21" spans="2:8" s="3170" customFormat="1">
      <c r="B21" s="3171" t="s">
        <v>3470</v>
      </c>
      <c r="C21" s="3175">
        <f>SUM(I3:I15)</f>
        <v>118791.89</v>
      </c>
      <c r="D21" s="3171">
        <v>2000</v>
      </c>
      <c r="E21" s="3171">
        <f>D21*C21</f>
        <v>237583780</v>
      </c>
      <c r="F21" s="3171"/>
      <c r="G21" s="3171"/>
    </row>
    <row r="22" spans="2:8" s="3170" customFormat="1">
      <c r="B22" s="3171" t="s">
        <v>3471</v>
      </c>
      <c r="C22" s="3175">
        <f>J15</f>
        <v>58162.89</v>
      </c>
      <c r="D22" s="3171">
        <v>4800</v>
      </c>
      <c r="E22" s="3171">
        <f>D22*C22</f>
        <v>279181872</v>
      </c>
      <c r="F22" s="3171"/>
      <c r="G22" s="3171"/>
    </row>
    <row r="23" spans="2:8" s="3170" customFormat="1">
      <c r="B23" s="3173" t="s">
        <v>3472</v>
      </c>
      <c r="C23" s="3173">
        <f>C20</f>
        <v>176954.78</v>
      </c>
      <c r="D23" s="3173">
        <v>1000</v>
      </c>
      <c r="E23" s="3173">
        <f>D23*C23</f>
        <v>176954780</v>
      </c>
      <c r="F23" s="3171"/>
      <c r="G23" s="3174">
        <v>1</v>
      </c>
    </row>
    <row r="24" spans="2:8" s="3170" customFormat="1">
      <c r="B24" s="3173" t="s">
        <v>3473</v>
      </c>
      <c r="C24" s="3173">
        <f>C20</f>
        <v>176954.78</v>
      </c>
      <c r="D24" s="3173">
        <v>1500</v>
      </c>
      <c r="E24" s="3173">
        <f>D24*C24</f>
        <v>265432170</v>
      </c>
      <c r="F24" s="3171"/>
      <c r="G24" s="3174">
        <v>1</v>
      </c>
    </row>
    <row r="25" spans="2:8" s="3170" customFormat="1">
      <c r="B25" s="3173" t="s">
        <v>3474</v>
      </c>
      <c r="C25" s="3173">
        <v>0</v>
      </c>
      <c r="D25" s="3173">
        <f>D22</f>
        <v>4800</v>
      </c>
      <c r="E25" s="3173">
        <f>D25*C25</f>
        <v>0</v>
      </c>
      <c r="F25" s="3171"/>
      <c r="G25" s="3171"/>
    </row>
    <row r="26" spans="2:8" s="3170" customFormat="1">
      <c r="B26" s="3171" t="s">
        <v>3475</v>
      </c>
      <c r="C26" s="3171">
        <f>C20</f>
        <v>176954.78</v>
      </c>
      <c r="D26" s="3171">
        <f>E26/C26</f>
        <v>5420.3260403590111</v>
      </c>
      <c r="E26" s="3171">
        <f>E20+E23+E24+E25</f>
        <v>959152602</v>
      </c>
      <c r="F26" s="3171"/>
      <c r="G26" s="3173">
        <f>(G20*E20+G23*E23+G24*E24)/E26</f>
        <v>1</v>
      </c>
    </row>
    <row r="27" spans="2:8" s="3170" customFormat="1"/>
    <row r="28" spans="2:8" s="3170" customFormat="1"/>
    <row r="29" spans="2:8" s="3170" customFormat="1"/>
    <row r="30" spans="2:8" s="3170" customFormat="1">
      <c r="B30" s="3170" t="s">
        <v>3476</v>
      </c>
    </row>
    <row r="31" spans="2:8" s="3170" customFormat="1">
      <c r="B31" s="3171"/>
      <c r="C31" s="3171" t="s">
        <v>3477</v>
      </c>
      <c r="D31" s="3171"/>
      <c r="E31" s="3171" t="s">
        <v>3478</v>
      </c>
      <c r="F31" s="3171" t="s">
        <v>3479</v>
      </c>
      <c r="G31" s="3171" t="s">
        <v>3480</v>
      </c>
      <c r="H31" s="3172" t="s">
        <v>3476</v>
      </c>
    </row>
    <row r="32" spans="2:8" s="3170" customFormat="1">
      <c r="B32" s="3173" t="s">
        <v>3481</v>
      </c>
      <c r="C32" s="3173">
        <v>2013</v>
      </c>
      <c r="D32" s="3173">
        <v>2025</v>
      </c>
      <c r="E32" s="3173">
        <v>50</v>
      </c>
      <c r="F32" s="3171">
        <v>60</v>
      </c>
      <c r="G32" s="3171">
        <v>0</v>
      </c>
      <c r="H32" s="3176">
        <f>ROUND((1-G32)-(D32-C32)/F32,2)</f>
        <v>0.8</v>
      </c>
    </row>
    <row r="33" spans="1:10" s="3170" customFormat="1">
      <c r="B33" s="3171" t="s">
        <v>3482</v>
      </c>
      <c r="C33" s="3175"/>
      <c r="D33" s="3171"/>
      <c r="E33" s="3171"/>
      <c r="F33" s="3171"/>
      <c r="G33" s="3171"/>
      <c r="H33" s="3174">
        <v>0.9</v>
      </c>
    </row>
    <row r="34" spans="1:10" s="3170" customFormat="1">
      <c r="B34" s="3171"/>
      <c r="C34" s="3171"/>
      <c r="D34" s="3171"/>
      <c r="E34" s="3171"/>
      <c r="F34" s="3171"/>
      <c r="G34" s="3171"/>
      <c r="H34" s="3177">
        <f>ROUND((H33+H32)/2,2)</f>
        <v>0.85</v>
      </c>
    </row>
    <row r="35" spans="1:10" s="3170" customFormat="1"/>
    <row r="36" spans="1:10" s="3170" customFormat="1">
      <c r="C36" s="3170" t="s">
        <v>3794</v>
      </c>
      <c r="D36" s="3170">
        <f>SUM(G3:G14)</f>
        <v>115079.68000000001</v>
      </c>
    </row>
    <row r="37" spans="1:10" s="3170" customFormat="1">
      <c r="C37" s="3170" t="s">
        <v>3795</v>
      </c>
      <c r="D37" s="3170">
        <f>D36/9</f>
        <v>12786.631111111112</v>
      </c>
      <c r="E37" s="3170" t="s">
        <v>3511</v>
      </c>
      <c r="J37" s="3170" t="s">
        <v>3803</v>
      </c>
    </row>
    <row r="38" spans="1:10" s="3170" customFormat="1">
      <c r="B38" s="3178" t="s">
        <v>3483</v>
      </c>
      <c r="C38" s="3178" t="s">
        <v>3484</v>
      </c>
      <c r="D38" s="3178" t="s">
        <v>3485</v>
      </c>
      <c r="E38" s="3178"/>
      <c r="J38" s="3170" t="s">
        <v>3804</v>
      </c>
    </row>
    <row r="39" spans="1:10">
      <c r="B39" s="3178" t="s">
        <v>3486</v>
      </c>
      <c r="C39" s="3178" t="s">
        <v>3487</v>
      </c>
      <c r="D39" s="3178"/>
      <c r="E39" s="3178"/>
    </row>
    <row r="40" spans="1:10">
      <c r="B40" s="3178" t="s">
        <v>3488</v>
      </c>
      <c r="C40" s="3178" t="s">
        <v>3489</v>
      </c>
      <c r="D40" s="3178"/>
      <c r="E40" s="3178"/>
      <c r="F40" s="3163">
        <v>4</v>
      </c>
    </row>
    <row r="41" spans="1:10">
      <c r="B41" s="3178" t="s">
        <v>3490</v>
      </c>
      <c r="C41" s="3178" t="s">
        <v>3491</v>
      </c>
      <c r="D41" s="3178"/>
      <c r="E41" s="3178"/>
      <c r="F41" s="3163">
        <v>5</v>
      </c>
    </row>
    <row r="42" spans="1:10">
      <c r="B42" s="3178"/>
      <c r="C42" s="3178"/>
      <c r="D42" s="3178"/>
      <c r="E42" s="3178"/>
    </row>
    <row r="43" spans="1:10">
      <c r="A43" s="3163">
        <v>1</v>
      </c>
      <c r="B43" s="3178" t="s">
        <v>3492</v>
      </c>
      <c r="C43" s="3178" t="s">
        <v>3492</v>
      </c>
      <c r="D43" s="3178" t="s">
        <v>3493</v>
      </c>
      <c r="E43" s="3178">
        <f>D37*0.75</f>
        <v>9589.9733333333334</v>
      </c>
      <c r="F43" s="3163">
        <v>6</v>
      </c>
      <c r="G43" s="3163">
        <f>E43*F43</f>
        <v>57539.839999999997</v>
      </c>
    </row>
    <row r="44" spans="1:10">
      <c r="A44" s="3163">
        <v>2</v>
      </c>
      <c r="B44" s="3178"/>
      <c r="C44" s="3178"/>
      <c r="D44" s="3178"/>
      <c r="E44" s="3178">
        <f>E43</f>
        <v>9589.9733333333334</v>
      </c>
      <c r="F44" s="3163">
        <v>4</v>
      </c>
      <c r="G44" s="3163">
        <f t="shared" ref="G44:G56" si="3">E44*F44</f>
        <v>38359.893333333333</v>
      </c>
    </row>
    <row r="45" spans="1:10">
      <c r="A45" s="3163">
        <v>3</v>
      </c>
      <c r="B45" s="3178" t="s">
        <v>3494</v>
      </c>
      <c r="C45" s="3178" t="s">
        <v>3494</v>
      </c>
      <c r="D45" s="3178" t="s">
        <v>3495</v>
      </c>
      <c r="E45" s="3178">
        <f>D37</f>
        <v>12786.631111111112</v>
      </c>
      <c r="F45" s="3163">
        <f>F44</f>
        <v>4</v>
      </c>
      <c r="G45" s="3163">
        <f t="shared" si="3"/>
        <v>51146.524444444447</v>
      </c>
    </row>
    <row r="46" spans="1:10">
      <c r="A46" s="3163">
        <v>4</v>
      </c>
      <c r="B46" s="3178" t="s">
        <v>3496</v>
      </c>
      <c r="C46" s="3178" t="s">
        <v>3496</v>
      </c>
      <c r="D46" s="3178" t="s">
        <v>3495</v>
      </c>
      <c r="E46" s="3178">
        <f>E45</f>
        <v>12786.631111111112</v>
      </c>
      <c r="F46" s="3163">
        <f t="shared" ref="F46:F55" si="4">F45</f>
        <v>4</v>
      </c>
      <c r="G46" s="3163">
        <f t="shared" si="3"/>
        <v>51146.524444444447</v>
      </c>
    </row>
    <row r="47" spans="1:10">
      <c r="A47" s="3163">
        <v>5</v>
      </c>
      <c r="B47" s="3178" t="s">
        <v>3497</v>
      </c>
      <c r="C47" s="3178" t="s">
        <v>3498</v>
      </c>
      <c r="D47" s="3178" t="s">
        <v>3495</v>
      </c>
      <c r="E47" s="3178">
        <f>D37</f>
        <v>12786.631111111112</v>
      </c>
      <c r="F47" s="3163">
        <f t="shared" si="4"/>
        <v>4</v>
      </c>
      <c r="G47" s="3163">
        <f t="shared" si="3"/>
        <v>51146.524444444447</v>
      </c>
    </row>
    <row r="48" spans="1:10">
      <c r="A48" s="3163">
        <v>6</v>
      </c>
      <c r="B48" s="3178" t="s">
        <v>3499</v>
      </c>
      <c r="C48" s="3178" t="s">
        <v>3500</v>
      </c>
      <c r="D48" s="3178" t="s">
        <v>3501</v>
      </c>
      <c r="E48" s="3178">
        <f>D37</f>
        <v>12786.631111111112</v>
      </c>
      <c r="F48" s="3163">
        <f t="shared" si="4"/>
        <v>4</v>
      </c>
      <c r="G48" s="3163">
        <f t="shared" si="3"/>
        <v>51146.524444444447</v>
      </c>
    </row>
    <row r="49" spans="1:11">
      <c r="A49" s="3163">
        <v>7</v>
      </c>
      <c r="B49" s="3178"/>
      <c r="C49" s="3178"/>
      <c r="D49" s="3178"/>
      <c r="E49" s="3178">
        <f>E48</f>
        <v>12786.631111111112</v>
      </c>
      <c r="F49" s="3163">
        <f t="shared" si="4"/>
        <v>4</v>
      </c>
      <c r="G49" s="3163">
        <f t="shared" si="3"/>
        <v>51146.524444444447</v>
      </c>
    </row>
    <row r="50" spans="1:11">
      <c r="A50" s="3163">
        <v>8</v>
      </c>
      <c r="B50" s="3178" t="s">
        <v>3502</v>
      </c>
      <c r="C50" s="3178" t="s">
        <v>3503</v>
      </c>
      <c r="D50" s="3178" t="s">
        <v>3501</v>
      </c>
      <c r="E50" s="3178">
        <f>E48</f>
        <v>12786.631111111112</v>
      </c>
      <c r="F50" s="3163">
        <f t="shared" si="4"/>
        <v>4</v>
      </c>
      <c r="G50" s="3163">
        <f t="shared" si="3"/>
        <v>51146.524444444447</v>
      </c>
    </row>
    <row r="51" spans="1:11">
      <c r="A51" s="3163">
        <v>9</v>
      </c>
      <c r="B51" s="3178"/>
      <c r="C51" s="3178"/>
      <c r="D51" s="3178"/>
      <c r="E51" s="3178">
        <f>E50</f>
        <v>12786.631111111112</v>
      </c>
      <c r="F51" s="3163">
        <f t="shared" si="4"/>
        <v>4</v>
      </c>
      <c r="G51" s="3163">
        <f t="shared" si="3"/>
        <v>51146.524444444447</v>
      </c>
    </row>
    <row r="52" spans="1:11">
      <c r="A52" s="3163">
        <v>10</v>
      </c>
      <c r="B52" s="3178" t="s">
        <v>3504</v>
      </c>
      <c r="C52" s="3178" t="s">
        <v>3505</v>
      </c>
      <c r="D52" s="3178" t="s">
        <v>3501</v>
      </c>
      <c r="E52" s="3178">
        <f>E50</f>
        <v>12786.631111111112</v>
      </c>
      <c r="F52" s="3163">
        <f t="shared" si="4"/>
        <v>4</v>
      </c>
      <c r="G52" s="3163">
        <f t="shared" si="3"/>
        <v>51146.524444444447</v>
      </c>
    </row>
    <row r="53" spans="1:11">
      <c r="A53" s="3163">
        <v>11</v>
      </c>
      <c r="B53" s="3178"/>
      <c r="C53" s="3178"/>
      <c r="D53" s="3178"/>
      <c r="E53" s="3178">
        <f>E52</f>
        <v>12786.631111111112</v>
      </c>
      <c r="F53" s="3163">
        <f t="shared" si="4"/>
        <v>4</v>
      </c>
      <c r="G53" s="3163">
        <f t="shared" si="3"/>
        <v>51146.524444444447</v>
      </c>
    </row>
    <row r="54" spans="1:11">
      <c r="A54" s="3163">
        <v>12</v>
      </c>
      <c r="B54" s="3178" t="s">
        <v>3506</v>
      </c>
      <c r="C54" s="3178" t="s">
        <v>3507</v>
      </c>
      <c r="D54" s="3178" t="s">
        <v>3501</v>
      </c>
      <c r="E54" s="3178">
        <f>E52</f>
        <v>12786.631111111112</v>
      </c>
      <c r="F54" s="3163">
        <f t="shared" si="4"/>
        <v>4</v>
      </c>
      <c r="G54" s="3163">
        <f t="shared" si="3"/>
        <v>51146.524444444447</v>
      </c>
    </row>
    <row r="55" spans="1:11">
      <c r="A55" s="3163">
        <v>13</v>
      </c>
      <c r="B55" s="3178"/>
      <c r="C55" s="3178"/>
      <c r="D55" s="3178"/>
      <c r="E55" s="3178">
        <f>E54</f>
        <v>12786.631111111112</v>
      </c>
      <c r="F55" s="3163">
        <f t="shared" si="4"/>
        <v>4</v>
      </c>
      <c r="G55" s="3163">
        <f t="shared" si="3"/>
        <v>51146.524444444447</v>
      </c>
    </row>
    <row r="56" spans="1:11">
      <c r="A56" s="3163">
        <v>14</v>
      </c>
      <c r="B56" s="3178" t="s">
        <v>3508</v>
      </c>
      <c r="C56" s="3178" t="s">
        <v>3509</v>
      </c>
      <c r="D56" s="3178" t="s">
        <v>3510</v>
      </c>
      <c r="E56" s="3178">
        <f>E54</f>
        <v>12786.631111111112</v>
      </c>
      <c r="F56" s="3163">
        <v>5</v>
      </c>
      <c r="G56" s="3163">
        <f t="shared" si="3"/>
        <v>63933.155555555561</v>
      </c>
    </row>
    <row r="57" spans="1:11">
      <c r="B57" s="3178"/>
      <c r="C57" s="3178"/>
      <c r="D57" s="3178"/>
      <c r="E57" s="3178"/>
      <c r="G57" s="3163">
        <f>SUM(G43:G56)</f>
        <v>722444.65777777787</v>
      </c>
    </row>
    <row r="58" spans="1:11">
      <c r="G58" s="3163">
        <f>G57/I16</f>
        <v>6.0815991544353567</v>
      </c>
    </row>
    <row r="60" spans="1:11">
      <c r="D60" s="3170" t="s">
        <v>3803</v>
      </c>
      <c r="E60" s="3163" t="s">
        <v>3810</v>
      </c>
      <c r="F60" s="3163">
        <f>J16</f>
        <v>58162.89</v>
      </c>
    </row>
    <row r="61" spans="1:11">
      <c r="D61" s="3170" t="s">
        <v>3804</v>
      </c>
      <c r="E61" s="3163">
        <v>29550</v>
      </c>
      <c r="F61" s="3221">
        <f>ROUND(E61/$E$68*$F$60,2)</f>
        <v>28902.46</v>
      </c>
      <c r="G61" s="3227">
        <f>3.5*0.6</f>
        <v>2.1</v>
      </c>
      <c r="J61" s="3163">
        <f>7200/F61</f>
        <v>0.24911374325922431</v>
      </c>
    </row>
    <row r="62" spans="1:11">
      <c r="D62" s="3163" t="s">
        <v>3805</v>
      </c>
      <c r="E62" s="3163">
        <v>4300</v>
      </c>
      <c r="F62" s="3221">
        <f t="shared" ref="F62:F65" si="5">ROUND(E62/$E$68*$F$60,2)</f>
        <v>4205.7700000000004</v>
      </c>
      <c r="G62" s="3163">
        <v>0</v>
      </c>
    </row>
    <row r="63" spans="1:11">
      <c r="D63" s="3163" t="s">
        <v>3808</v>
      </c>
      <c r="E63" s="3163">
        <v>4500</v>
      </c>
      <c r="F63" s="3221">
        <f t="shared" si="5"/>
        <v>4401.3900000000003</v>
      </c>
      <c r="G63" s="3163">
        <v>0</v>
      </c>
    </row>
    <row r="64" spans="1:11">
      <c r="D64" s="3163" t="s">
        <v>3806</v>
      </c>
      <c r="E64" s="3163">
        <v>16466</v>
      </c>
      <c r="F64" s="3221">
        <f t="shared" si="5"/>
        <v>16105.17</v>
      </c>
      <c r="G64" s="3163">
        <v>0.55000000000000004</v>
      </c>
      <c r="H64" s="3163">
        <f>648-380</f>
        <v>268</v>
      </c>
      <c r="I64" s="3223">
        <f>F64/H64</f>
        <v>60.093917910447765</v>
      </c>
      <c r="J64" s="3223">
        <v>1000</v>
      </c>
      <c r="K64" s="3224">
        <f>ROUND(H64*J64*12/F64/365,2)</f>
        <v>0.55000000000000004</v>
      </c>
    </row>
    <row r="65" spans="4:10">
      <c r="D65" s="3163" t="s">
        <v>3807</v>
      </c>
      <c r="E65" s="3163">
        <v>4650</v>
      </c>
      <c r="F65" s="3221">
        <f t="shared" si="5"/>
        <v>4548.1000000000004</v>
      </c>
      <c r="G65" s="3163">
        <v>1.5</v>
      </c>
    </row>
    <row r="66" spans="4:10">
      <c r="D66" s="3163" t="s">
        <v>3809</v>
      </c>
      <c r="E66" s="3163">
        <v>14034</v>
      </c>
      <c r="J66" s="3163" t="s">
        <v>3814</v>
      </c>
    </row>
    <row r="67" spans="4:10">
      <c r="E67" s="3163">
        <f>SUM(E61:E66)</f>
        <v>73500</v>
      </c>
      <c r="F67" s="3221">
        <f>SUM(F61:F66)</f>
        <v>58162.889999999992</v>
      </c>
      <c r="G67" s="3222">
        <f>ROUND(SUMPRODUCT(G61:G65,F61:F65)/F67,1)</f>
        <v>1.3</v>
      </c>
    </row>
    <row r="68" spans="4:10">
      <c r="E68" s="3163">
        <f>E67-E66</f>
        <v>59466</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21" sqref="T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面积清单!C1</f>
        <v>49363.59</v>
      </c>
      <c r="B3" s="11">
        <f>IF(C3="否",G5-AT5,G5)</f>
        <v>176954.78</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176954.78</v>
      </c>
      <c r="H5" s="13">
        <f t="shared" ref="H5:AT5" si="0">SUM(H13:H656)</f>
        <v>176954.78</v>
      </c>
      <c r="I5" s="13">
        <f t="shared" si="0"/>
        <v>118791.89</v>
      </c>
      <c r="J5" s="13">
        <f t="shared" si="0"/>
        <v>0</v>
      </c>
      <c r="K5" s="13">
        <f t="shared" si="0"/>
        <v>58162.89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176954.78</v>
      </c>
      <c r="BA5" s="15">
        <f t="shared" si="1"/>
        <v>176954.78</v>
      </c>
      <c r="BB5" s="15">
        <f t="shared" si="1"/>
        <v>118791.89</v>
      </c>
      <c r="BC5" s="15">
        <f t="shared" si="1"/>
        <v>58162.89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49363.59</v>
      </c>
      <c r="F6" s="13" t="s">
        <v>0</v>
      </c>
      <c r="G6" s="13" t="s">
        <v>1</v>
      </c>
      <c r="H6" s="17">
        <f>SUMIF(I$12:AB$12,"总值",I6:AB6)</f>
        <v>49363.59</v>
      </c>
      <c r="I6" s="13">
        <f t="shared" ref="I6:AB6" si="2">ROUND($A$3*I5/$B$3,2)</f>
        <v>33138.379999999997</v>
      </c>
      <c r="J6" s="13">
        <f t="shared" si="2"/>
        <v>0</v>
      </c>
      <c r="K6" s="13">
        <f t="shared" si="2"/>
        <v>16225.21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49363.59</v>
      </c>
      <c r="AZ6" s="13" t="s">
        <v>2</v>
      </c>
      <c r="BA6" s="13">
        <f>ROUND($AY$6*BA5/$AZ$5,2)</f>
        <v>49363.59</v>
      </c>
      <c r="BB6" s="13">
        <f>ROUND($AY$6*BB5/$AZ$5,2)</f>
        <v>33138.379999999997</v>
      </c>
      <c r="BC6" s="13">
        <f t="shared" ref="BC6:BH6" si="4">ROUND($AY$6*BC5/$AZ$5,2)</f>
        <v>16225.21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1490" t="s">
        <v>3470</v>
      </c>
      <c r="J9" s="760"/>
      <c r="K9" s="1490" t="s">
        <v>3471</v>
      </c>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地下</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3428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t="str">
        <f>I11</f>
        <v>研发楼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3811</v>
      </c>
      <c r="D13" s="1512" t="s">
        <v>3513</v>
      </c>
      <c r="E13" s="13">
        <f>IF($C$3="是",ROUND($A$3*G13/$B$3,2),ROUND($A$3*(G13-AT13)/$B$3,2))</f>
        <v>49363.59</v>
      </c>
      <c r="F13" s="29"/>
      <c r="G13" s="30">
        <f>H13+AC13+AT13</f>
        <v>176954.78</v>
      </c>
      <c r="H13" s="17">
        <f>SUMIF(I$12:AB$12,"总值",I13:AB13)</f>
        <v>176954.78</v>
      </c>
      <c r="I13" s="1513">
        <f>SUM(面积清单!I16)</f>
        <v>118791.89</v>
      </c>
      <c r="J13" s="1513"/>
      <c r="K13" s="1513">
        <f>面积清单!J16</f>
        <v>58162.89</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1至13号楼</v>
      </c>
      <c r="AY13" s="1259">
        <f>ROUND($AY$6*AZ13/$AZ$5,2)</f>
        <v>49363.59</v>
      </c>
      <c r="AZ13" s="13">
        <f>BA13+BL13</f>
        <v>176954.78</v>
      </c>
      <c r="BA13" s="13">
        <f>SUM(BB13:BK13)</f>
        <v>176954.78</v>
      </c>
      <c r="BB13" s="13">
        <f>IF($D13="是",I13-J13,0)</f>
        <v>118791.89</v>
      </c>
      <c r="BC13" s="13">
        <f>IF($D13="是",K13-L13,0)</f>
        <v>58162.89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309" t="s">
        <v>1129</v>
      </c>
      <c r="B2" s="3309"/>
      <c r="C2" s="3309"/>
      <c r="D2" s="747" t="s">
        <v>1105</v>
      </c>
      <c r="E2" s="1522" t="s">
        <v>1106</v>
      </c>
      <c r="F2" s="2438"/>
      <c r="G2" s="2431"/>
      <c r="H2" s="2432"/>
      <c r="I2" s="2145" t="s">
        <v>1130</v>
      </c>
      <c r="J2" s="2438"/>
      <c r="K2" s="2438"/>
      <c r="L2" s="2438"/>
      <c r="M2" s="2438"/>
      <c r="N2" s="2439"/>
      <c r="O2" s="2438"/>
      <c r="P2" s="2438"/>
    </row>
    <row r="3" spans="1:16" ht="15" thickBot="1">
      <c r="A3" s="3310" t="s">
        <v>1103</v>
      </c>
      <c r="B3" s="3310"/>
      <c r="C3" s="3310"/>
      <c r="D3" s="41">
        <f>'数据-基础表'!AY6</f>
        <v>49363.59</v>
      </c>
      <c r="E3" s="41">
        <f>'数据-基础表'!AZ5</f>
        <v>176954.78</v>
      </c>
      <c r="F3" s="2438"/>
      <c r="G3" s="42"/>
      <c r="H3" s="43" t="s">
        <v>1104</v>
      </c>
      <c r="I3" s="801">
        <f>ROUND('数据-基础表'!B3/'数据-基础表'!A3,2)</f>
        <v>3.58</v>
      </c>
      <c r="J3" s="2438"/>
      <c r="K3" s="2438"/>
      <c r="L3" s="2438"/>
      <c r="M3" s="2438"/>
      <c r="N3" s="2439"/>
      <c r="O3" s="2438"/>
      <c r="P3" s="2438"/>
    </row>
    <row r="4" spans="1:16" ht="14.4">
      <c r="A4" s="3311"/>
      <c r="B4" s="3312"/>
      <c r="C4" s="3313"/>
      <c r="D4" s="1523" t="s">
        <v>1105</v>
      </c>
      <c r="E4" s="1524" t="s">
        <v>1106</v>
      </c>
      <c r="F4" s="2438"/>
      <c r="G4" s="2433" t="s">
        <v>1131</v>
      </c>
      <c r="H4" s="43" t="s">
        <v>1111</v>
      </c>
      <c r="I4" s="801">
        <f>ROUND(SUMIF('数据-基础表'!I9:AS9,"地上",'数据-基础表'!I5:AS5)/'数据-基础表'!A3,2)</f>
        <v>2.41</v>
      </c>
      <c r="J4" s="2438"/>
      <c r="K4" s="2438"/>
      <c r="L4" s="2438"/>
      <c r="M4" s="2438"/>
      <c r="N4" s="2439"/>
      <c r="O4" s="2438"/>
      <c r="P4" s="2438"/>
    </row>
    <row r="5" spans="1:16" ht="14.4">
      <c r="A5" s="42" t="s">
        <v>1107</v>
      </c>
      <c r="B5" s="3314" t="s">
        <v>1108</v>
      </c>
      <c r="C5" s="3314"/>
      <c r="D5" s="43">
        <f>ROUND($D$3*E5/$E$3,2)</f>
        <v>0</v>
      </c>
      <c r="E5" s="44">
        <f>SUMIF('数据-基础表'!$11:$11,"住宅",'数据-基础表'!$5:$5)</f>
        <v>0</v>
      </c>
      <c r="F5" s="2438"/>
      <c r="G5" s="42"/>
      <c r="H5" s="43" t="s">
        <v>1104</v>
      </c>
      <c r="I5" s="801">
        <f>ROUND(E31/D31,2)</f>
        <v>3.58</v>
      </c>
      <c r="J5" s="2438"/>
      <c r="K5" s="2438"/>
      <c r="L5" s="2438"/>
      <c r="M5" s="2438"/>
      <c r="N5" s="2438"/>
      <c r="O5" s="2438"/>
      <c r="P5" s="2438"/>
    </row>
    <row r="6" spans="1:16" ht="15" thickBot="1">
      <c r="A6" s="1526"/>
      <c r="B6" s="3314" t="s">
        <v>1109</v>
      </c>
      <c r="C6" s="3314"/>
      <c r="D6" s="43">
        <f>ROUND($D$3*E6/$E$3,2)</f>
        <v>49363.59</v>
      </c>
      <c r="E6" s="44">
        <f>E3-E5</f>
        <v>176954.78</v>
      </c>
      <c r="F6" s="2438"/>
      <c r="G6" s="1528" t="s">
        <v>1110</v>
      </c>
      <c r="H6" s="45" t="s">
        <v>1111</v>
      </c>
      <c r="I6" s="2434">
        <f>ROUND(F31/D31,2)</f>
        <v>2.41</v>
      </c>
      <c r="J6" s="2438"/>
      <c r="K6" s="2438"/>
      <c r="L6" s="2438"/>
      <c r="M6" s="2438"/>
      <c r="N6" s="2438"/>
      <c r="O6" s="2438"/>
      <c r="P6" s="2438"/>
    </row>
    <row r="7" spans="1:16" ht="15" thickBot="1">
      <c r="A7" s="3306"/>
      <c r="B7" s="3307"/>
      <c r="C7" s="3308"/>
      <c r="D7" s="1523" t="s">
        <v>1105</v>
      </c>
      <c r="E7" s="1527" t="s">
        <v>1112</v>
      </c>
      <c r="F7" s="2438"/>
      <c r="G7" s="2435" t="s">
        <v>1113</v>
      </c>
      <c r="H7" s="95"/>
      <c r="I7" s="2436">
        <f>I6</f>
        <v>2.41</v>
      </c>
      <c r="J7" s="2438"/>
      <c r="K7" s="2438"/>
      <c r="L7" s="2438"/>
      <c r="M7" s="2438"/>
      <c r="N7" s="2438"/>
      <c r="O7" s="2438"/>
      <c r="P7" s="2438"/>
    </row>
    <row r="8" spans="1:16" ht="14.4">
      <c r="A8" s="42" t="s">
        <v>1114</v>
      </c>
      <c r="B8" s="45" t="s">
        <v>1115</v>
      </c>
      <c r="C8" s="43" t="s">
        <v>1116</v>
      </c>
      <c r="D8" s="43">
        <f t="shared" ref="D8:D15" si="0">ROUND($D$3*E8/$E$3,2)</f>
        <v>33138.379999999997</v>
      </c>
      <c r="E8" s="46">
        <f>SUMIF('数据-基础表'!BB10:BK10,"地上",'数据-基础表'!BB5:BK5)</f>
        <v>118791.89</v>
      </c>
      <c r="F8" s="2438"/>
      <c r="G8" s="2438"/>
      <c r="H8" s="2438"/>
      <c r="I8" s="2438"/>
      <c r="J8" s="2438"/>
      <c r="K8" s="2438"/>
      <c r="L8" s="2438"/>
      <c r="M8" s="2438"/>
      <c r="N8" s="2438"/>
      <c r="O8" s="2438"/>
      <c r="P8" s="2438"/>
    </row>
    <row r="9" spans="1:16" ht="14.4">
      <c r="A9" s="1528"/>
      <c r="B9" s="1529"/>
      <c r="C9" s="43" t="s">
        <v>1117</v>
      </c>
      <c r="D9" s="43">
        <f t="shared" si="0"/>
        <v>0</v>
      </c>
      <c r="E9" s="47">
        <v>0</v>
      </c>
      <c r="F9" s="2438"/>
      <c r="G9" s="2438"/>
      <c r="H9" s="2438"/>
      <c r="I9" s="2438"/>
      <c r="J9" s="2438"/>
      <c r="K9" s="2438"/>
      <c r="L9" s="2438"/>
      <c r="M9" s="2438"/>
      <c r="N9" s="2438"/>
      <c r="O9" s="2438"/>
      <c r="P9" s="2438"/>
    </row>
    <row r="10" spans="1:16" ht="14.4">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1118</v>
      </c>
      <c r="D11" s="43">
        <f t="shared" si="0"/>
        <v>16225.21</v>
      </c>
      <c r="E11" s="46">
        <f>SUMPRODUCT(('数据-基础表'!BB10:BK10="地下")*('数据-基础表'!BB11:BK11="办公")*('数据-基础表'!BB5:BK5))+'数据-基础表'!BP5</f>
        <v>58162.89</v>
      </c>
      <c r="F11" s="2438"/>
      <c r="G11" s="2438"/>
      <c r="H11" s="2438"/>
      <c r="I11" s="2438"/>
      <c r="J11" s="2438"/>
      <c r="K11" s="2438"/>
      <c r="L11" s="2438"/>
      <c r="M11" s="2438"/>
      <c r="N11" s="2438"/>
      <c r="O11" s="2438"/>
      <c r="P11" s="2438"/>
    </row>
    <row r="12" spans="1:16" ht="14.4">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1121</v>
      </c>
      <c r="D16" s="45">
        <f>SUM(D8:D15)</f>
        <v>49363.59</v>
      </c>
      <c r="E16" s="48">
        <f>SUM(E8:E15)</f>
        <v>176954.78</v>
      </c>
      <c r="F16" s="2438"/>
      <c r="G16" s="2438"/>
      <c r="H16" s="1530" t="s">
        <v>1133</v>
      </c>
      <c r="I16" s="1531"/>
      <c r="J16" s="1070"/>
      <c r="K16" s="3303" t="s">
        <v>1133</v>
      </c>
      <c r="L16" s="3304"/>
      <c r="M16" s="3304"/>
      <c r="N16" s="3304"/>
      <c r="O16" s="3304"/>
      <c r="P16" s="3305"/>
    </row>
    <row r="17" spans="1:19" ht="14.4">
      <c r="A17" s="1532" t="s">
        <v>1134</v>
      </c>
      <c r="B17" s="1533" t="s">
        <v>1135</v>
      </c>
      <c r="C17" s="1534" t="s">
        <v>1136</v>
      </c>
      <c r="D17" s="1535" t="s">
        <v>1124</v>
      </c>
      <c r="E17" s="1536" t="s">
        <v>1125</v>
      </c>
      <c r="F17" s="1537"/>
      <c r="G17" s="1538"/>
      <c r="H17" s="1539" t="s">
        <v>1137</v>
      </c>
      <c r="I17" s="1540" t="s">
        <v>1122</v>
      </c>
      <c r="J17" s="1070"/>
      <c r="K17" s="3300" t="s">
        <v>1138</v>
      </c>
      <c r="L17" s="3301"/>
      <c r="M17" s="3302"/>
      <c r="N17" s="3300" t="s">
        <v>1139</v>
      </c>
      <c r="O17" s="3301"/>
      <c r="P17" s="3302"/>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5" t="s">
        <v>3516</v>
      </c>
      <c r="D19" s="43">
        <f>ROUND($D$3*E19/$E$3,2)</f>
        <v>33138.379999999997</v>
      </c>
      <c r="E19" s="51">
        <f t="shared" ref="E19:E26" si="1">SUM(F19:G19)</f>
        <v>118791.89</v>
      </c>
      <c r="F19" s="2557">
        <f>'数据-基础表'!I13</f>
        <v>118791.89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33138.379999999997</v>
      </c>
      <c r="S19" s="51">
        <f t="shared" si="5"/>
        <v>118791.89</v>
      </c>
    </row>
    <row r="20" spans="1:19" ht="14.4">
      <c r="A20" s="1548"/>
      <c r="B20" s="45" t="s">
        <v>1151</v>
      </c>
      <c r="C20" s="3115" t="s">
        <v>3517</v>
      </c>
      <c r="D20" s="43">
        <f t="shared" ref="D20:D26" si="6">ROUND($D$3*E20/$E$3,2)</f>
        <v>16225.21</v>
      </c>
      <c r="E20" s="51">
        <f t="shared" si="1"/>
        <v>58162.89</v>
      </c>
      <c r="F20" s="2557"/>
      <c r="G20" s="1242">
        <f>'数据-基础表'!K13</f>
        <v>58162.89</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16225.21</v>
      </c>
      <c r="S20" s="51">
        <f t="shared" si="5"/>
        <v>58162.89</v>
      </c>
    </row>
    <row r="21" spans="1:19" ht="14.4">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49363.59</v>
      </c>
      <c r="E27" s="1072">
        <f>IF(SUM(E19:E26)='数据-基础表'!BA5,SUM(E19:E26),IF(F27="地上面积有误","面积有误","地下面积有误"))</f>
        <v>176954.78</v>
      </c>
      <c r="F27" s="1071">
        <f>IF(SUM(F19:F26)=E8,SUM(F19:F26),"地上面积有误")</f>
        <v>118791.89</v>
      </c>
      <c r="G27" s="1073">
        <f>SUM(G19:G26)</f>
        <v>58162.89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49363.59</v>
      </c>
      <c r="S27" s="43">
        <f>IF(SUM(S19:S26)=$E$3,SUM(S19:S26),SUM(S19:S26)&amp;"误差"&amp;ROUND(SUM(S19:S26)-E3,2))</f>
        <v>176954.78</v>
      </c>
    </row>
    <row r="28" spans="1:19" ht="14.4">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1156</v>
      </c>
      <c r="D31" s="642">
        <f>D27+D30</f>
        <v>49363.59</v>
      </c>
      <c r="E31" s="642">
        <f>E27+E30</f>
        <v>176954.78</v>
      </c>
      <c r="F31" s="643">
        <f>F27+F30</f>
        <v>118791.89</v>
      </c>
      <c r="G31" s="644">
        <f>G27+G30</f>
        <v>58162.89</v>
      </c>
      <c r="H31" s="2438"/>
      <c r="I31" s="2438"/>
      <c r="J31" s="2438"/>
      <c r="K31" s="2438"/>
      <c r="L31" s="2438"/>
      <c r="M31" s="2438"/>
      <c r="N31" s="2438"/>
      <c r="O31" s="2438"/>
      <c r="P31" s="2438"/>
    </row>
    <row r="32" spans="1:19" ht="14.4">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9" sqref="Q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 thickBot="1">
      <c r="A2" s="1561" t="s">
        <v>1159</v>
      </c>
      <c r="B2" s="983">
        <f>项目基本情况!D3</f>
        <v>45749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3476</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 xml:space="preserve">研发楼 </v>
      </c>
      <c r="B6" s="1586" t="str">
        <f>IF(A6=0,"","经营性")</f>
        <v>经营性</v>
      </c>
      <c r="C6" s="1587" t="s">
        <v>3405</v>
      </c>
      <c r="D6" s="804">
        <f>SUMIF(项目基本情况!C$12:I$12,C6,项目基本情况!C$14:I$14)</f>
        <v>50</v>
      </c>
      <c r="E6" s="803">
        <f>IF(B6="","",SUMIF(项目基本情况!C$12:I$12,C6,项目基本情况!C$13:I$13))</f>
        <v>58546</v>
      </c>
      <c r="F6" s="61">
        <f>SUMIF(项目基本情况!C$12:I$12,C6,项目基本情况!C$15:I$15)</f>
        <v>35.06</v>
      </c>
      <c r="G6" s="62">
        <f>IF(ISERROR(ROUND(POWER(1+H6,D6-F6)*(POWER(1+H6,F6)-1)/(POWER(1+H6,D6)-1),3)),0,ROUND(POWER(1+H6,D6-F6)*(POWER(1+H6,F6)-1)/(POWER(1+H6,D6)-1),3))</f>
        <v>0.89800000000000002</v>
      </c>
      <c r="H6" s="690">
        <v>0.05</v>
      </c>
      <c r="I6" s="690">
        <v>5.5E-2</v>
      </c>
      <c r="J6" s="63">
        <v>7.0000000000000007E-2</v>
      </c>
      <c r="K6" s="969">
        <f>SUMIF('数据-汇总表'!C$19:C$33,A6,'数据-汇总表'!E$19:E$33)</f>
        <v>118791.89</v>
      </c>
      <c r="L6" s="691">
        <v>6000</v>
      </c>
      <c r="M6" s="64">
        <f t="shared" ref="M6:M14" si="0">ROUND(K6*L6/10000,0)</f>
        <v>71275</v>
      </c>
      <c r="N6" s="689">
        <f>面积清单!H32</f>
        <v>0.8</v>
      </c>
      <c r="O6" s="64" t="str">
        <f>IF($N$5="成新度","——",ROUND(M6*N6,0))</f>
        <v>——</v>
      </c>
      <c r="P6" s="65" t="str">
        <f>IF($N$5="成新度","——",M6-O6)</f>
        <v>——</v>
      </c>
      <c r="Q6" s="692">
        <v>0.25</v>
      </c>
      <c r="R6" s="66">
        <f ca="1">SUMIF('数据-汇总表'!C$19:C$33,A6,'数据-汇总表'!R$19:R$27)</f>
        <v>33138.379999999997</v>
      </c>
      <c r="S6" s="49">
        <f>IF('数据-汇总表'!$I$17="按面积比例",SUMIF('数据-汇总表'!C$19:C$33,A6,'数据-汇总表'!K$19:K$33),SUMIF('数据-汇总表'!C$19:C$33,A6,'数据-汇总表'!N$19:N$33))</f>
        <v>0</v>
      </c>
      <c r="T6" s="1091">
        <f>ROUND($L$14*S6/10000,0)</f>
        <v>0</v>
      </c>
      <c r="U6" s="3126">
        <v>6</v>
      </c>
      <c r="V6" s="67">
        <v>0.02</v>
      </c>
      <c r="W6" s="67">
        <v>0.2</v>
      </c>
      <c r="X6" s="978"/>
      <c r="Y6" s="68">
        <f>N6</f>
        <v>0.8</v>
      </c>
      <c r="Z6" s="69"/>
      <c r="AA6" s="63"/>
      <c r="AB6" s="63"/>
      <c r="AC6" s="978"/>
      <c r="AD6" s="70"/>
      <c r="AE6" s="979">
        <f ca="1">IF(AN6="",0,SUMIF(INDIRECT("'"&amp;AN6&amp;"'"&amp;"!E:E"),$AE$5,INDIRECT("'"&amp;AN6&amp;"'"&amp;"!F:F")))</f>
        <v>35.06</v>
      </c>
      <c r="AF6" s="74"/>
      <c r="AG6" s="129">
        <f>IF(AF6="",0,AE6-AF6)</f>
        <v>0</v>
      </c>
      <c r="AH6" s="71"/>
      <c r="AI6" s="73">
        <v>365</v>
      </c>
      <c r="AJ6" s="74"/>
      <c r="AK6" s="75">
        <v>5.0000000000000001E-3</v>
      </c>
      <c r="AL6" s="76">
        <v>1.5E-3</v>
      </c>
      <c r="AM6" s="77">
        <v>0.01</v>
      </c>
      <c r="AN6" s="1588" t="s">
        <v>3796</v>
      </c>
      <c r="AO6" s="50">
        <f ca="1">SUMIF(INDIRECT("'"&amp;AN6&amp;"'"&amp;"!A:A"),"总价",INDIRECT("'"&amp;AN6&amp;"'"&amp;"!B:B"))</f>
        <v>328553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地下</v>
      </c>
      <c r="B7" s="1586" t="str">
        <f t="shared" ref="B7:B13" si="1">IF(A7=0,"","经营性")</f>
        <v>经营性</v>
      </c>
      <c r="C7" s="1587" t="s">
        <v>3405</v>
      </c>
      <c r="D7" s="804">
        <f>SUMIF(项目基本情况!C$12:I$12,C7,项目基本情况!C$14:I$14)</f>
        <v>50</v>
      </c>
      <c r="E7" s="803">
        <f>IF(B7="","",SUMIF(项目基本情况!C$12:I$12,C7,项目基本情况!C$13:I$13))</f>
        <v>58546</v>
      </c>
      <c r="F7" s="61">
        <f>SUMIF(项目基本情况!C$12:I$12,C7,项目基本情况!C$15:I$15)</f>
        <v>35.06</v>
      </c>
      <c r="G7" s="62">
        <f t="shared" ref="G7:G11" si="2">IF(ISERROR(ROUND(POWER(1+H7,D7-F7)*(POWER(1+H7,F7)-1)/(POWER(1+H7,D7)-1),3)),0,ROUND(POWER(1+H7,D7-F7)*(POWER(1+H7,F7)-1)/(POWER(1+H7,D7)-1),3))</f>
        <v>0.88400000000000001</v>
      </c>
      <c r="H7" s="690">
        <v>4.4999999999999998E-2</v>
      </c>
      <c r="I7" s="690">
        <v>5.5E-2</v>
      </c>
      <c r="J7" s="63">
        <v>7.0000000000000007E-2</v>
      </c>
      <c r="K7" s="969">
        <f>SUMIF('数据-汇总表'!C$19:C$33,A7,'数据-汇总表'!E$19:E$33)</f>
        <v>58162.89</v>
      </c>
      <c r="L7" s="691">
        <v>5500</v>
      </c>
      <c r="M7" s="64">
        <f t="shared" si="0"/>
        <v>31990</v>
      </c>
      <c r="N7" s="689">
        <f>N6</f>
        <v>0.8</v>
      </c>
      <c r="O7" s="64" t="str">
        <f t="shared" ref="O7:O14" si="3">IF($N$5="成新度","——",ROUND(M7*N7,0))</f>
        <v>——</v>
      </c>
      <c r="P7" s="65" t="str">
        <f t="shared" ref="P7:P14" si="4">IF($N$5="成新度","——",M7-O7)</f>
        <v>——</v>
      </c>
      <c r="Q7" s="692">
        <v>0.1</v>
      </c>
      <c r="R7" s="66">
        <f ca="1">SUMIF('数据-汇总表'!C$19:C$33,A7,'数据-汇总表'!R$19:R$27)</f>
        <v>16225.21</v>
      </c>
      <c r="S7" s="49">
        <f>IF('数据-汇总表'!$I$17="按面积比例",SUMIF('数据-汇总表'!C$19:C$33,A7,'数据-汇总表'!K$19:K$33),SUMIF('数据-汇总表'!C$19:C$33,A7,'数据-汇总表'!N$19:N$33))</f>
        <v>0</v>
      </c>
      <c r="T7" s="1091">
        <f t="shared" ref="T7:T13" si="5">ROUND($L$14*S7/10000,0)</f>
        <v>0</v>
      </c>
      <c r="U7" s="3126">
        <f>面积清单!G67</f>
        <v>1.3</v>
      </c>
      <c r="V7" s="67">
        <v>0.02</v>
      </c>
      <c r="W7" s="67">
        <v>0.2</v>
      </c>
      <c r="X7" s="978"/>
      <c r="Y7" s="68">
        <f>N7</f>
        <v>0.8</v>
      </c>
      <c r="Z7" s="69"/>
      <c r="AA7" s="63"/>
      <c r="AB7" s="63"/>
      <c r="AC7" s="978"/>
      <c r="AD7" s="70"/>
      <c r="AE7" s="979">
        <f t="shared" ref="AE7:AE13" ca="1" si="6">IF(AN7="",0,SUMIF(INDIRECT("'"&amp;AN7&amp;"'"&amp;"!E:E"),$AE$5,INDIRECT("'"&amp;AN7&amp;"'"&amp;"!F:F")))</f>
        <v>35.06</v>
      </c>
      <c r="AF7" s="74"/>
      <c r="AG7" s="129">
        <f t="shared" ref="AG7:AG13" si="7">IF(AF7="",0,AE7-AF7)</f>
        <v>0</v>
      </c>
      <c r="AH7" s="71"/>
      <c r="AI7" s="73">
        <v>365</v>
      </c>
      <c r="AJ7" s="74"/>
      <c r="AK7" s="75">
        <v>5.0000000000000001E-3</v>
      </c>
      <c r="AL7" s="76">
        <v>1.5E-3</v>
      </c>
      <c r="AM7" s="77">
        <v>0.01</v>
      </c>
      <c r="AN7" s="1588" t="s">
        <v>3812</v>
      </c>
      <c r="AO7" s="50">
        <f t="shared" ref="AO7:AO13" ca="1" si="8">SUMIF(INDIRECT("'"&amp;AN7&amp;"'"&amp;"!A:A"),"总价",INDIRECT("'"&amp;AN7&amp;"'"&amp;"!B:B"))</f>
        <v>31566</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0.89300000000000002</v>
      </c>
      <c r="H16" s="84">
        <f>ROUND(SUMPRODUCT(H6:H13,K6:K13)/SUMPRODUCT((H6:H13&gt;0)*(K6:K13)),3)</f>
        <v>4.8000000000000001E-2</v>
      </c>
      <c r="I16" s="85"/>
      <c r="J16" s="85"/>
      <c r="K16" s="86">
        <f>SUM(K6:K15)</f>
        <v>176954.78</v>
      </c>
      <c r="L16" s="87">
        <f>ROUND(M16*10000/SUM(K6:K14),0)</f>
        <v>5836</v>
      </c>
      <c r="M16" s="87">
        <f>SUM(M6:M14)</f>
        <v>103265</v>
      </c>
      <c r="N16" s="88">
        <f>ROUND(SUMPRODUCT(M6:M14,N6:N14)/M16,3)</f>
        <v>0.8</v>
      </c>
      <c r="O16" s="87">
        <f>SUM(O6:O14)</f>
        <v>0</v>
      </c>
      <c r="P16" s="87">
        <f>SUM(P6:P14)</f>
        <v>0</v>
      </c>
      <c r="Q16" s="89">
        <f>ROUND(SUMPRODUCT(Q6:Q13,K6:K13)/SUMPRODUCT((Q6:Q13&gt;0)*(K6:K13)),2)</f>
        <v>0.2</v>
      </c>
      <c r="R16" s="973">
        <f ca="1">SUM(R6:R13)</f>
        <v>49363.59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1209</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1210</v>
      </c>
      <c r="B20" s="98">
        <v>2.5</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1211</v>
      </c>
      <c r="B21" s="98">
        <f>B20</f>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1212</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1213</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1218</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1219</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1220</v>
      </c>
      <c r="B29" s="103">
        <f>ROUND(B28*K16/10000,0)</f>
        <v>3539</v>
      </c>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1222</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1224</v>
      </c>
      <c r="B33" s="639">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1225</v>
      </c>
      <c r="B34" s="105">
        <v>0</v>
      </c>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1226</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1228</v>
      </c>
      <c r="B37" s="107">
        <v>0.03</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1229</v>
      </c>
      <c r="B38" s="105">
        <v>0.02</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2308</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1234</v>
      </c>
      <c r="B44" s="111">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1235</v>
      </c>
      <c r="B45" s="109">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1236</v>
      </c>
      <c r="B46" s="109">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1238</v>
      </c>
      <c r="B48" s="113">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1242</v>
      </c>
      <c r="B52" s="116">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1243</v>
      </c>
      <c r="B53" s="1610" t="s">
        <v>110</v>
      </c>
      <c r="C53" s="2439" t="s">
        <v>1244</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1245</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1246</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1247</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1248</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1249</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315" t="s">
        <v>2284</v>
      </c>
      <c r="B1" s="3316"/>
      <c r="C1" s="3316"/>
      <c r="D1" s="3316"/>
      <c r="E1" s="3316"/>
      <c r="F1" s="3316"/>
      <c r="G1" s="331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4"/>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7.200000000000003">
      <c r="A4" s="2247"/>
      <c r="B4" s="314" t="s">
        <v>2252</v>
      </c>
      <c r="C4" s="2268" t="s">
        <v>2253</v>
      </c>
      <c r="D4" s="2265"/>
      <c r="E4" s="2269"/>
      <c r="F4" s="1280" t="s">
        <v>2254</v>
      </c>
      <c r="G4" s="2270" t="s">
        <v>2255</v>
      </c>
      <c r="H4" s="750"/>
      <c r="I4" s="750"/>
      <c r="J4" s="750"/>
      <c r="K4" s="750"/>
      <c r="L4" s="750"/>
      <c r="M4" s="750"/>
      <c r="N4" s="750"/>
      <c r="O4" s="750"/>
      <c r="P4" s="750"/>
      <c r="Q4" s="750"/>
    </row>
    <row r="5" spans="1:29" ht="37.200000000000003">
      <c r="A5" s="2247"/>
      <c r="B5" s="314" t="s">
        <v>2256</v>
      </c>
      <c r="C5" s="2268" t="s">
        <v>2257</v>
      </c>
      <c r="D5" s="2265"/>
      <c r="E5" s="2269"/>
      <c r="F5" s="314" t="s">
        <v>2258</v>
      </c>
      <c r="G5" s="2270" t="s">
        <v>2259</v>
      </c>
      <c r="H5" s="750"/>
      <c r="I5" s="750"/>
      <c r="J5" s="750"/>
      <c r="K5" s="750"/>
      <c r="L5" s="750"/>
      <c r="M5" s="750"/>
      <c r="N5" s="750"/>
      <c r="O5" s="750"/>
      <c r="P5" s="750"/>
      <c r="Q5" s="750"/>
    </row>
    <row r="6" spans="1:29" ht="48">
      <c r="A6" s="2247"/>
      <c r="B6" s="314" t="s">
        <v>2260</v>
      </c>
      <c r="C6" s="2270" t="s">
        <v>2255</v>
      </c>
      <c r="D6" s="2265"/>
      <c r="E6" s="2269"/>
      <c r="F6" s="314" t="s">
        <v>2261</v>
      </c>
      <c r="G6" s="2270" t="s">
        <v>2262</v>
      </c>
      <c r="H6" s="750"/>
      <c r="I6" s="750"/>
      <c r="J6" s="750"/>
      <c r="K6" s="750"/>
      <c r="L6" s="750"/>
      <c r="M6" s="750"/>
      <c r="N6" s="750"/>
      <c r="O6" s="750"/>
      <c r="P6" s="750"/>
      <c r="Q6" s="750"/>
    </row>
    <row r="7" spans="1:29" ht="36.6" thickBot="1">
      <c r="A7" s="2247"/>
      <c r="B7" s="314" t="s">
        <v>2258</v>
      </c>
      <c r="C7" s="2270" t="s">
        <v>2259</v>
      </c>
      <c r="D7" s="2244"/>
      <c r="E7" s="2271"/>
      <c r="F7" s="2272" t="s">
        <v>2263</v>
      </c>
      <c r="G7" s="2273" t="s">
        <v>2264</v>
      </c>
      <c r="H7" s="750"/>
      <c r="I7" s="750"/>
      <c r="J7" s="750"/>
      <c r="K7" s="750"/>
      <c r="L7" s="750"/>
      <c r="M7" s="750"/>
      <c r="N7" s="750"/>
      <c r="O7" s="750"/>
      <c r="P7" s="750"/>
      <c r="Q7" s="750"/>
    </row>
    <row r="8" spans="1:29" ht="24">
      <c r="A8" s="2247"/>
      <c r="B8" s="314" t="s">
        <v>2261</v>
      </c>
      <c r="C8" s="2270" t="s">
        <v>2262</v>
      </c>
      <c r="D8" s="2244"/>
      <c r="E8" s="2244"/>
      <c r="F8" s="120"/>
      <c r="G8" s="120"/>
      <c r="H8" s="750"/>
      <c r="I8" s="750"/>
      <c r="J8" s="750"/>
      <c r="K8" s="750"/>
      <c r="L8" s="750"/>
      <c r="M8" s="750"/>
      <c r="N8" s="750"/>
      <c r="O8" s="750"/>
      <c r="P8" s="750"/>
      <c r="Q8" s="750"/>
    </row>
    <row r="9" spans="1:29" ht="24">
      <c r="A9" s="2247"/>
      <c r="B9" s="314" t="s">
        <v>2265</v>
      </c>
      <c r="C9" s="2268" t="s">
        <v>2266</v>
      </c>
      <c r="D9" s="2265"/>
      <c r="E9" s="2244"/>
      <c r="F9" s="120"/>
      <c r="G9" s="120"/>
      <c r="H9" s="750"/>
      <c r="I9" s="750"/>
      <c r="J9" s="750"/>
      <c r="K9" s="750"/>
      <c r="L9" s="750"/>
      <c r="M9" s="750"/>
      <c r="N9" s="750"/>
      <c r="O9" s="750"/>
      <c r="P9" s="750"/>
      <c r="Q9" s="750"/>
    </row>
    <row r="10" spans="1:29" ht="14.4" thickBot="1">
      <c r="A10" s="2248"/>
      <c r="B10" s="2274" t="s">
        <v>2267</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4"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4" t="s">
        <v>2261</v>
      </c>
      <c r="G20" s="2293" t="str">
        <f>G6</f>
        <v>估价对象所在区域基础设施水平</v>
      </c>
    </row>
    <row r="21" spans="1:17" ht="26.4">
      <c r="A21" s="2251"/>
      <c r="B21" s="314" t="s">
        <v>2258</v>
      </c>
      <c r="C21" s="2293" t="str">
        <f>C7</f>
        <v>估价对象所在区域公共配套设施齐备情况</v>
      </c>
      <c r="D21" s="2265"/>
      <c r="E21" s="2252"/>
      <c r="F21" s="2292" t="s">
        <v>2276</v>
      </c>
      <c r="G21" s="2295"/>
    </row>
    <row r="22" spans="1:17" ht="13.5" customHeight="1">
      <c r="A22" s="2251"/>
      <c r="B22" s="314" t="s">
        <v>2261</v>
      </c>
      <c r="C22" s="2293" t="str">
        <f>C8</f>
        <v>估价对象所在区域基础设施水平</v>
      </c>
      <c r="D22" s="2265"/>
      <c r="E22" s="2252"/>
      <c r="F22" s="2292" t="s">
        <v>2267</v>
      </c>
      <c r="G22" s="2294"/>
    </row>
    <row r="23" spans="1:17" s="750" customFormat="1" ht="14.4"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0" customFormat="1" ht="14.4"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C8" sqref="C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176954.78</v>
      </c>
      <c r="C1" s="2461"/>
      <c r="D1" s="2461"/>
      <c r="E1" s="2461"/>
      <c r="F1" s="2461"/>
      <c r="G1" s="2462"/>
      <c r="H1" s="2462"/>
      <c r="I1" s="2462"/>
      <c r="J1" s="2462"/>
      <c r="K1" s="2462"/>
    </row>
    <row r="2" spans="1:11" ht="16.2">
      <c r="A2" s="2299" t="s">
        <v>653</v>
      </c>
      <c r="B2" s="2299">
        <f>SUM(C14:C23)</f>
        <v>49363.59</v>
      </c>
      <c r="C2" s="2461"/>
      <c r="D2" s="2461"/>
      <c r="E2" s="2461"/>
      <c r="F2" s="2461"/>
      <c r="G2" s="2462"/>
      <c r="H2" s="2462"/>
      <c r="I2" s="2462"/>
      <c r="J2" s="2462"/>
      <c r="K2" s="2462"/>
    </row>
    <row r="3" spans="1:11" ht="15.6">
      <c r="A3" s="2299" t="s">
        <v>662</v>
      </c>
      <c r="B3" s="2301">
        <f>项目基本情况!D3</f>
        <v>45749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486434</v>
      </c>
      <c r="C5" s="2299">
        <f ca="1">IF(B5=D14,结果表!H102,ROUND(B5*10000/$B$1,0))</f>
        <v>27489</v>
      </c>
      <c r="D5" s="2299">
        <f ca="1">ROUND(B5*10000/$B$2,0)</f>
        <v>98541</v>
      </c>
      <c r="E5" s="3565" t="str">
        <f ca="1">NUMBERSTRING(INT(B5*10000),2)&amp;"元整"</f>
        <v>肆拾捌亿陆仟肆佰叁拾肆万元整</v>
      </c>
      <c r="F5" s="3566"/>
      <c r="G5" s="3566"/>
      <c r="H5" s="3566"/>
      <c r="I5" s="3566"/>
      <c r="J5" s="3567"/>
      <c r="K5" s="2462"/>
    </row>
    <row r="6" spans="1:11" ht="15.6">
      <c r="A6" s="2299" t="s">
        <v>656</v>
      </c>
      <c r="B6" s="2299">
        <f ca="1">SUM(G14:G23)</f>
        <v>486434</v>
      </c>
      <c r="C6" s="2299">
        <f ca="1">IF(B6=G14,结果表!H108,ROUND(B6*10000/$B$1,0))</f>
        <v>27489</v>
      </c>
      <c r="D6" s="2299">
        <f ca="1">ROUND(B6*10000/$B$2,0)</f>
        <v>98541</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 ca="1">SUM(I14:I23)</f>
        <v>441386</v>
      </c>
      <c r="C8" s="2299">
        <f ca="1">IF(B8=I14,结果表!H112,ROUND(B8*10000/$B$1,0))</f>
        <v>24943</v>
      </c>
      <c r="D8" s="2299">
        <f ca="1">ROUND(B8*10000/$B$2,0)</f>
        <v>89415</v>
      </c>
      <c r="E8" s="3565" t="str">
        <f ca="1">NUMBERSTRING(INT(B8*10000),2)&amp;"元整"</f>
        <v>肆拾肆亿壹仟叁佰捌拾陆万元整</v>
      </c>
      <c r="F8" s="3566"/>
      <c r="G8" s="3566"/>
      <c r="H8" s="3566"/>
      <c r="I8" s="3566"/>
      <c r="J8" s="3567"/>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118791.89</v>
      </c>
      <c r="C14" s="2305">
        <f>结果表!C118</f>
        <v>33138.379999999997</v>
      </c>
      <c r="D14" s="2305">
        <f ca="1">结果表!H118</f>
        <v>448332</v>
      </c>
      <c r="E14" s="2305">
        <f ca="1">ROUND(D14*10000/B14,0)</f>
        <v>37741</v>
      </c>
      <c r="F14" s="2305">
        <f ca="1">ROUND(D14*10000/C14,0)</f>
        <v>135291</v>
      </c>
      <c r="G14" s="2305">
        <f ca="1">D14</f>
        <v>448332</v>
      </c>
      <c r="H14" s="2305"/>
      <c r="I14" s="2305">
        <f ca="1">结果表!N59</f>
        <v>441386</v>
      </c>
      <c r="J14" s="2462"/>
      <c r="K14" s="2462"/>
    </row>
    <row r="15" spans="1:11" ht="15.6">
      <c r="A15" s="2304" t="s">
        <v>649</v>
      </c>
      <c r="B15" s="2305">
        <f>'结果表 (2)'!B118</f>
        <v>58162.89</v>
      </c>
      <c r="C15" s="2305">
        <f>'结果表 (2)'!C118</f>
        <v>16225.21</v>
      </c>
      <c r="D15" s="2305">
        <f ca="1">'结果表 (2)'!H118</f>
        <v>38102</v>
      </c>
      <c r="E15" s="2305">
        <f t="shared" ref="E15:E23" ca="1" si="0">ROUND(D15*10000/B15,0)</f>
        <v>6551</v>
      </c>
      <c r="F15" s="2305">
        <f t="shared" ref="F15:F23" ca="1" si="1">ROUND(D15*10000/C15,0)</f>
        <v>23483</v>
      </c>
      <c r="G15" s="2305">
        <f ca="1">D15</f>
        <v>38102</v>
      </c>
      <c r="H15" s="2305"/>
      <c r="I15" s="2305"/>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2">
    <mergeCell ref="E5:J5"/>
    <mergeCell ref="E8:J8"/>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I46" zoomScaleNormal="100" zoomScaleSheetLayoutView="100" zoomScalePageLayoutView="80" workbookViewId="0">
      <selection activeCell="N59" sqref="N59:N6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3515</v>
      </c>
      <c r="D1" s="645"/>
      <c r="E1" s="645"/>
      <c r="F1" s="1620" t="s">
        <v>1261</v>
      </c>
      <c r="G1" s="1452" t="s">
        <v>3800</v>
      </c>
      <c r="H1" s="1620" t="str">
        <f>IF(G1="现房","——","估价对象范围")</f>
        <v>——</v>
      </c>
      <c r="I1" s="1621" t="s">
        <v>3829</v>
      </c>
    </row>
    <row r="2" spans="1:12" ht="21.75" customHeight="1" thickBot="1">
      <c r="A2" s="3351" t="str">
        <f>项目基本情况!S2</f>
        <v>北京市房地产</v>
      </c>
      <c r="B2" s="3352"/>
      <c r="C2" s="3352"/>
      <c r="D2" s="3352"/>
      <c r="E2" s="3352"/>
      <c r="F2" s="3352"/>
      <c r="G2" s="3352"/>
      <c r="H2" s="3352"/>
      <c r="I2" s="3353"/>
    </row>
    <row r="3" spans="1:12" ht="13.2">
      <c r="A3" s="3355" t="s">
        <v>1262</v>
      </c>
      <c r="B3" s="3356"/>
      <c r="C3" s="3356"/>
      <c r="D3" s="3356"/>
      <c r="E3" s="3356"/>
      <c r="F3" s="3356"/>
      <c r="G3" s="3356"/>
      <c r="H3" s="3356"/>
      <c r="I3" s="3356"/>
    </row>
    <row r="4" spans="1:12" ht="14.4">
      <c r="A4" s="1623" t="s">
        <v>1263</v>
      </c>
      <c r="B4" s="1624" t="s">
        <v>1264</v>
      </c>
      <c r="C4" s="1625" t="s">
        <v>3801</v>
      </c>
      <c r="D4" s="1625" t="s">
        <v>3796</v>
      </c>
      <c r="E4" s="3357" t="s">
        <v>1265</v>
      </c>
      <c r="F4" s="3358"/>
      <c r="G4" s="3358"/>
      <c r="H4" s="3358"/>
      <c r="I4" s="335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31" t="s">
        <v>1266</v>
      </c>
      <c r="B5" s="3318">
        <v>25</v>
      </c>
      <c r="C5" s="3334"/>
      <c r="D5" s="3354"/>
      <c r="E5" s="122" t="s">
        <v>1267</v>
      </c>
      <c r="F5" s="1626"/>
      <c r="G5" s="1626"/>
      <c r="H5" s="1626"/>
      <c r="I5" s="1280"/>
    </row>
    <row r="6" spans="1:12" ht="13.2">
      <c r="A6" s="3331"/>
      <c r="B6" s="3318"/>
      <c r="C6" s="3335"/>
      <c r="D6" s="3354"/>
      <c r="E6" s="122" t="s">
        <v>1268</v>
      </c>
      <c r="F6" s="1626"/>
      <c r="G6" s="1626"/>
      <c r="H6" s="1626"/>
      <c r="I6" s="1280"/>
    </row>
    <row r="7" spans="1:12" ht="13.2">
      <c r="A7" s="3331"/>
      <c r="B7" s="3318"/>
      <c r="C7" s="3336"/>
      <c r="D7" s="3354"/>
      <c r="E7" s="122" t="s">
        <v>1269</v>
      </c>
      <c r="F7" s="1626"/>
      <c r="G7" s="1626"/>
      <c r="H7" s="1626"/>
      <c r="I7" s="1280"/>
    </row>
    <row r="8" spans="1:12" ht="13.2">
      <c r="A8" s="3331" t="s">
        <v>1270</v>
      </c>
      <c r="B8" s="3318">
        <v>15</v>
      </c>
      <c r="C8" s="3334"/>
      <c r="D8" s="3354"/>
      <c r="E8" s="122" t="s">
        <v>1271</v>
      </c>
      <c r="F8" s="1626"/>
      <c r="G8" s="1626"/>
      <c r="H8" s="1626"/>
      <c r="I8" s="1280"/>
    </row>
    <row r="9" spans="1:12" ht="13.2">
      <c r="A9" s="3331"/>
      <c r="B9" s="3318"/>
      <c r="C9" s="3336"/>
      <c r="D9" s="3354"/>
      <c r="E9" s="122" t="s">
        <v>1272</v>
      </c>
      <c r="F9" s="1626"/>
      <c r="G9" s="1626"/>
      <c r="H9" s="1626"/>
      <c r="I9" s="1280"/>
    </row>
    <row r="10" spans="1:12" ht="13.2">
      <c r="A10" s="3331" t="s">
        <v>1273</v>
      </c>
      <c r="B10" s="3318">
        <v>15</v>
      </c>
      <c r="C10" s="3334"/>
      <c r="D10" s="3354"/>
      <c r="E10" s="122" t="s">
        <v>1274</v>
      </c>
      <c r="F10" s="1626"/>
      <c r="G10" s="1626"/>
      <c r="H10" s="1626"/>
      <c r="I10" s="1280"/>
    </row>
    <row r="11" spans="1:12" ht="13.2">
      <c r="A11" s="3331"/>
      <c r="B11" s="3318"/>
      <c r="C11" s="3336"/>
      <c r="D11" s="3354"/>
      <c r="E11" s="122" t="s">
        <v>1275</v>
      </c>
      <c r="F11" s="1626"/>
      <c r="G11" s="1626"/>
      <c r="H11" s="1626"/>
      <c r="I11" s="1280"/>
    </row>
    <row r="12" spans="1:12" ht="13.2">
      <c r="A12" s="3331" t="s">
        <v>1276</v>
      </c>
      <c r="B12" s="3318">
        <v>15</v>
      </c>
      <c r="C12" s="3334"/>
      <c r="D12" s="3354"/>
      <c r="E12" s="122" t="s">
        <v>1277</v>
      </c>
      <c r="F12" s="1626"/>
      <c r="G12" s="1626"/>
      <c r="H12" s="1626"/>
      <c r="I12" s="1280"/>
    </row>
    <row r="13" spans="1:12" ht="13.2">
      <c r="A13" s="3331"/>
      <c r="B13" s="3318"/>
      <c r="C13" s="3336"/>
      <c r="D13" s="3354"/>
      <c r="E13" s="122" t="s">
        <v>1278</v>
      </c>
      <c r="F13" s="1626"/>
      <c r="G13" s="1626"/>
      <c r="H13" s="1626"/>
      <c r="I13" s="1280"/>
    </row>
    <row r="14" spans="1:12" ht="13.2">
      <c r="A14" s="3331" t="s">
        <v>1279</v>
      </c>
      <c r="B14" s="3318">
        <v>30</v>
      </c>
      <c r="C14" s="3334">
        <v>6</v>
      </c>
      <c r="D14" s="3354">
        <v>4</v>
      </c>
      <c r="E14" s="122" t="s">
        <v>1280</v>
      </c>
      <c r="F14" s="1626"/>
      <c r="G14" s="1626"/>
      <c r="H14" s="1626"/>
      <c r="I14" s="1280"/>
    </row>
    <row r="15" spans="1:12" ht="13.2">
      <c r="A15" s="3331"/>
      <c r="B15" s="3318"/>
      <c r="C15" s="3335"/>
      <c r="D15" s="3354"/>
      <c r="E15" s="122" t="s">
        <v>1281</v>
      </c>
      <c r="F15" s="1626"/>
      <c r="G15" s="1626"/>
      <c r="H15" s="1626"/>
      <c r="I15" s="1280"/>
    </row>
    <row r="16" spans="1:12" ht="13.2">
      <c r="A16" s="3331"/>
      <c r="B16" s="3318"/>
      <c r="C16" s="3336"/>
      <c r="D16" s="3354"/>
      <c r="E16" s="122" t="s">
        <v>1282</v>
      </c>
      <c r="F16" s="1626"/>
      <c r="G16" s="1626"/>
      <c r="H16" s="1626"/>
      <c r="I16" s="1280"/>
    </row>
    <row r="17" spans="1:36" ht="14.4">
      <c r="A17" s="1627" t="s">
        <v>1283</v>
      </c>
      <c r="B17" s="54"/>
      <c r="C17" s="123">
        <f>SUM(C5:C16)</f>
        <v>6</v>
      </c>
      <c r="D17" s="123">
        <f>SUM(D5:D16)</f>
        <v>4</v>
      </c>
      <c r="E17" s="120"/>
      <c r="F17" s="120"/>
      <c r="G17" s="120"/>
      <c r="H17" s="120"/>
      <c r="I17" s="120"/>
      <c r="K17" s="293"/>
      <c r="L17" s="293" t="s">
        <v>1284</v>
      </c>
      <c r="M17" s="293" t="s">
        <v>1285</v>
      </c>
    </row>
    <row r="18" spans="1:36" ht="31.95" customHeight="1" thickBot="1">
      <c r="A18" s="1628" t="s">
        <v>1286</v>
      </c>
      <c r="B18" s="1541"/>
      <c r="C18" s="124">
        <f>ROUND(C17/SUM(C17:D17),2)</f>
        <v>0.6</v>
      </c>
      <c r="D18" s="124">
        <f>1-C18</f>
        <v>0.4</v>
      </c>
      <c r="E18" s="3341" t="s">
        <v>2129</v>
      </c>
      <c r="F18" s="3342"/>
      <c r="G18" s="3342"/>
      <c r="H18" s="3342"/>
      <c r="I18" s="3342"/>
      <c r="K18" s="293" t="s">
        <v>1287</v>
      </c>
      <c r="L18" s="293">
        <f>IF(C1="",'数据-汇总表'!E3,SUMIF(项目类型,C1,'数据-汇总表'!E17:E26)+SUMIF(项目类型,C1,'数据-汇总表'!I17:I26))</f>
        <v>118791.89</v>
      </c>
      <c r="M18" s="293">
        <f>IF(C1="",'数据-汇总表'!E3,SUMIF(项目类型,C1,'数据-汇总表'!E17:E26))</f>
        <v>118791.89</v>
      </c>
    </row>
    <row r="19" spans="1:36" ht="14.4">
      <c r="A19" s="1629" t="s">
        <v>1288</v>
      </c>
      <c r="B19" s="1630" t="s">
        <v>1289</v>
      </c>
      <c r="C19" s="125">
        <f ca="1">SUMIF(INDIRECT("'"&amp;C4&amp;"'"&amp;"!A:A"),结果表!B19,INDIRECT("'"&amp;C4&amp;"'"&amp;"!B:B"))</f>
        <v>528184</v>
      </c>
      <c r="D19" s="126">
        <f ca="1">SUMIF(INDIRECT("'"&amp;D4&amp;"'"&amp;"!A:A"),结果表!B19,INDIRECT("'"&amp;D4&amp;"'"&amp;"!B:B"))</f>
        <v>328553</v>
      </c>
      <c r="E19" s="1629" t="s">
        <v>1290</v>
      </c>
      <c r="F19" s="1630" t="s">
        <v>1289</v>
      </c>
      <c r="G19" s="127">
        <f ca="1">ROUND(C19*$C$18+D19*$D$18,0)</f>
        <v>448332</v>
      </c>
      <c r="H19" s="1631" t="s">
        <v>1291</v>
      </c>
      <c r="I19" s="120"/>
      <c r="K19" s="293" t="s">
        <v>1292</v>
      </c>
      <c r="L19" s="293">
        <f>IF(C1="",'数据-汇总表'!D3,SUMIF(项目类型,C1,'数据-汇总表'!D17:D26)+SUMIF(项目类型,C1,'数据-汇总表'!H17:H27))</f>
        <v>33138.379999999997</v>
      </c>
      <c r="M19" s="293">
        <f>IF(C1="",'数据-汇总表'!D3,SUMIF(项目类型,C1,'数据-汇总表'!D17:D26))</f>
        <v>33138.379999999997</v>
      </c>
    </row>
    <row r="20" spans="1:36" ht="14.4">
      <c r="A20" s="1632"/>
      <c r="B20" s="43" t="s">
        <v>1293</v>
      </c>
      <c r="C20" s="128">
        <f ca="1">SUMIF(INDIRECT("'"&amp;C4&amp;"'"&amp;"!A:A"),结果表!B20,INDIRECT("'"&amp;C4&amp;"'"&amp;"!B:B"))</f>
        <v>44463</v>
      </c>
      <c r="D20" s="129">
        <f ca="1">SUMIF(INDIRECT("'"&amp;D4&amp;"'"&amp;"!A:A"),结果表!B20,INDIRECT("'"&amp;D4&amp;"'"&amp;"!B:B"))</f>
        <v>27658</v>
      </c>
      <c r="E20" s="1632"/>
      <c r="F20" s="43" t="s">
        <v>1293</v>
      </c>
      <c r="G20" s="130">
        <f ca="1">ROUND(C20*$C$18+D20*$D$18,0)</f>
        <v>37741</v>
      </c>
      <c r="H20" s="759" t="s">
        <v>1294</v>
      </c>
      <c r="I20" s="120"/>
    </row>
    <row r="21" spans="1:36" ht="15" customHeight="1" thickBot="1">
      <c r="A21" s="448"/>
      <c r="B21" s="93" t="s">
        <v>1295</v>
      </c>
      <c r="C21" s="677">
        <f ca="1">ROUND(C19*10000/L19,0)</f>
        <v>159387</v>
      </c>
      <c r="D21" s="678">
        <f ca="1">ROUND(D19*10000/L19,0)</f>
        <v>99146</v>
      </c>
      <c r="E21" s="448"/>
      <c r="F21" s="93" t="s">
        <v>1295</v>
      </c>
      <c r="G21" s="131">
        <f ca="1">ROUND(G19*10000/L19,0)</f>
        <v>135291</v>
      </c>
      <c r="H21" s="1633" t="s">
        <v>1294</v>
      </c>
      <c r="I21" s="120"/>
    </row>
    <row r="22" spans="1:36" ht="15" thickBot="1">
      <c r="A22" s="1563" t="s">
        <v>1296</v>
      </c>
      <c r="B22" s="1634"/>
      <c r="C22" s="1635"/>
      <c r="D22" s="679">
        <f ca="1">IF(C19&lt;D19,D19/C19-1,C19/D19-1)</f>
        <v>0.60760668750551661</v>
      </c>
      <c r="E22" s="120"/>
      <c r="F22" s="120"/>
      <c r="G22" s="120"/>
      <c r="H22" s="120"/>
      <c r="I22" s="120"/>
    </row>
    <row r="23" spans="1:36" ht="13.8" thickBot="1">
      <c r="A23" s="645"/>
      <c r="B23" s="645"/>
      <c r="C23" s="645"/>
      <c r="D23" s="645"/>
      <c r="E23" s="120"/>
      <c r="F23" s="120"/>
      <c r="G23" s="120"/>
      <c r="H23" s="120"/>
      <c r="I23" s="120"/>
    </row>
    <row r="24" spans="1:36" ht="14.4">
      <c r="A24" s="3325" t="s">
        <v>1297</v>
      </c>
      <c r="B24" s="1630" t="s">
        <v>1289</v>
      </c>
      <c r="C24" s="127">
        <f>IF(B30=0,0,D30)</f>
        <v>0</v>
      </c>
      <c r="D24" s="1636"/>
      <c r="E24" s="120"/>
      <c r="F24" s="120"/>
      <c r="G24" s="120"/>
      <c r="H24" s="120"/>
      <c r="I24" s="120"/>
    </row>
    <row r="25" spans="1:36" ht="14.4">
      <c r="A25" s="3326"/>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448332</v>
      </c>
      <c r="D32" s="1640" t="s">
        <v>3830</v>
      </c>
      <c r="E32" s="120"/>
      <c r="F32" s="120"/>
      <c r="G32" s="120"/>
      <c r="H32" s="120"/>
      <c r="I32" s="120"/>
    </row>
    <row r="33" spans="1:15" ht="14.4">
      <c r="A33" s="739" t="s">
        <v>1304</v>
      </c>
      <c r="B33" s="122"/>
      <c r="C33" s="1641" t="s">
        <v>3831</v>
      </c>
      <c r="D33" s="1642" t="s">
        <v>3796</v>
      </c>
      <c r="E33" s="1643" t="s">
        <v>1305</v>
      </c>
      <c r="F33" s="1644" t="str">
        <f>IF(D32="楼面单价","取值（单价）","取值（总价）")</f>
        <v>取值（总价）</v>
      </c>
      <c r="G33" s="120"/>
      <c r="H33" s="120"/>
      <c r="I33" s="120"/>
    </row>
    <row r="34" spans="1:15" ht="14.4">
      <c r="A34" s="1645"/>
      <c r="B34" s="1646" t="s">
        <v>1306</v>
      </c>
      <c r="C34" s="139">
        <f ca="1">IF(C33="自定义",F34,C32-C35)</f>
        <v>274828</v>
      </c>
      <c r="D34" s="807">
        <f ca="1">IF(C33="自定义",ROUND(C34/C32,3),IF(C33="收益比率",SUMIF(INDIRECT("'"&amp;D33&amp;"'"&amp;"!b:b"),"土地收益比率",INDIRECT("'"&amp;D33&amp;"'"&amp;"!c:c")),SUMIF(INDIRECT("'"&amp;D33&amp;"'"&amp;"!b:b"),"土地成本比率",INDIRECT("'"&amp;D33&amp;"'"&amp;"!c:c"))))</f>
        <v>0.61299999999999999</v>
      </c>
      <c r="E34" s="1647" t="s">
        <v>1307</v>
      </c>
      <c r="F34" s="1242"/>
      <c r="G34" s="120"/>
      <c r="H34" s="120"/>
      <c r="I34" s="120"/>
    </row>
    <row r="35" spans="1:15" ht="15" thickBot="1">
      <c r="A35" s="1648"/>
      <c r="B35" s="1649" t="s">
        <v>1308</v>
      </c>
      <c r="C35" s="1089">
        <f ca="1">IF(C33="自定义",F35,ROUND(C32*D35,0))</f>
        <v>173504</v>
      </c>
      <c r="D35" s="1090">
        <f ca="1">IF(C33="自定义",ROUND(C35/C32,3),IF(C33="收益比率",SUMIF(INDIRECT("'"&amp;D33&amp;"'"&amp;"!b:b"),"建筑物收益比率",INDIRECT("'"&amp;D33&amp;"'"&amp;"!c:c")),SUMIF(INDIRECT("'"&amp;D33&amp;"'"&amp;"!b:b"),"建筑物成本比率",INDIRECT("'"&amp;D33&amp;"'"&amp;"!c:c"))))</f>
        <v>0.38700000000000001</v>
      </c>
      <c r="E35" s="1650" t="s">
        <v>1309</v>
      </c>
      <c r="F35" s="145"/>
      <c r="G35" s="120"/>
      <c r="H35" s="120"/>
      <c r="I35" s="120"/>
    </row>
    <row r="36" spans="1:15" ht="15" thickBot="1">
      <c r="A36" s="3345" t="s">
        <v>1310</v>
      </c>
      <c r="B36" s="1651" t="s">
        <v>1311</v>
      </c>
      <c r="C36" s="136"/>
      <c r="D36" s="1652"/>
      <c r="E36" s="1566"/>
      <c r="F36" s="1653"/>
      <c r="G36" s="120"/>
      <c r="H36" s="120"/>
      <c r="I36" s="120"/>
    </row>
    <row r="37" spans="1:15" ht="15" thickBot="1">
      <c r="A37" s="3346"/>
      <c r="B37" s="1554" t="s">
        <v>1312</v>
      </c>
      <c r="C37" s="138"/>
      <c r="D37" s="1070"/>
      <c r="E37" s="1070"/>
      <c r="F37" s="1653"/>
      <c r="G37" s="120"/>
      <c r="H37" s="120"/>
      <c r="I37" s="120"/>
    </row>
    <row r="38" spans="1:15" ht="15" thickBot="1">
      <c r="A38" s="3347"/>
      <c r="B38" s="1654" t="s">
        <v>1313</v>
      </c>
      <c r="C38" s="640"/>
      <c r="D38" s="1655" t="s">
        <v>1314</v>
      </c>
      <c r="E38" s="1070"/>
      <c r="F38" s="1653"/>
      <c r="G38" s="120"/>
      <c r="H38" s="120"/>
      <c r="I38" s="120"/>
    </row>
    <row r="39" spans="1:15" ht="14.4">
      <c r="A39" s="1632" t="s">
        <v>1315</v>
      </c>
      <c r="B39" s="1656" t="s">
        <v>1316</v>
      </c>
      <c r="C39" s="1657" t="s">
        <v>1317</v>
      </c>
      <c r="D39" s="1657" t="s">
        <v>1318</v>
      </c>
      <c r="E39" s="1658" t="s">
        <v>1319</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322" t="s">
        <v>1324</v>
      </c>
      <c r="B45" s="3323"/>
      <c r="C45" s="3324"/>
      <c r="D45" s="3228">
        <f ca="1">ROUND(系统读取表!B5*F45,0)</f>
        <v>340504</v>
      </c>
      <c r="E45" s="147" t="s">
        <v>1325</v>
      </c>
      <c r="F45" s="148">
        <v>0.7</v>
      </c>
      <c r="G45" s="149" t="s">
        <v>1326</v>
      </c>
      <c r="H45" s="120"/>
      <c r="I45" s="120"/>
      <c r="J45" s="3400" t="s">
        <v>1327</v>
      </c>
      <c r="K45" s="3400"/>
      <c r="L45" s="3400"/>
      <c r="M45" s="3400"/>
      <c r="N45" s="3400"/>
      <c r="O45" s="3400"/>
    </row>
    <row r="46" spans="1:15" ht="14.25" customHeight="1">
      <c r="A46" s="3319" t="s">
        <v>1328</v>
      </c>
      <c r="B46" s="3320"/>
      <c r="C46" s="3320"/>
      <c r="D46" s="3320"/>
      <c r="E46" s="3320"/>
      <c r="F46" s="3320"/>
      <c r="G46" s="3321"/>
      <c r="H46" s="1667"/>
      <c r="I46" s="150"/>
      <c r="J46" s="2309">
        <v>1</v>
      </c>
      <c r="K46" s="3381" t="s">
        <v>1329</v>
      </c>
      <c r="L46" s="3381"/>
      <c r="M46" s="3401"/>
      <c r="N46" s="3401"/>
      <c r="O46" s="3401"/>
    </row>
    <row r="47" spans="1:15" ht="12" customHeight="1">
      <c r="A47" s="151" t="s">
        <v>1330</v>
      </c>
      <c r="B47" s="152"/>
      <c r="C47" s="153"/>
      <c r="D47" s="1023" t="s">
        <v>1331</v>
      </c>
      <c r="E47" s="293" t="s">
        <v>1332</v>
      </c>
      <c r="F47" s="154" t="s">
        <v>1333</v>
      </c>
      <c r="G47" s="2332" t="s">
        <v>1334</v>
      </c>
      <c r="H47" s="2333"/>
      <c r="I47" s="150"/>
      <c r="J47" s="2309">
        <v>2</v>
      </c>
      <c r="K47" s="3381" t="s">
        <v>1335</v>
      </c>
      <c r="L47" s="3381"/>
      <c r="M47" s="3402">
        <f>'数据-取费表'!B2</f>
        <v>45749</v>
      </c>
      <c r="N47" s="3402"/>
      <c r="O47" s="3402"/>
    </row>
    <row r="48" spans="1:15" ht="26.4">
      <c r="A48" s="3350" t="s">
        <v>1336</v>
      </c>
      <c r="B48" s="3333"/>
      <c r="C48" s="3333"/>
      <c r="D48" s="12">
        <f ca="1">IF(H48="情况1",0,IF(H48="情况2",D52,IF(H48="情况3",D53,IF(H48="情况4",D54))))</f>
        <v>18160</v>
      </c>
      <c r="E48" s="1255" t="str">
        <f>IF(H48="情况4","(销售额-原购置价)×税（费）率","销售额×税（费）率")</f>
        <v>销售额×税（费）率</v>
      </c>
      <c r="F48" s="2334">
        <f>IF(H48="情况1","免征",'数据-取费表'!B41)</f>
        <v>5.6000000000000001E-2</v>
      </c>
      <c r="G48" s="2335" t="s">
        <v>1337</v>
      </c>
      <c r="H48" s="2336" t="s">
        <v>3832</v>
      </c>
      <c r="I48" s="1667"/>
      <c r="J48" s="2309">
        <v>3</v>
      </c>
      <c r="K48" s="3381" t="s">
        <v>1338</v>
      </c>
      <c r="L48" s="3381"/>
      <c r="M48" s="3403">
        <f ca="1">系统读取表!B5</f>
        <v>486434</v>
      </c>
      <c r="N48" s="3403"/>
      <c r="O48" s="3403"/>
    </row>
    <row r="49" spans="1:35" ht="25.5" customHeight="1">
      <c r="A49" s="2151" t="s">
        <v>1339</v>
      </c>
      <c r="B49" s="3317" t="s">
        <v>1340</v>
      </c>
      <c r="C49" s="3317"/>
      <c r="D49" s="1477">
        <v>0</v>
      </c>
      <c r="E49" s="315" t="s">
        <v>1341</v>
      </c>
      <c r="F49" s="2232" t="s">
        <v>28</v>
      </c>
      <c r="G49" s="3387"/>
      <c r="H49" s="2133" t="s">
        <v>2132</v>
      </c>
      <c r="I49" s="2134"/>
      <c r="J49" s="2309">
        <v>4</v>
      </c>
      <c r="K49" s="3381" t="str">
        <f>IF(项目基本情况!E8="房地产抵押价值","房地产抵押价值","抵押担保权已注销时的房地产抵押价值")</f>
        <v>房地产抵押价值</v>
      </c>
      <c r="L49" s="3381"/>
      <c r="M49" s="3403">
        <f ca="1">M48</f>
        <v>486434</v>
      </c>
      <c r="N49" s="3403"/>
      <c r="O49" s="3403"/>
    </row>
    <row r="50" spans="1:35" ht="25.5" customHeight="1">
      <c r="A50" s="2337"/>
      <c r="B50" s="3317" t="s">
        <v>1342</v>
      </c>
      <c r="C50" s="3317"/>
      <c r="D50" s="2188"/>
      <c r="E50" s="322"/>
      <c r="F50" s="2232"/>
      <c r="G50" s="3388"/>
      <c r="H50" s="2135" t="s">
        <v>2133</v>
      </c>
      <c r="I50" s="2134"/>
      <c r="J50" s="3400" t="s">
        <v>1343</v>
      </c>
      <c r="K50" s="3400"/>
      <c r="L50" s="3400"/>
      <c r="M50" s="3400"/>
      <c r="N50" s="3400"/>
      <c r="O50" s="3400"/>
    </row>
    <row r="51" spans="1:35" ht="20.399999999999999" customHeight="1">
      <c r="A51" s="2338"/>
      <c r="B51" s="3317" t="s">
        <v>1344</v>
      </c>
      <c r="C51" s="3317"/>
      <c r="D51" s="1023"/>
      <c r="E51" s="318"/>
      <c r="F51" s="2232"/>
      <c r="G51" s="3389"/>
      <c r="H51" s="2135" t="s">
        <v>2134</v>
      </c>
      <c r="I51" s="2134"/>
      <c r="J51" s="2310" t="s">
        <v>1345</v>
      </c>
      <c r="K51" s="3381" t="s">
        <v>1346</v>
      </c>
      <c r="L51" s="3381"/>
      <c r="M51" s="2310" t="s">
        <v>1347</v>
      </c>
      <c r="N51" s="2310" t="s">
        <v>1348</v>
      </c>
      <c r="O51" s="2310" t="s">
        <v>1349</v>
      </c>
    </row>
    <row r="52" spans="1:35" ht="24" customHeight="1">
      <c r="A52" s="2152" t="s">
        <v>1350</v>
      </c>
      <c r="B52" s="3317" t="s">
        <v>1351</v>
      </c>
      <c r="C52" s="3317"/>
      <c r="D52" s="1023">
        <f ca="1">ROUND(D45*'数据-取费表'!B41/(1+'数据-取费表'!C42),0)</f>
        <v>18160</v>
      </c>
      <c r="E52" s="1255" t="s">
        <v>1352</v>
      </c>
      <c r="F52" s="2339">
        <f>'数据-取费表'!B41</f>
        <v>5.6000000000000001E-2</v>
      </c>
      <c r="G52" s="2340"/>
      <c r="H52" s="2330"/>
      <c r="I52" s="1668"/>
      <c r="J52" s="2309">
        <v>1</v>
      </c>
      <c r="K52" s="3382" t="s">
        <v>1353</v>
      </c>
      <c r="L52" s="3382"/>
      <c r="M52" s="2311">
        <f ca="1">D48</f>
        <v>18160</v>
      </c>
      <c r="N52" s="2309" t="str">
        <f>E48</f>
        <v>销售额×税（费）率</v>
      </c>
      <c r="O52" s="2312">
        <f>F48</f>
        <v>5.6000000000000001E-2</v>
      </c>
    </row>
    <row r="53" spans="1:35" ht="12" customHeight="1">
      <c r="A53" s="2152" t="s">
        <v>1354</v>
      </c>
      <c r="B53" s="3343" t="s">
        <v>2289</v>
      </c>
      <c r="C53" s="3344"/>
      <c r="D53" s="1023">
        <f ca="1">ROUND(D45*'数据-取费表'!B41/(1+'数据-取费表'!C42),0)</f>
        <v>18160</v>
      </c>
      <c r="E53" s="1255" t="s">
        <v>1352</v>
      </c>
      <c r="F53" s="2339">
        <f>'数据-取费表'!B41</f>
        <v>5.6000000000000001E-2</v>
      </c>
      <c r="G53" s="2340"/>
      <c r="H53" s="2330"/>
      <c r="I53" s="1668"/>
      <c r="J53" s="2309">
        <v>2</v>
      </c>
      <c r="K53" s="3382" t="s">
        <v>1355</v>
      </c>
      <c r="L53" s="3382"/>
      <c r="M53" s="2311">
        <f t="shared" ref="M53:O54" ca="1" si="0">D55</f>
        <v>170</v>
      </c>
      <c r="N53" s="2309" t="str">
        <f t="shared" si="0"/>
        <v>销售额×税（费）率</v>
      </c>
      <c r="O53" s="2312">
        <f t="shared" si="0"/>
        <v>5.0000000000000001E-4</v>
      </c>
    </row>
    <row r="54" spans="1:35" ht="12" customHeight="1">
      <c r="A54" s="2152" t="s">
        <v>1356</v>
      </c>
      <c r="B54" s="3343" t="s">
        <v>2290</v>
      </c>
      <c r="C54" s="3344"/>
      <c r="D54" s="1023">
        <f ca="1">C68</f>
        <v>18160</v>
      </c>
      <c r="E54" s="318" t="s">
        <v>1357</v>
      </c>
      <c r="F54" s="2339">
        <f>'数据-取费表'!B41</f>
        <v>5.6000000000000001E-2</v>
      </c>
      <c r="G54" s="2340"/>
      <c r="H54" s="2341"/>
      <c r="I54" s="1668"/>
      <c r="J54" s="2309">
        <v>3</v>
      </c>
      <c r="K54" s="3382" t="s">
        <v>1358</v>
      </c>
      <c r="L54" s="3382"/>
      <c r="M54" s="2311">
        <f t="shared" ca="1" si="0"/>
        <v>26718</v>
      </c>
      <c r="N54" s="2309" t="str">
        <f t="shared" si="0"/>
        <v>增值额×税（费）率</v>
      </c>
      <c r="O54" s="2313" t="str">
        <f t="shared" si="0"/>
        <v>——</v>
      </c>
    </row>
    <row r="55" spans="1:35" ht="24" customHeight="1">
      <c r="A55" s="3332" t="s">
        <v>1359</v>
      </c>
      <c r="B55" s="3333"/>
      <c r="C55" s="3333"/>
      <c r="D55" s="12">
        <f ca="1">IF(H55="个人住宅",0,ROUND(D45*I55,0))</f>
        <v>170</v>
      </c>
      <c r="E55" s="1255" t="s">
        <v>1360</v>
      </c>
      <c r="F55" s="2339">
        <f>IF(H55="正常",I55,"免征")</f>
        <v>5.0000000000000001E-4</v>
      </c>
      <c r="G55" s="2340"/>
      <c r="H55" s="2336" t="s">
        <v>3763</v>
      </c>
      <c r="I55" s="156">
        <f>'数据-取费表'!B49</f>
        <v>5.0000000000000001E-4</v>
      </c>
      <c r="J55" s="2309" t="str">
        <f>IF(H59="非个人房产","",4)</f>
        <v/>
      </c>
      <c r="K55" s="3382" t="str">
        <f>IF(H59="非个人房产","——","个人所得税")</f>
        <v>——</v>
      </c>
      <c r="L55" s="3382"/>
      <c r="M55" s="2314" t="str">
        <f>D59</f>
        <v>——</v>
      </c>
      <c r="N55" s="1882" t="str">
        <f>E59</f>
        <v>——</v>
      </c>
      <c r="O55" s="2315" t="str">
        <f>F59</f>
        <v>——</v>
      </c>
    </row>
    <row r="56" spans="1:35" ht="25.2">
      <c r="A56" s="3332" t="s">
        <v>1361</v>
      </c>
      <c r="B56" s="3333"/>
      <c r="C56" s="3333"/>
      <c r="D56" s="12">
        <f ca="1">IF(H56="个人住宅",D57,D58)</f>
        <v>26718</v>
      </c>
      <c r="E56" s="1255" t="s">
        <v>1362</v>
      </c>
      <c r="F56" s="2339" t="str">
        <f>IF(H56="正常",F58,"免征")</f>
        <v>——</v>
      </c>
      <c r="G56" s="2342" t="s">
        <v>1363</v>
      </c>
      <c r="H56" s="2343" t="s">
        <v>3763</v>
      </c>
      <c r="I56" s="1669"/>
      <c r="J56" s="2309" t="str">
        <f>IF(项目基本情况!K6="上海银行",IF(J55="",4,J55+1),"")</f>
        <v/>
      </c>
      <c r="K56" s="3405" t="str">
        <f>IF(项目基本情况!K6="上海银行","其他处置费用","")</f>
        <v/>
      </c>
      <c r="L56" s="3406"/>
      <c r="M56" s="2311" t="str">
        <f>IF(项目基本情况!K6="上海银行",M69,"")</f>
        <v/>
      </c>
      <c r="N56" s="3405" t="str">
        <f>IF(项目基本情况!K6="上海银行","包含处置中涉及的律师、诉讼、拍卖、评估等费用","")</f>
        <v/>
      </c>
      <c r="O56" s="3408"/>
    </row>
    <row r="57" spans="1:35" ht="13.2">
      <c r="A57" s="2152" t="s">
        <v>1339</v>
      </c>
      <c r="B57" s="3343" t="s">
        <v>1364</v>
      </c>
      <c r="C57" s="3344"/>
      <c r="D57" s="1477">
        <v>0</v>
      </c>
      <c r="E57" s="315" t="s">
        <v>1341</v>
      </c>
      <c r="F57" s="293"/>
      <c r="G57" s="2340"/>
      <c r="H57" s="2344"/>
      <c r="I57" s="1669"/>
      <c r="J57" s="3382">
        <f>IF(AND(J55="",J56=""),4,IF(项目基本情况!K6="上海银行",结果表!J56+1,结果表!J55+1))</f>
        <v>4</v>
      </c>
      <c r="K57" s="3382" t="s">
        <v>1365</v>
      </c>
      <c r="L57" s="2316" t="s">
        <v>1366</v>
      </c>
      <c r="M57" s="2317"/>
      <c r="N57" s="2318">
        <f ca="1">SUMIF(M52:M56,"&lt;9e307")</f>
        <v>45048</v>
      </c>
      <c r="O57" s="2319"/>
      <c r="P57" s="2464">
        <f ca="1">N57/M49</f>
        <v>9.2608658111891853E-2</v>
      </c>
    </row>
    <row r="58" spans="1:35" ht="25.2">
      <c r="A58" s="2152" t="s">
        <v>1350</v>
      </c>
      <c r="B58" s="3343" t="s">
        <v>1367</v>
      </c>
      <c r="C58" s="3317"/>
      <c r="D58" s="12">
        <f ca="1">IF(H58="转让取得",C81,C97)</f>
        <v>26718</v>
      </c>
      <c r="E58" s="1255" t="s">
        <v>1362</v>
      </c>
      <c r="F58" s="293" t="s">
        <v>28</v>
      </c>
      <c r="G58" s="2340"/>
      <c r="H58" s="2343" t="s">
        <v>3833</v>
      </c>
      <c r="I58" s="1669"/>
      <c r="J58" s="3382"/>
      <c r="K58" s="3382"/>
      <c r="L58" s="2316" t="s">
        <v>1368</v>
      </c>
      <c r="M58" s="2320"/>
      <c r="N58" s="2321" t="str">
        <f ca="1">NUMBERSTRING(INT(N57*10000),2)&amp;"元整"</f>
        <v>肆亿伍仟零肆拾捌万元整</v>
      </c>
      <c r="O58" s="2322"/>
    </row>
    <row r="59" spans="1:35" ht="24.6" thickBot="1">
      <c r="A59" s="3385" t="s">
        <v>1369</v>
      </c>
      <c r="B59" s="3386"/>
      <c r="C59" s="3386"/>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1363</v>
      </c>
      <c r="H59" s="2137" t="s">
        <v>3834</v>
      </c>
      <c r="I59" s="2136" t="s">
        <v>2135</v>
      </c>
      <c r="J59" s="3383">
        <f>J57+1</f>
        <v>5</v>
      </c>
      <c r="K59" s="3382" t="s">
        <v>1370</v>
      </c>
      <c r="L59" s="2309" t="s">
        <v>1366</v>
      </c>
      <c r="M59" s="2323"/>
      <c r="N59" s="2324">
        <f ca="1">M49-N57</f>
        <v>441386</v>
      </c>
      <c r="O59" s="2325"/>
    </row>
    <row r="60" spans="1:35" ht="12" customHeight="1">
      <c r="A60" s="1670"/>
      <c r="B60" s="645"/>
      <c r="C60" s="645"/>
      <c r="D60" s="645"/>
      <c r="E60" s="1465"/>
      <c r="F60" s="1669"/>
      <c r="G60" s="1669"/>
      <c r="H60" s="150"/>
      <c r="I60" s="120"/>
      <c r="J60" s="3384"/>
      <c r="K60" s="3382"/>
      <c r="L60" s="2316" t="s">
        <v>1368</v>
      </c>
      <c r="M60" s="2320"/>
      <c r="N60" s="2321" t="str">
        <f ca="1">NUMBERSTRING(INT(N59*10000),2)&amp;"元整"</f>
        <v>肆拾肆亿壹仟叁佰捌拾陆万元整</v>
      </c>
      <c r="O60" s="2322"/>
    </row>
    <row r="61" spans="1:35" ht="13.8" thickBot="1">
      <c r="A61" s="3330" t="s">
        <v>1371</v>
      </c>
      <c r="B61" s="3330"/>
      <c r="C61" s="3330"/>
      <c r="D61" s="3330"/>
      <c r="E61" s="3330"/>
      <c r="F61" s="1669"/>
      <c r="G61" s="1669"/>
      <c r="H61" s="150"/>
      <c r="I61" s="120"/>
      <c r="J61" s="2309">
        <f>J59+1</f>
        <v>6</v>
      </c>
      <c r="K61" s="3382" t="s">
        <v>1372</v>
      </c>
      <c r="L61" s="3382"/>
      <c r="M61" s="2326"/>
      <c r="N61" s="2327">
        <f ca="1">ROUND(N59*10000/'数据-汇总表'!E3,0)</f>
        <v>24943</v>
      </c>
      <c r="O61" s="2328"/>
    </row>
    <row r="62" spans="1:35" ht="13.2">
      <c r="A62" s="3348" t="s">
        <v>1373</v>
      </c>
      <c r="B62" s="3349"/>
      <c r="C62" s="1864"/>
      <c r="D62" s="1864" t="s">
        <v>1374</v>
      </c>
      <c r="E62" s="157" t="s">
        <v>1375</v>
      </c>
      <c r="F62" s="1669"/>
      <c r="G62" s="1669"/>
      <c r="H62" s="150"/>
      <c r="I62" s="120"/>
    </row>
    <row r="63" spans="1:35" ht="13.2">
      <c r="A63" s="164" t="s">
        <v>330</v>
      </c>
      <c r="B63" s="158" t="s">
        <v>1376</v>
      </c>
      <c r="C63" s="2349">
        <f ca="1">ROUND((C64+C65)/(1+'数据-取费表'!C42),0)</f>
        <v>324290</v>
      </c>
      <c r="D63" s="158"/>
      <c r="E63" s="159"/>
      <c r="F63" s="1669"/>
      <c r="G63" s="1669"/>
      <c r="H63" s="150"/>
      <c r="I63" s="120"/>
      <c r="J63" s="3407" t="s">
        <v>1377</v>
      </c>
      <c r="K63" s="1244" t="s">
        <v>1378</v>
      </c>
      <c r="L63" s="1244">
        <f ca="1">IF(M49&gt;10000,M49*0.5%,IF(AND(M49&gt;1000,M49&lt;=10000),M49*1%,IF(AND(M49&gt;100,M49&lt;=1000),M49*3%,IF(AND(M49&gt;10,M49&lt;=100),M49*5%,M49*8%))))</f>
        <v>2432.17</v>
      </c>
      <c r="M63" s="293">
        <f ca="1">ROUND(L63,1)</f>
        <v>2432.1999999999998</v>
      </c>
      <c r="N63" s="2329"/>
      <c r="Z63" s="1622"/>
      <c r="AI63" s="1560"/>
    </row>
    <row r="64" spans="1:35" ht="14.25" customHeight="1">
      <c r="A64" s="160" t="s">
        <v>325</v>
      </c>
      <c r="B64" s="161" t="s">
        <v>1379</v>
      </c>
      <c r="C64" s="2350">
        <f ca="1">D45</f>
        <v>340504</v>
      </c>
      <c r="D64" s="161" t="s">
        <v>26</v>
      </c>
      <c r="E64" s="163"/>
      <c r="F64" s="1669"/>
      <c r="G64" s="1669"/>
      <c r="H64" s="150"/>
      <c r="I64" s="120"/>
      <c r="J64" s="3407"/>
      <c r="K64" s="1244" t="s">
        <v>1380</v>
      </c>
      <c r="L64" s="1244">
        <f ca="1">IF(M49&gt;2000,M49*0.5%,IF(AND(M49&gt;1000,M49&lt;=2000),M49*0.6%,IF(AND(M49&gt;500,M49&lt;=1000),M49*0.7%,IF(AND(M49&gt;200,M49&lt;=500),M49*0.8%,IF(AND(M49&gt;100,M49&lt;=200),M49*0.9%,IF(AND(M49&gt;50,M49&lt;=100),M49*1%,IF(AND(M49&gt;20,M49&lt;=50),M49*1.5%,IF(AND(M49&gt;10,M49&lt;=20),M49*2%,IF(AND(M49&gt;1,M49&lt;=10),M49*2.5%)))))))))</f>
        <v>2432.17</v>
      </c>
      <c r="M64" s="293">
        <f t="shared" ref="M64:M65" ca="1" si="1">ROUND(L64,1)</f>
        <v>2432.1999999999998</v>
      </c>
      <c r="N64" s="2330" t="s">
        <v>1381</v>
      </c>
      <c r="Z64" s="1622"/>
      <c r="AI64" s="1560"/>
    </row>
    <row r="65" spans="1:35" ht="14.25" customHeight="1">
      <c r="A65" s="160" t="s">
        <v>326</v>
      </c>
      <c r="B65" s="161" t="s">
        <v>1382</v>
      </c>
      <c r="C65" s="2351"/>
      <c r="D65" s="161"/>
      <c r="E65" s="163"/>
      <c r="F65" s="1669"/>
      <c r="G65" s="1669"/>
      <c r="H65" s="150"/>
      <c r="I65" s="120"/>
      <c r="J65" s="3407"/>
      <c r="K65" s="1244" t="s">
        <v>1383</v>
      </c>
      <c r="L65" s="1244">
        <f ca="1">IF(M49&gt;1000,M49*0.1%,IF(AND(M49&gt;500,M49&lt;=1000),M49*0.5%,IF(AND(M49&gt;50,M49&lt;=500),M49*1%,IF(AND(M49&gt;1,M49&lt;=50),M49*1.5%))))</f>
        <v>486.43400000000003</v>
      </c>
      <c r="M65" s="293">
        <f t="shared" ca="1" si="1"/>
        <v>486.4</v>
      </c>
      <c r="N65" s="2330" t="s">
        <v>1381</v>
      </c>
      <c r="Z65" s="1622"/>
      <c r="AI65" s="1560"/>
    </row>
    <row r="66" spans="1:35" ht="14.25" customHeight="1">
      <c r="A66" s="164" t="s">
        <v>327</v>
      </c>
      <c r="B66" s="165" t="s">
        <v>1384</v>
      </c>
      <c r="C66" s="2352"/>
      <c r="D66" s="165" t="s">
        <v>26</v>
      </c>
      <c r="E66" s="1250" t="s">
        <v>671</v>
      </c>
      <c r="F66" s="1669"/>
      <c r="G66" s="1669"/>
      <c r="H66" s="150"/>
      <c r="I66" s="120"/>
      <c r="J66" s="3407"/>
      <c r="K66" s="1244" t="s">
        <v>1385</v>
      </c>
      <c r="L66" s="1244">
        <f ca="1">M49*0.5%</f>
        <v>2432.17</v>
      </c>
      <c r="M66" s="293">
        <f ca="1">IF(L66&gt;0.5,0.5,ROUND(L66,0))</f>
        <v>0.5</v>
      </c>
      <c r="N66" s="2330" t="s">
        <v>1386</v>
      </c>
      <c r="Z66" s="1622"/>
      <c r="AI66" s="1560"/>
    </row>
    <row r="67" spans="1:35" ht="14.25" customHeight="1">
      <c r="A67" s="164" t="s">
        <v>328</v>
      </c>
      <c r="B67" s="165" t="s">
        <v>1387</v>
      </c>
      <c r="C67" s="2353">
        <f ca="1">C63-C66</f>
        <v>324290</v>
      </c>
      <c r="D67" s="161" t="s">
        <v>26</v>
      </c>
      <c r="E67" s="163"/>
      <c r="F67" s="1669"/>
      <c r="G67" s="1669"/>
      <c r="H67" s="150"/>
      <c r="I67" s="120"/>
      <c r="J67" s="3407"/>
      <c r="K67" s="1244" t="s">
        <v>1388</v>
      </c>
      <c r="L67" s="1244">
        <f ca="1">IF(M49&gt;=10000,(8.25+(M49-10000)*0.01%),IF(AND(M49&gt;=8000,M49&lt;10000),(7.85+(M49-8000)*0.02%),IF(AND(M49&gt;=5000,M49&lt;8000),(6.65+(M49-5000)*0.04%),IF(AND(M49&gt;=2000,M49&lt;5000),(4.25+(PM49-2000)*0.08%),IF(AND(M49&gt;=1000,M49&lt;2000),(2.75+(M49-1000)*0.15%),IF(AND(M49&gt;=100,M49&lt;1000),(0.5+(M49-100)*0.25%),IF(AND(M49&gt;0,M49&lt;100),M49*0.5%)))))))</f>
        <v>55.8934</v>
      </c>
      <c r="M67" s="293">
        <f ca="1">ROUND(L67*0.9,1)</f>
        <v>50.3</v>
      </c>
      <c r="N67" s="2329"/>
      <c r="Z67" s="1622"/>
      <c r="AI67" s="1560"/>
    </row>
    <row r="68" spans="1:35" ht="14.25" customHeight="1" thickBot="1">
      <c r="A68" s="167" t="s">
        <v>329</v>
      </c>
      <c r="B68" s="168" t="s">
        <v>1389</v>
      </c>
      <c r="C68" s="2354">
        <f ca="1">IF(C67&lt;=0,0,ROUND(C67*D68,0))</f>
        <v>18160</v>
      </c>
      <c r="D68" s="2355">
        <f>'数据-取费表'!B41</f>
        <v>5.6000000000000001E-2</v>
      </c>
      <c r="E68" s="169"/>
      <c r="F68" s="1669"/>
      <c r="G68" s="1669"/>
      <c r="H68" s="150"/>
      <c r="I68" s="120"/>
      <c r="J68" s="3407"/>
      <c r="K68" s="1244" t="s">
        <v>1390</v>
      </c>
      <c r="L68" s="1244">
        <f ca="1">IF(M49&gt;10000,M49*0.5%,IF(AND(M49&gt;5000,M49&lt;=10000),M49*1%,IF(AND(M49&gt;1000,M49&lt;=5000),M49*2%,IF(AND(M49&gt;200,M49&lt;=1000),M49*3%,M49*5%))))</f>
        <v>2432.17</v>
      </c>
      <c r="M68" s="293">
        <f ca="1">ROUND(L68,1)</f>
        <v>2432.1999999999998</v>
      </c>
      <c r="N68" s="2329"/>
      <c r="Z68" s="1622"/>
      <c r="AI68" s="1560"/>
    </row>
    <row r="69" spans="1:35" ht="16.5" customHeight="1">
      <c r="A69" s="1671"/>
      <c r="B69" s="1672"/>
      <c r="C69" s="1673"/>
      <c r="D69" s="1674"/>
      <c r="E69" s="1675"/>
      <c r="F69" s="1465"/>
      <c r="G69" s="1465"/>
      <c r="H69" s="1466"/>
      <c r="I69" s="645"/>
      <c r="J69" s="3407"/>
      <c r="K69" s="1244" t="s">
        <v>1391</v>
      </c>
      <c r="L69" s="1244"/>
      <c r="M69" s="293">
        <f ca="1">ROUND(SUM(M63:M68),0)</f>
        <v>7834</v>
      </c>
      <c r="N69" s="2331">
        <f ca="1">M69/M49</f>
        <v>1.6104959768437239E-2</v>
      </c>
      <c r="Z69" s="1622"/>
      <c r="AI69" s="1560"/>
    </row>
    <row r="70" spans="1:35" s="641" customFormat="1" ht="14.4" thickBot="1">
      <c r="A70" s="3369" t="s">
        <v>1392</v>
      </c>
      <c r="B70" s="3370"/>
      <c r="C70" s="3370"/>
      <c r="D70" s="3370"/>
      <c r="E70" s="3370"/>
      <c r="F70" s="3370"/>
      <c r="G70" s="3370"/>
      <c r="H70" s="337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48" t="s">
        <v>1373</v>
      </c>
      <c r="B71" s="3349"/>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324290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1946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43" t="s">
        <v>1400</v>
      </c>
      <c r="F76" s="3317"/>
      <c r="G76" s="3317"/>
      <c r="H76" s="336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1946</v>
      </c>
      <c r="D78" s="2362">
        <f>'数据-取费表'!B43</f>
        <v>6.000000000000001E-3</v>
      </c>
      <c r="E78" s="3327" t="s">
        <v>1404</v>
      </c>
      <c r="F78" s="3328"/>
      <c r="G78" s="3328"/>
      <c r="H78" s="333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1405</v>
      </c>
      <c r="C79" s="2353">
        <f ca="1">C72-C73</f>
        <v>322344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165.64439876670093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192725</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69" t="s">
        <v>1408</v>
      </c>
      <c r="B83" s="3370"/>
      <c r="C83" s="3370"/>
      <c r="D83" s="3370"/>
      <c r="E83" s="3370"/>
      <c r="F83" s="3370"/>
      <c r="G83" s="3370"/>
      <c r="H83" s="337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48" t="s">
        <v>1373</v>
      </c>
      <c r="B84" s="3349"/>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324290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235231.281666</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24910.281665999999</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1410</v>
      </c>
      <c r="C88" s="2367">
        <v>24173.281665999999</v>
      </c>
      <c r="D88" s="2362"/>
      <c r="E88" s="184" t="s">
        <v>1411</v>
      </c>
      <c r="F88" s="2147"/>
      <c r="G88" s="185" t="s">
        <v>1412</v>
      </c>
      <c r="H88" s="1683" t="s">
        <v>3835</v>
      </c>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737</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409" t="s">
        <v>2127</v>
      </c>
      <c r="H90" s="3410"/>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187167</v>
      </c>
      <c r="D91" s="2362"/>
      <c r="E91" s="3327" t="s">
        <v>1417</v>
      </c>
      <c r="F91" s="3328"/>
      <c r="G91" s="3328"/>
      <c r="H91" s="1684" t="s">
        <v>3836</v>
      </c>
      <c r="I91" s="1685">
        <f>ROUND(187166.943385,0)</f>
        <v>187167</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21208</v>
      </c>
      <c r="D92" s="2368">
        <v>0.1</v>
      </c>
      <c r="E92" s="3327" t="s">
        <v>1420</v>
      </c>
      <c r="F92" s="3328"/>
      <c r="G92" s="3328"/>
      <c r="H92" s="3337"/>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1946</v>
      </c>
      <c r="D93" s="2362">
        <f>'数据-取费表'!B43</f>
        <v>6.000000000000001E-3</v>
      </c>
      <c r="E93" s="3327" t="s">
        <v>1404</v>
      </c>
      <c r="F93" s="3328"/>
      <c r="G93" s="3328"/>
      <c r="H93" s="333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c r="D94" s="2362">
        <v>0.2</v>
      </c>
      <c r="E94" s="3338" t="s">
        <v>1424</v>
      </c>
      <c r="F94" s="3339"/>
      <c r="G94" s="3339"/>
      <c r="H94" s="334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1405</v>
      </c>
      <c r="C95" s="2353">
        <f ca="1">ROUND(C85-C86,0)</f>
        <v>89059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0.3786018567311682</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26718</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1" t="s">
        <v>1426</v>
      </c>
      <c r="B100" s="3312"/>
      <c r="C100" s="3312"/>
      <c r="D100" s="3329"/>
      <c r="E100" s="3312" t="s">
        <v>1427</v>
      </c>
      <c r="F100" s="3312"/>
      <c r="G100" s="3312"/>
      <c r="H100" s="3329"/>
      <c r="I100" s="120"/>
    </row>
    <row r="101" spans="1:35" ht="18.75" customHeight="1">
      <c r="A101" s="3390" t="s">
        <v>1428</v>
      </c>
      <c r="B101" s="3391"/>
      <c r="C101" s="2370" t="str">
        <f>C4</f>
        <v>比较法-办公</v>
      </c>
      <c r="D101" s="2371" t="str">
        <f>D4</f>
        <v>收益法</v>
      </c>
      <c r="E101" s="3404" t="s">
        <v>1429</v>
      </c>
      <c r="F101" s="3361"/>
      <c r="G101" s="1686" t="s">
        <v>1430</v>
      </c>
      <c r="H101" s="2380">
        <f ca="1">H118</f>
        <v>448332</v>
      </c>
      <c r="I101" s="120"/>
    </row>
    <row r="102" spans="1:35" ht="18.75" customHeight="1">
      <c r="A102" s="3363" t="s">
        <v>1431</v>
      </c>
      <c r="B102" s="2369" t="s">
        <v>1430</v>
      </c>
      <c r="C102" s="2370">
        <f ca="1">IF(D32="楼面单价",ROUND(C19,0),C19)</f>
        <v>528184</v>
      </c>
      <c r="D102" s="2371">
        <f ca="1">IF(D32="楼面单价",ROUND(D19,0),D19)</f>
        <v>328553</v>
      </c>
      <c r="E102" s="3404"/>
      <c r="F102" s="3361"/>
      <c r="G102" s="1686" t="s">
        <v>1432</v>
      </c>
      <c r="H102" s="2340">
        <f ca="1">I118</f>
        <v>37741</v>
      </c>
      <c r="I102" s="120"/>
    </row>
    <row r="103" spans="1:35" ht="42.75" customHeight="1">
      <c r="A103" s="3363"/>
      <c r="B103" s="2369" t="s">
        <v>1432</v>
      </c>
      <c r="C103" s="2372">
        <f ca="1">C20</f>
        <v>44463</v>
      </c>
      <c r="D103" s="2373">
        <f ca="1">D20</f>
        <v>27658</v>
      </c>
      <c r="E103" s="3398" t="s">
        <v>1433</v>
      </c>
      <c r="F103" s="3399"/>
      <c r="G103" s="1687" t="s">
        <v>1434</v>
      </c>
      <c r="H103" s="2380">
        <f>IF(D36="正常操作",H104+H105+H106,H105+H106)</f>
        <v>0</v>
      </c>
      <c r="I103" s="120"/>
    </row>
    <row r="104" spans="1:35" ht="18.75" customHeight="1">
      <c r="A104" s="3363" t="s">
        <v>1435</v>
      </c>
      <c r="B104" s="2374" t="s">
        <v>1430</v>
      </c>
      <c r="C104" s="2375">
        <f ca="1">H118</f>
        <v>448332</v>
      </c>
      <c r="D104" s="2376"/>
      <c r="E104" s="1554" t="s">
        <v>1436</v>
      </c>
      <c r="F104" s="1547"/>
      <c r="G104" s="1687" t="s">
        <v>1434</v>
      </c>
      <c r="H104" s="2381">
        <f>IF(D36="同一抵押权人同一抵押物续贷",C36&amp;"（续贷，未扣减，详见特别提示）",C36)</f>
        <v>0</v>
      </c>
      <c r="I104" s="120"/>
    </row>
    <row r="105" spans="1:35" ht="18.75" customHeight="1" thickBot="1">
      <c r="A105" s="3364"/>
      <c r="B105" s="2377" t="s">
        <v>1432</v>
      </c>
      <c r="C105" s="2378">
        <f ca="1">I118</f>
        <v>37741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0" t="str">
        <f>IF(项目基本情况!E8="已注销","——","3.房地产抵押价值")</f>
        <v>3.房地产抵押价值</v>
      </c>
      <c r="F107" s="3361"/>
      <c r="G107" s="1686" t="s">
        <v>1430</v>
      </c>
      <c r="H107" s="2380">
        <f ca="1">IF(E107="——","——",H101-H103)</f>
        <v>448332</v>
      </c>
      <c r="I107" s="120"/>
    </row>
    <row r="108" spans="1:35" ht="18.75" customHeight="1">
      <c r="A108" s="120"/>
      <c r="B108" s="120"/>
      <c r="C108" s="120"/>
      <c r="D108" s="120"/>
      <c r="E108" s="3360"/>
      <c r="F108" s="3361"/>
      <c r="G108" s="1686" t="s">
        <v>1432</v>
      </c>
      <c r="H108" s="2340">
        <f ca="1">IF(H107=H101,H102,ROUND(H107*10000/'数据-汇总表'!E3,0))</f>
        <v>37741</v>
      </c>
      <c r="I108" s="120"/>
    </row>
    <row r="109" spans="1:35" ht="18.75" customHeight="1">
      <c r="A109" s="120"/>
      <c r="B109" s="120"/>
      <c r="C109" s="120"/>
      <c r="D109" s="120"/>
      <c r="E109" s="3360" t="str">
        <f>IF(项目基本情况!E8="已注销及未注销","4.抵押担保权已注销时的房地产抵押价值",IF(项目基本情况!E8="已注销","3.抵押担保权已注销时的房地产抵押价值","——"))</f>
        <v>——</v>
      </c>
      <c r="F109" s="3361"/>
      <c r="G109" s="1686" t="s">
        <v>1430</v>
      </c>
      <c r="H109" s="2383" t="str">
        <f>IF(E109="——","——",H101-H105-H106)</f>
        <v>——</v>
      </c>
      <c r="I109" s="120"/>
    </row>
    <row r="110" spans="1:35" ht="18.75" customHeight="1">
      <c r="A110" s="120"/>
      <c r="B110" s="120"/>
      <c r="C110" s="120"/>
      <c r="D110" s="120"/>
      <c r="E110" s="3360"/>
      <c r="F110" s="3361"/>
      <c r="G110" s="1686" t="s">
        <v>1432</v>
      </c>
      <c r="H110" s="2340" t="str">
        <f>IF(H109="——","——",ROUND(H109*10000/'数据-汇总表'!E3,0))</f>
        <v>——</v>
      </c>
      <c r="I110" s="120"/>
    </row>
    <row r="111" spans="1:35" ht="18.75" customHeight="1">
      <c r="A111" s="120"/>
      <c r="B111" s="120"/>
      <c r="C111" s="120"/>
      <c r="D111" s="120"/>
      <c r="E111" s="3392" t="str">
        <f>IF(项目基本情况!E9="抵押净值",IF(OR(项目基本情况!E8="已注销",项目基本情况!E8="房地产抵押价值"),"4.抵押净值","5.抵押净值"),"——")</f>
        <v>4.抵押净值</v>
      </c>
      <c r="F111" s="3362"/>
      <c r="G111" s="1686" t="s">
        <v>1430</v>
      </c>
      <c r="H111" s="2380">
        <f ca="1">IF(E111="——","——",N59)</f>
        <v>441386</v>
      </c>
      <c r="I111" s="120"/>
    </row>
    <row r="112" spans="1:35" ht="18.75" customHeight="1" thickBot="1">
      <c r="A112" s="120"/>
      <c r="B112" s="120"/>
      <c r="C112" s="120"/>
      <c r="D112" s="120"/>
      <c r="E112" s="3393"/>
      <c r="F112" s="3394"/>
      <c r="G112" s="1689" t="s">
        <v>1432</v>
      </c>
      <c r="H112" s="2384">
        <f ca="1">IF(E111="——","——",N61)</f>
        <v>24943</v>
      </c>
      <c r="I112" s="120"/>
    </row>
    <row r="113" spans="1:27" ht="18.75" customHeight="1">
      <c r="A113" s="120"/>
      <c r="B113" s="120"/>
      <c r="C113" s="120"/>
      <c r="D113" s="120"/>
      <c r="E113" s="3365" t="s">
        <v>1438</v>
      </c>
      <c r="F113" s="3365"/>
      <c r="G113" s="3365"/>
      <c r="H113" s="3365"/>
      <c r="I113" s="120"/>
    </row>
    <row r="114" spans="1:27" ht="3.75" customHeight="1">
      <c r="A114" s="645"/>
      <c r="B114" s="645"/>
      <c r="C114" s="645"/>
      <c r="D114" s="645"/>
      <c r="E114" s="1670"/>
      <c r="F114" s="1670"/>
      <c r="G114" s="1670"/>
      <c r="H114" s="1670"/>
      <c r="I114" s="645"/>
    </row>
    <row r="115" spans="1:27" ht="18.75" customHeight="1">
      <c r="A115" s="3375" t="s">
        <v>1440</v>
      </c>
      <c r="B115" s="3376"/>
      <c r="C115" s="3376"/>
      <c r="D115" s="3376"/>
      <c r="E115" s="3376"/>
      <c r="F115" s="3376"/>
      <c r="G115" s="3376"/>
      <c r="H115" s="3376"/>
      <c r="I115" s="3377"/>
    </row>
    <row r="116" spans="1:27" ht="27" customHeight="1">
      <c r="A116" s="3331" t="s">
        <v>1441</v>
      </c>
      <c r="B116" s="3366" t="s">
        <v>1442</v>
      </c>
      <c r="C116" s="3366" t="s">
        <v>1443</v>
      </c>
      <c r="D116" s="3379" t="s">
        <v>1444</v>
      </c>
      <c r="E116" s="3380"/>
      <c r="F116" s="3374" t="s">
        <v>1445</v>
      </c>
      <c r="G116" s="3374"/>
      <c r="H116" s="3331" t="s">
        <v>1446</v>
      </c>
      <c r="I116" s="3331"/>
    </row>
    <row r="117" spans="1:27" ht="18.75" customHeight="1">
      <c r="A117" s="3331"/>
      <c r="B117" s="3367"/>
      <c r="C117" s="3367"/>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118791.89</v>
      </c>
      <c r="C118" s="2149">
        <f>M19</f>
        <v>33138.379999999997</v>
      </c>
      <c r="D118" s="2149">
        <f ca="1">ROUND(IF(D32="总价",C34,E118*B118/10000),0)</f>
        <v>274828</v>
      </c>
      <c r="E118" s="2149">
        <f ca="1">ROUND(IF(C33="自定义",IF(D32="楼面单价",C34,D118*10000/B118),I118-G118),0)</f>
        <v>23135</v>
      </c>
      <c r="F118" s="2149">
        <f ca="1">ROUND(IF(D32="总价",C35,G118*B118/10000),0)</f>
        <v>173504</v>
      </c>
      <c r="G118" s="2149">
        <f ca="1">ROUND(IF(D32="楼面单价",C35,F118*10000/B118),0)</f>
        <v>14606</v>
      </c>
      <c r="H118" s="2149">
        <f ca="1">ROUND(IF(D32="总价",C32,I118*B118/10000),0)</f>
        <v>448332</v>
      </c>
      <c r="I118" s="2149">
        <f ca="1">ROUND(IF(D32="楼面单价",C32,H118*10000/B118),0)</f>
        <v>37741</v>
      </c>
    </row>
    <row r="119" spans="1:27" ht="18.75" customHeight="1">
      <c r="A119" s="3331" t="s">
        <v>1450</v>
      </c>
      <c r="B119" s="3331"/>
      <c r="C119" s="3331"/>
      <c r="D119" s="3371" t="str">
        <f ca="1">NUMBERSTRING(INT(D118*10000),2)&amp;"元整"</f>
        <v>贰拾柒亿肆仟捌佰贰拾捌万元整</v>
      </c>
      <c r="E119" s="3373"/>
      <c r="F119" s="3371" t="str">
        <f ca="1">NUMBERSTRING(INT(F118*10000),2)&amp;"元整"</f>
        <v>壹拾柒亿叁仟伍佰零肆万元整</v>
      </c>
      <c r="G119" s="3373"/>
      <c r="H119" s="3371" t="str">
        <f ca="1">NUMBERSTRING(INT(H118*10000),2)&amp;"元整"</f>
        <v>肆拾肆亿捌仟叁佰叁拾贰万元整</v>
      </c>
      <c r="I119" s="3373"/>
    </row>
    <row r="120" spans="1:27" ht="18.75" customHeight="1">
      <c r="A120" s="3395" t="str">
        <f>IF(项目基本情况!B9="房地产市场价值","",MID(E103,3,LEN(E103)-2))</f>
        <v>估价师知悉的法定优先受偿款</v>
      </c>
      <c r="B120" s="3396"/>
      <c r="C120" s="3397"/>
      <c r="D120" s="3395">
        <f>H103</f>
        <v>0</v>
      </c>
      <c r="E120" s="3396"/>
      <c r="F120" s="3396"/>
      <c r="G120" s="3396"/>
      <c r="H120" s="3396"/>
      <c r="I120" s="339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1" t="s">
        <v>1450</v>
      </c>
      <c r="B121" s="3372"/>
      <c r="C121" s="3373"/>
      <c r="D121" s="3371" t="str">
        <f>IF(D120=0,"零元整",NUMBERSTRING(INT(D120*10000),2)&amp;"元整")</f>
        <v>零元整</v>
      </c>
      <c r="E121" s="3372"/>
      <c r="F121" s="3372"/>
      <c r="G121" s="3372"/>
      <c r="H121" s="3372"/>
      <c r="I121" s="3373"/>
      <c r="AA121" s="683"/>
    </row>
    <row r="122" spans="1:27" ht="18.75" customHeight="1">
      <c r="A122" s="3362" t="str">
        <f>IF(项目基本情况!B9="房地产市场价值","",MID(E107,3,LEN(E107)-2))</f>
        <v>房地产抵押价值</v>
      </c>
      <c r="B122" s="3362"/>
      <c r="C122" s="3362"/>
      <c r="D122" s="3395">
        <f ca="1">H107</f>
        <v>448332</v>
      </c>
      <c r="E122" s="3396"/>
      <c r="F122" s="3396"/>
      <c r="G122" s="3396"/>
      <c r="H122" s="3396"/>
      <c r="I122" s="3397"/>
      <c r="AA122" s="683"/>
    </row>
    <row r="123" spans="1:27" ht="18.75" customHeight="1">
      <c r="A123" s="3331" t="s">
        <v>1450</v>
      </c>
      <c r="B123" s="3331"/>
      <c r="C123" s="3331"/>
      <c r="D123" s="3371" t="str">
        <f ca="1">NUMBERSTRING(INT(D122*10000),2)&amp;"元整"</f>
        <v>肆拾肆亿捌仟叁佰叁拾贰万元整</v>
      </c>
      <c r="E123" s="3372"/>
      <c r="F123" s="3372"/>
      <c r="G123" s="3372"/>
      <c r="H123" s="3372"/>
      <c r="I123" s="3373"/>
      <c r="AA123" s="683"/>
    </row>
    <row r="124" spans="1:27" ht="18.75" customHeight="1">
      <c r="A124" s="3362" t="str">
        <f>IF(项目基本情况!B9="房地产市场价值","",MID(E109,3,LEN(E109)-2))</f>
        <v/>
      </c>
      <c r="B124" s="3362"/>
      <c r="C124" s="3362"/>
      <c r="D124" s="3395" t="str">
        <f>H109</f>
        <v>——</v>
      </c>
      <c r="E124" s="3396"/>
      <c r="F124" s="3396"/>
      <c r="G124" s="3396"/>
      <c r="H124" s="3396"/>
      <c r="I124" s="3397"/>
      <c r="AA124" s="683"/>
    </row>
    <row r="125" spans="1:27" ht="18.75" customHeight="1">
      <c r="A125" s="3331" t="s">
        <v>1450</v>
      </c>
      <c r="B125" s="3331"/>
      <c r="C125" s="3331"/>
      <c r="D125" s="3371" t="e">
        <f>NUMBERSTRING(INT(D124*10000),2)&amp;"元整"</f>
        <v>#VALUE!</v>
      </c>
      <c r="E125" s="3372"/>
      <c r="F125" s="3372"/>
      <c r="G125" s="3372"/>
      <c r="H125" s="3372"/>
      <c r="I125" s="3373"/>
      <c r="AA125" s="683"/>
    </row>
    <row r="126" spans="1:27" ht="18.75" customHeight="1">
      <c r="A126" s="3362" t="str">
        <f>IF(项目基本情况!B9="房地产市场价值","",MID(E111,3,LEN(E111)-2))</f>
        <v>抵押净值</v>
      </c>
      <c r="B126" s="3362"/>
      <c r="C126" s="3362"/>
      <c r="D126" s="3395">
        <f ca="1">H111</f>
        <v>441386</v>
      </c>
      <c r="E126" s="3396"/>
      <c r="F126" s="3396"/>
      <c r="G126" s="3396"/>
      <c r="H126" s="3396"/>
      <c r="I126" s="3397"/>
      <c r="AA126" s="683"/>
    </row>
    <row r="127" spans="1:27" ht="18.75" customHeight="1">
      <c r="A127" s="3331" t="s">
        <v>1450</v>
      </c>
      <c r="B127" s="3331"/>
      <c r="C127" s="3331"/>
      <c r="D127" s="3371" t="str">
        <f ca="1">NUMBERSTRING(INT(D126*10000),2)&amp;"元整"</f>
        <v>肆拾肆亿壹仟叁佰捌拾陆万元整</v>
      </c>
      <c r="E127" s="3372"/>
      <c r="F127" s="3372"/>
      <c r="G127" s="3372"/>
      <c r="H127" s="3372"/>
      <c r="I127" s="3373"/>
      <c r="AA127" s="683"/>
    </row>
    <row r="128" spans="1:27" ht="21.75" customHeight="1">
      <c r="A128" s="3378" t="s">
        <v>1451</v>
      </c>
      <c r="B128" s="3378"/>
      <c r="C128" s="3378"/>
      <c r="D128" s="3378"/>
      <c r="E128" s="3378"/>
      <c r="F128" s="3378"/>
      <c r="G128" s="3378"/>
      <c r="H128" s="3378"/>
      <c r="I128" s="3378"/>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29" t="str">
        <f>项目基本情况!B1</f>
        <v>北京市房地产抵押价值预评估</v>
      </c>
      <c r="C37" s="3229"/>
      <c r="D37" s="3229"/>
      <c r="E37" s="3229"/>
      <c r="F37" s="3229"/>
      <c r="G37" s="3229"/>
      <c r="H37" s="3229"/>
      <c r="I37" s="322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W132"/>
  <sheetViews>
    <sheetView view="pageBreakPreview" topLeftCell="A16" zoomScale="85" zoomScaleNormal="70" zoomScaleSheetLayoutView="85" workbookViewId="0">
      <selection activeCell="L44" sqref="L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6.7773437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1808</v>
      </c>
      <c r="C1" s="1140" t="s">
        <v>1660</v>
      </c>
      <c r="D1" s="1141" t="s">
        <v>3515</v>
      </c>
      <c r="E1" s="3131" t="s">
        <v>3761</v>
      </c>
      <c r="F1" s="1734" t="s">
        <v>3762</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528184</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44463</v>
      </c>
      <c r="C3" s="343" t="s">
        <v>1766</v>
      </c>
      <c r="D3" s="342">
        <f>IF(D1="",'数据-汇总表'!E3,SUMIF('数据-汇总表'!$C19:$C33,D1,'数据-汇总表'!$E19:$E33))</f>
        <v>118791.89</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433" t="s">
        <v>1773</v>
      </c>
      <c r="Q4" s="3434"/>
      <c r="R4" s="3439" t="s">
        <v>1769</v>
      </c>
      <c r="S4" s="3440"/>
      <c r="T4" s="3439" t="s">
        <v>1770</v>
      </c>
      <c r="U4" s="3440"/>
      <c r="V4" s="3445" t="s">
        <v>1771</v>
      </c>
      <c r="W4" s="3445"/>
      <c r="X4" s="1808"/>
      <c r="Y4" s="3439" t="s">
        <v>1773</v>
      </c>
      <c r="Z4" s="3440"/>
      <c r="AA4" s="3457" t="s">
        <v>1769</v>
      </c>
      <c r="AB4" s="3457" t="s">
        <v>1770</v>
      </c>
      <c r="AC4" s="3426" t="s">
        <v>1771</v>
      </c>
    </row>
    <row r="5" spans="1:29">
      <c r="A5" s="347"/>
      <c r="B5" s="348"/>
      <c r="C5" s="3448" t="s">
        <v>1671</v>
      </c>
      <c r="D5" s="3449"/>
      <c r="E5" s="3460" t="str">
        <f>Sheet1!B29</f>
        <v>首特钢大厦2号楼</v>
      </c>
      <c r="F5" s="3461"/>
      <c r="G5" s="3448" t="str">
        <f>Sheet1!B30</f>
        <v>中关村西三旗(金隅)科技园T7研发设计楼地上1-5层</v>
      </c>
      <c r="H5" s="3449"/>
      <c r="I5" s="3454" t="s">
        <v>3793</v>
      </c>
      <c r="J5" s="3449"/>
      <c r="K5" s="536"/>
      <c r="L5" s="2486"/>
      <c r="M5" s="2487"/>
      <c r="N5" s="2487"/>
      <c r="O5" s="2487"/>
      <c r="P5" s="3435"/>
      <c r="Q5" s="3436"/>
      <c r="R5" s="3441"/>
      <c r="S5" s="3442"/>
      <c r="T5" s="3441"/>
      <c r="U5" s="3442"/>
      <c r="V5" s="3413"/>
      <c r="W5" s="3413"/>
      <c r="X5" s="1264"/>
      <c r="Y5" s="3441"/>
      <c r="Z5" s="3442"/>
      <c r="AA5" s="3458"/>
      <c r="AB5" s="3458"/>
      <c r="AC5" s="3427"/>
    </row>
    <row r="6" spans="1:29" ht="15" thickBot="1">
      <c r="A6" s="349"/>
      <c r="B6" s="350"/>
      <c r="C6" s="3446" t="s">
        <v>1675</v>
      </c>
      <c r="D6" s="3447"/>
      <c r="E6" s="3455" t="s">
        <v>1675</v>
      </c>
      <c r="F6" s="3456"/>
      <c r="G6" s="3446" t="s">
        <v>1675</v>
      </c>
      <c r="H6" s="3447"/>
      <c r="I6" s="3446" t="s">
        <v>1675</v>
      </c>
      <c r="J6" s="3447"/>
      <c r="K6" s="536" t="s">
        <v>1676</v>
      </c>
      <c r="L6" s="2486"/>
      <c r="M6" s="2487"/>
      <c r="N6" s="2487"/>
      <c r="O6" s="2487"/>
      <c r="P6" s="3437"/>
      <c r="Q6" s="3438"/>
      <c r="R6" s="3441"/>
      <c r="S6" s="3442"/>
      <c r="T6" s="3443"/>
      <c r="U6" s="3444"/>
      <c r="V6" s="3413"/>
      <c r="W6" s="3413"/>
      <c r="X6" s="1264"/>
      <c r="Y6" s="3443"/>
      <c r="Z6" s="3444"/>
      <c r="AA6" s="3459"/>
      <c r="AB6" s="3459"/>
      <c r="AC6" s="3428"/>
    </row>
    <row r="7" spans="1:29" s="102" customFormat="1" ht="15" thickBot="1">
      <c r="A7" s="351" t="s">
        <v>1677</v>
      </c>
      <c r="B7" s="352"/>
      <c r="C7" s="353">
        <f>'数据-取费表'!B2</f>
        <v>45749</v>
      </c>
      <c r="D7" s="354">
        <v>100</v>
      </c>
      <c r="E7" s="355">
        <v>45139</v>
      </c>
      <c r="F7" s="356">
        <f>SUMIF(59:59,YEAR(E7)&amp;"-"&amp;MONTH(E7),60:60)</f>
        <v>100</v>
      </c>
      <c r="G7" s="355">
        <v>45041</v>
      </c>
      <c r="H7" s="354">
        <f>SUMIF(59:59,YEAR(G7)&amp;"-"&amp;MONTH(G7),60:60)</f>
        <v>100</v>
      </c>
      <c r="I7" s="355">
        <v>45468</v>
      </c>
      <c r="J7" s="354">
        <f>SUMIF(59:59,YEAR(I7)&amp;"-"&amp;MONTH(I7),60:60)</f>
        <v>100</v>
      </c>
      <c r="K7" s="38"/>
      <c r="L7" s="2488"/>
      <c r="M7" s="2439"/>
      <c r="N7" s="2439"/>
      <c r="O7" s="2439"/>
      <c r="P7" s="3450" t="s">
        <v>1678</v>
      </c>
      <c r="Q7" s="3453"/>
      <c r="R7" s="663" t="s">
        <v>14</v>
      </c>
      <c r="S7" s="664">
        <f t="shared" ref="S7:S15" si="0">F7</f>
        <v>100</v>
      </c>
      <c r="T7" s="663" t="s">
        <v>14</v>
      </c>
      <c r="U7" s="664">
        <f t="shared" ref="U7:U15" si="1">H7</f>
        <v>100</v>
      </c>
      <c r="V7" s="663" t="s">
        <v>14</v>
      </c>
      <c r="W7" s="664">
        <f t="shared" ref="W7:W15" si="2">J7</f>
        <v>100</v>
      </c>
      <c r="X7" s="665"/>
      <c r="Y7" s="3452" t="s">
        <v>1678</v>
      </c>
      <c r="Z7" s="3451"/>
      <c r="AA7" s="50">
        <f>D7/F7</f>
        <v>1</v>
      </c>
      <c r="AB7" s="50">
        <f>D7/H7</f>
        <v>1</v>
      </c>
      <c r="AC7" s="801">
        <f>D7/J7</f>
        <v>1</v>
      </c>
    </row>
    <row r="8" spans="1:29" s="102" customFormat="1" ht="15" thickBot="1">
      <c r="A8" s="351" t="s">
        <v>1679</v>
      </c>
      <c r="B8" s="352"/>
      <c r="C8" s="357" t="s">
        <v>3763</v>
      </c>
      <c r="D8" s="354">
        <v>100</v>
      </c>
      <c r="E8" s="357" t="s">
        <v>3763</v>
      </c>
      <c r="F8" s="356">
        <f>SUMIF(62:62,E8,63:63)-SUMIF(62:62,C8,63:63)+100</f>
        <v>100</v>
      </c>
      <c r="G8" s="357" t="s">
        <v>3763</v>
      </c>
      <c r="H8" s="354">
        <f>SUMIF(62:62,G8,63:63)-SUMIF(62:62,C8,63:63)+100</f>
        <v>100</v>
      </c>
      <c r="I8" s="357" t="s">
        <v>3763</v>
      </c>
      <c r="J8" s="354">
        <f>SUMIF(62:62,I8,63:63)-SUMIF(62:62,C8,63:63)+100</f>
        <v>100</v>
      </c>
      <c r="K8" s="38"/>
      <c r="L8" s="2488"/>
      <c r="M8" s="2439"/>
      <c r="N8" s="2439"/>
      <c r="O8" s="2439"/>
      <c r="P8" s="3450" t="s">
        <v>1681</v>
      </c>
      <c r="Q8" s="3451"/>
      <c r="R8" s="663" t="s">
        <v>14</v>
      </c>
      <c r="S8" s="664">
        <f t="shared" si="0"/>
        <v>100</v>
      </c>
      <c r="T8" s="663" t="s">
        <v>14</v>
      </c>
      <c r="U8" s="664">
        <f t="shared" si="1"/>
        <v>100</v>
      </c>
      <c r="V8" s="663" t="s">
        <v>14</v>
      </c>
      <c r="W8" s="664">
        <f t="shared" si="2"/>
        <v>100</v>
      </c>
      <c r="X8" s="665"/>
      <c r="Y8" s="3452" t="s">
        <v>1681</v>
      </c>
      <c r="Z8" s="3451"/>
      <c r="AA8" s="50">
        <f t="shared" ref="AA8:AA47" si="3">D8/F8</f>
        <v>1</v>
      </c>
      <c r="AB8" s="50">
        <f t="shared" ref="AB8:AB47" si="4">D8/H8</f>
        <v>1</v>
      </c>
      <c r="AC8" s="801">
        <f t="shared" ref="AC8:AC47" si="5">D8/J8</f>
        <v>1</v>
      </c>
    </row>
    <row r="9" spans="1:29" s="102" customFormat="1" ht="14.4">
      <c r="A9" s="358" t="s">
        <v>1682</v>
      </c>
      <c r="B9" s="60" t="s">
        <v>1683</v>
      </c>
      <c r="C9" s="3215" t="s">
        <v>3668</v>
      </c>
      <c r="D9" s="59">
        <v>100</v>
      </c>
      <c r="E9" s="361" t="s">
        <v>3764</v>
      </c>
      <c r="F9" s="59">
        <f>SUMIF(64:64,E9,65:65)-SUMIF(64:64,C9,65:65)+100</f>
        <v>100</v>
      </c>
      <c r="G9" s="360" t="s">
        <v>3764</v>
      </c>
      <c r="H9" s="59">
        <f>SUMIF(64:64,G9,65:65)-SUMIF(64:64,C9,65:65)+100</f>
        <v>100</v>
      </c>
      <c r="I9" s="360" t="s">
        <v>3764</v>
      </c>
      <c r="J9" s="59">
        <f>SUMIF(64:64,I9,65:65)-SUMIF(64:64,C9,65:65)+100</f>
        <v>100</v>
      </c>
      <c r="K9" s="38"/>
      <c r="L9" s="2488"/>
      <c r="M9" s="2439"/>
      <c r="N9" s="2439"/>
      <c r="O9" s="2439"/>
      <c r="P9" s="3411"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801">
        <f t="shared" si="5"/>
        <v>1</v>
      </c>
    </row>
    <row r="10" spans="1:29" s="365" customFormat="1" ht="28.8">
      <c r="A10" s="362"/>
      <c r="B10" s="363" t="s">
        <v>1686</v>
      </c>
      <c r="C10" s="3132" t="s">
        <v>3774</v>
      </c>
      <c r="D10" s="118">
        <v>100</v>
      </c>
      <c r="E10" s="3132" t="s">
        <v>3774</v>
      </c>
      <c r="F10" s="118">
        <f>SUMIF(66:66,E10,67:67)-SUMIF(66:66,C10,67:67)+100</f>
        <v>100</v>
      </c>
      <c r="G10" s="3133" t="s">
        <v>3765</v>
      </c>
      <c r="H10" s="118">
        <f>SUMIF(66:66,G10,67:67)-SUMIF(66:66,C10,67:67)+100</f>
        <v>102</v>
      </c>
      <c r="I10" s="3133" t="s">
        <v>3765</v>
      </c>
      <c r="J10" s="118">
        <f>SUMIF(66:66,I10,67:67)-SUMIF(66:66,C10,67:67)+100</f>
        <v>102</v>
      </c>
      <c r="K10" s="38"/>
      <c r="L10" s="2489"/>
      <c r="M10" s="2490"/>
      <c r="N10" s="2490"/>
      <c r="O10" s="2490"/>
      <c r="P10" s="3411"/>
      <c r="Q10" s="529" t="str">
        <f t="shared" si="6"/>
        <v>土地使用年限（年）</v>
      </c>
      <c r="R10" s="663" t="s">
        <v>14</v>
      </c>
      <c r="S10" s="664">
        <f t="shared" si="0"/>
        <v>100</v>
      </c>
      <c r="T10" s="663" t="s">
        <v>14</v>
      </c>
      <c r="U10" s="664">
        <f t="shared" si="1"/>
        <v>102</v>
      </c>
      <c r="V10" s="663" t="s">
        <v>14</v>
      </c>
      <c r="W10" s="664">
        <f t="shared" si="2"/>
        <v>102</v>
      </c>
      <c r="X10" s="665"/>
      <c r="Y10" s="3318"/>
      <c r="Z10" s="50" t="str">
        <f t="shared" si="7"/>
        <v>土地使用年限（年）</v>
      </c>
      <c r="AA10" s="50">
        <f t="shared" si="3"/>
        <v>1</v>
      </c>
      <c r="AB10" s="50">
        <f t="shared" si="4"/>
        <v>0.98039215686274506</v>
      </c>
      <c r="AC10" s="801">
        <f t="shared" si="5"/>
        <v>0.98039215686274506</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11"/>
      <c r="Q11" s="529" t="str">
        <f t="shared" si="6"/>
        <v>容积率</v>
      </c>
      <c r="R11" s="663" t="s">
        <v>14</v>
      </c>
      <c r="S11" s="664">
        <f t="shared" si="0"/>
        <v>100</v>
      </c>
      <c r="T11" s="663" t="s">
        <v>14</v>
      </c>
      <c r="U11" s="664">
        <f t="shared" si="1"/>
        <v>100</v>
      </c>
      <c r="V11" s="663" t="s">
        <v>14</v>
      </c>
      <c r="W11" s="664">
        <f t="shared" si="2"/>
        <v>100</v>
      </c>
      <c r="X11" s="665"/>
      <c r="Y11" s="3318"/>
      <c r="Z11" s="50" t="str">
        <f t="shared" si="7"/>
        <v>容积率</v>
      </c>
      <c r="AA11" s="50">
        <f t="shared" si="3"/>
        <v>1</v>
      </c>
      <c r="AB11" s="50">
        <f t="shared" si="4"/>
        <v>1</v>
      </c>
      <c r="AC11" s="801">
        <f t="shared" si="5"/>
        <v>1</v>
      </c>
    </row>
    <row r="12" spans="1:29" s="102" customFormat="1" ht="15">
      <c r="A12" s="369"/>
      <c r="B12" s="446">
        <v>111</v>
      </c>
      <c r="C12" s="370">
        <v>2013</v>
      </c>
      <c r="D12" s="371">
        <v>100</v>
      </c>
      <c r="E12" s="370">
        <v>2015</v>
      </c>
      <c r="F12" s="118">
        <f>SUMIF(71:71,E12,72:72)-SUMIF(71:71,C12,72:72)+100</f>
        <v>100</v>
      </c>
      <c r="G12" s="1809">
        <v>2021</v>
      </c>
      <c r="H12" s="118">
        <f>SUMIF(71:71,G12,72:72)-SUMIF(71:71,C12,72:72)+100</f>
        <v>100</v>
      </c>
      <c r="I12" s="370">
        <v>2023</v>
      </c>
      <c r="J12" s="118">
        <f>SUMIF(71:71,I12,72:72)-SUMIF(71:71,C12,72:72)+100</f>
        <v>100</v>
      </c>
      <c r="K12" s="538"/>
      <c r="L12" s="2488"/>
      <c r="M12" s="2439"/>
      <c r="N12" s="2439"/>
      <c r="O12" s="2439"/>
      <c r="P12" s="3411"/>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11"/>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11"/>
      <c r="Q14" s="529">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801">
        <f t="shared" si="5"/>
        <v>1</v>
      </c>
    </row>
    <row r="15" spans="1:29" ht="69">
      <c r="A15" s="378" t="s">
        <v>1688</v>
      </c>
      <c r="B15" s="553" t="s">
        <v>1809</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417" t="s">
        <v>1689</v>
      </c>
      <c r="Q15" s="1262" t="str">
        <f t="shared" si="6"/>
        <v>办公集聚程度</v>
      </c>
      <c r="R15" s="666" t="s">
        <v>14</v>
      </c>
      <c r="S15" s="667">
        <f t="shared" si="0"/>
        <v>100</v>
      </c>
      <c r="T15" s="666" t="s">
        <v>14</v>
      </c>
      <c r="U15" s="667">
        <f t="shared" si="1"/>
        <v>100</v>
      </c>
      <c r="V15" s="666" t="s">
        <v>14</v>
      </c>
      <c r="W15" s="667">
        <f t="shared" si="2"/>
        <v>100</v>
      </c>
      <c r="X15" s="1264"/>
      <c r="Y15" s="3419" t="s">
        <v>1689</v>
      </c>
      <c r="Z15" s="1263" t="str">
        <f t="shared" si="7"/>
        <v>办公集聚程度</v>
      </c>
      <c r="AA15" s="1263">
        <f t="shared" si="3"/>
        <v>1</v>
      </c>
      <c r="AB15" s="1263">
        <f t="shared" si="4"/>
        <v>1</v>
      </c>
      <c r="AC15" s="1811">
        <f t="shared" si="5"/>
        <v>1</v>
      </c>
    </row>
    <row r="16" spans="1:29" ht="15">
      <c r="A16" s="366"/>
      <c r="B16" s="554"/>
      <c r="C16" s="1757" t="s">
        <v>3766</v>
      </c>
      <c r="D16" s="386"/>
      <c r="E16" s="385" t="s">
        <v>3766</v>
      </c>
      <c r="F16" s="386"/>
      <c r="G16" s="1757" t="s">
        <v>3766</v>
      </c>
      <c r="H16" s="388"/>
      <c r="I16" s="1757" t="s">
        <v>3766</v>
      </c>
      <c r="J16" s="386"/>
      <c r="K16" s="540"/>
      <c r="L16" s="2492"/>
      <c r="M16" s="2487"/>
      <c r="N16" s="2487"/>
      <c r="O16" s="2487"/>
      <c r="P16" s="3418"/>
      <c r="Q16" s="1262"/>
      <c r="R16" s="666"/>
      <c r="S16" s="667"/>
      <c r="T16" s="666"/>
      <c r="U16" s="667"/>
      <c r="V16" s="666"/>
      <c r="W16" s="667"/>
      <c r="X16" s="1264"/>
      <c r="Y16" s="3420"/>
      <c r="Z16" s="1263"/>
      <c r="AA16" s="1263">
        <v>1</v>
      </c>
      <c r="AB16" s="1263">
        <v>1</v>
      </c>
      <c r="AC16" s="1811">
        <v>1</v>
      </c>
    </row>
    <row r="17" spans="1:29" ht="82.8">
      <c r="A17" s="366"/>
      <c r="B17" s="555" t="s">
        <v>1257</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92"/>
      <c r="M17" s="2487"/>
      <c r="N17" s="2487"/>
      <c r="O17" s="2487"/>
      <c r="P17" s="3418"/>
      <c r="Q17" s="1262" t="str">
        <f>B17</f>
        <v>交通便捷度</v>
      </c>
      <c r="R17" s="666" t="s">
        <v>14</v>
      </c>
      <c r="S17" s="667">
        <f>F17</f>
        <v>100</v>
      </c>
      <c r="T17" s="666" t="s">
        <v>14</v>
      </c>
      <c r="U17" s="667">
        <f>H17</f>
        <v>100</v>
      </c>
      <c r="V17" s="666" t="s">
        <v>14</v>
      </c>
      <c r="W17" s="667">
        <f>J17</f>
        <v>100</v>
      </c>
      <c r="X17" s="1264"/>
      <c r="Y17" s="3420"/>
      <c r="Z17" s="1263" t="str">
        <f>Q17</f>
        <v>交通便捷度</v>
      </c>
      <c r="AA17" s="1263">
        <f t="shared" si="3"/>
        <v>1</v>
      </c>
      <c r="AB17" s="1263">
        <f t="shared" si="4"/>
        <v>1</v>
      </c>
      <c r="AC17" s="1811">
        <f t="shared" si="5"/>
        <v>1</v>
      </c>
    </row>
    <row r="18" spans="1:29" ht="15">
      <c r="A18" s="366"/>
      <c r="B18" s="400"/>
      <c r="C18" s="1757" t="s">
        <v>3766</v>
      </c>
      <c r="D18" s="388"/>
      <c r="E18" s="1755" t="s">
        <v>3766</v>
      </c>
      <c r="F18" s="388"/>
      <c r="G18" s="1756" t="s">
        <v>3766</v>
      </c>
      <c r="H18" s="386"/>
      <c r="I18" s="1756" t="s">
        <v>3766</v>
      </c>
      <c r="J18" s="386"/>
      <c r="K18" s="540"/>
      <c r="L18" s="2492"/>
      <c r="M18" s="2487"/>
      <c r="N18" s="2487"/>
      <c r="O18" s="2487"/>
      <c r="P18" s="3418"/>
      <c r="Q18" s="1262"/>
      <c r="R18" s="666"/>
      <c r="S18" s="667"/>
      <c r="T18" s="666"/>
      <c r="U18" s="667"/>
      <c r="V18" s="666"/>
      <c r="W18" s="667"/>
      <c r="X18" s="1264"/>
      <c r="Y18" s="3420"/>
      <c r="Z18" s="1263"/>
      <c r="AA18" s="1263">
        <v>1</v>
      </c>
      <c r="AB18" s="1263">
        <v>1</v>
      </c>
      <c r="AC18" s="1811">
        <v>1</v>
      </c>
    </row>
    <row r="19" spans="1:29" ht="41.4">
      <c r="A19" s="366"/>
      <c r="B19" s="555" t="s">
        <v>1810</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98</v>
      </c>
      <c r="K19" s="539">
        <v>2</v>
      </c>
      <c r="L19" s="2492"/>
      <c r="M19" s="2487"/>
      <c r="N19" s="2487"/>
      <c r="O19" s="2487"/>
      <c r="P19" s="3418"/>
      <c r="Q19" s="1262" t="str">
        <f>B19</f>
        <v>公共配套设施</v>
      </c>
      <c r="R19" s="666" t="s">
        <v>14</v>
      </c>
      <c r="S19" s="667">
        <f>F19</f>
        <v>100</v>
      </c>
      <c r="T19" s="666" t="s">
        <v>14</v>
      </c>
      <c r="U19" s="667">
        <f>H19</f>
        <v>100</v>
      </c>
      <c r="V19" s="666" t="s">
        <v>14</v>
      </c>
      <c r="W19" s="667">
        <f>J19</f>
        <v>98</v>
      </c>
      <c r="X19" s="1264"/>
      <c r="Y19" s="3420"/>
      <c r="Z19" s="1263" t="str">
        <f>Q19</f>
        <v>公共配套设施</v>
      </c>
      <c r="AA19" s="1263">
        <f t="shared" si="3"/>
        <v>1</v>
      </c>
      <c r="AB19" s="1263">
        <f t="shared" si="4"/>
        <v>1</v>
      </c>
      <c r="AC19" s="1811">
        <f t="shared" si="5"/>
        <v>1.0204081632653061</v>
      </c>
    </row>
    <row r="20" spans="1:29" ht="15">
      <c r="A20" s="366"/>
      <c r="B20" s="400"/>
      <c r="C20" s="1757" t="s">
        <v>3766</v>
      </c>
      <c r="D20" s="386"/>
      <c r="E20" s="1750" t="s">
        <v>3766</v>
      </c>
      <c r="F20" s="386"/>
      <c r="G20" s="1751" t="s">
        <v>3766</v>
      </c>
      <c r="H20" s="386"/>
      <c r="I20" s="1751" t="s">
        <v>3768</v>
      </c>
      <c r="J20" s="386"/>
      <c r="K20" s="540"/>
      <c r="L20" s="2492"/>
      <c r="M20" s="2487"/>
      <c r="N20" s="2487"/>
      <c r="O20" s="2487"/>
      <c r="P20" s="3418"/>
      <c r="Q20" s="1262"/>
      <c r="R20" s="666"/>
      <c r="S20" s="667"/>
      <c r="T20" s="666"/>
      <c r="U20" s="667"/>
      <c r="V20" s="666"/>
      <c r="W20" s="667"/>
      <c r="X20" s="1264"/>
      <c r="Y20" s="3420"/>
      <c r="Z20" s="1263"/>
      <c r="AA20" s="1263">
        <v>1</v>
      </c>
      <c r="AB20" s="1263">
        <v>1</v>
      </c>
      <c r="AC20" s="1811">
        <v>1</v>
      </c>
    </row>
    <row r="21" spans="1:29" ht="27.6">
      <c r="A21" s="366"/>
      <c r="B21" s="556" t="s">
        <v>1811</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1</v>
      </c>
      <c r="L21" s="2492"/>
      <c r="M21" s="2487"/>
      <c r="N21" s="2487"/>
      <c r="O21" s="2487"/>
      <c r="P21" s="3418"/>
      <c r="Q21" s="1262" t="str">
        <f>B21</f>
        <v>基础设施水平</v>
      </c>
      <c r="R21" s="666" t="s">
        <v>14</v>
      </c>
      <c r="S21" s="667">
        <f>F21</f>
        <v>100</v>
      </c>
      <c r="T21" s="666" t="s">
        <v>14</v>
      </c>
      <c r="U21" s="667">
        <f>H21</f>
        <v>100</v>
      </c>
      <c r="V21" s="666" t="s">
        <v>14</v>
      </c>
      <c r="W21" s="667">
        <f>J21</f>
        <v>100</v>
      </c>
      <c r="X21" s="1264"/>
      <c r="Y21" s="3420"/>
      <c r="Z21" s="1263" t="str">
        <f>Q21</f>
        <v>基础设施水平</v>
      </c>
      <c r="AA21" s="1263">
        <f t="shared" ref="AA21" si="8">D21/F21</f>
        <v>1</v>
      </c>
      <c r="AB21" s="1263">
        <f t="shared" ref="AB21" si="9">D21/H21</f>
        <v>1</v>
      </c>
      <c r="AC21" s="1811">
        <f t="shared" ref="AC21" si="10">D21/J21</f>
        <v>1</v>
      </c>
    </row>
    <row r="22" spans="1:29" ht="15">
      <c r="A22" s="366"/>
      <c r="B22" s="556"/>
      <c r="C22" s="1813" t="s">
        <v>3767</v>
      </c>
      <c r="D22" s="386"/>
      <c r="E22" s="385" t="s">
        <v>3767</v>
      </c>
      <c r="F22" s="386"/>
      <c r="G22" s="1757" t="s">
        <v>3767</v>
      </c>
      <c r="H22" s="386"/>
      <c r="I22" s="1757" t="s">
        <v>3767</v>
      </c>
      <c r="J22" s="386"/>
      <c r="K22" s="1063"/>
      <c r="L22" s="2492"/>
      <c r="M22" s="2487"/>
      <c r="N22" s="2487"/>
      <c r="O22" s="2487"/>
      <c r="P22" s="3418"/>
      <c r="Q22" s="1262"/>
      <c r="R22" s="666"/>
      <c r="S22" s="667"/>
      <c r="T22" s="666"/>
      <c r="U22" s="667"/>
      <c r="V22" s="666"/>
      <c r="W22" s="667"/>
      <c r="X22" s="1264"/>
      <c r="Y22" s="3420"/>
      <c r="Z22" s="1263"/>
      <c r="AA22" s="1263">
        <v>1</v>
      </c>
      <c r="AB22" s="1263">
        <v>1</v>
      </c>
      <c r="AC22" s="1811">
        <v>1</v>
      </c>
    </row>
    <row r="23" spans="1:29" ht="55.2">
      <c r="A23" s="366"/>
      <c r="B23" s="555" t="s">
        <v>1812</v>
      </c>
      <c r="C23" s="1812" t="str">
        <f>估价对象房地状况!C9</f>
        <v>区域自然环境：；人文环境；综合评价环境状况一般</v>
      </c>
      <c r="D23" s="388">
        <v>100</v>
      </c>
      <c r="E23" s="392"/>
      <c r="F23" s="388">
        <f>SUMIF(85:85,E24,86:86)-SUMIF(85:85,C24,86:86)+100</f>
        <v>102</v>
      </c>
      <c r="G23" s="390"/>
      <c r="H23" s="388">
        <f>SUMIF(85:85,G24,86:86)-SUMIF(85:85,C24,86:86)+100</f>
        <v>100</v>
      </c>
      <c r="I23" s="390"/>
      <c r="J23" s="388">
        <f>SUMIF(85:85,I24,86:86)-SUMIF(85:85,C24,86:86)+100</f>
        <v>100</v>
      </c>
      <c r="K23" s="539">
        <v>2</v>
      </c>
      <c r="L23" s="2492"/>
      <c r="M23" s="2487"/>
      <c r="N23" s="2487"/>
      <c r="O23" s="2487"/>
      <c r="P23" s="3418"/>
      <c r="Q23" s="1262" t="str">
        <f>B23</f>
        <v>环境质量</v>
      </c>
      <c r="R23" s="666" t="s">
        <v>14</v>
      </c>
      <c r="S23" s="667">
        <f>F23</f>
        <v>102</v>
      </c>
      <c r="T23" s="666" t="s">
        <v>14</v>
      </c>
      <c r="U23" s="667">
        <f>H23</f>
        <v>100</v>
      </c>
      <c r="V23" s="666" t="s">
        <v>14</v>
      </c>
      <c r="W23" s="667">
        <f>J23</f>
        <v>100</v>
      </c>
      <c r="X23" s="1264"/>
      <c r="Y23" s="3420"/>
      <c r="Z23" s="1263" t="str">
        <f>Q23</f>
        <v>环境质量</v>
      </c>
      <c r="AA23" s="1263">
        <f t="shared" si="3"/>
        <v>0.98039215686274506</v>
      </c>
      <c r="AB23" s="1263">
        <f t="shared" si="4"/>
        <v>1</v>
      </c>
      <c r="AC23" s="1811">
        <f t="shared" si="5"/>
        <v>1</v>
      </c>
    </row>
    <row r="24" spans="1:29" ht="15">
      <c r="A24" s="366"/>
      <c r="B24" s="556"/>
      <c r="C24" s="1751" t="s">
        <v>3768</v>
      </c>
      <c r="D24" s="386"/>
      <c r="E24" s="1750" t="s">
        <v>3766</v>
      </c>
      <c r="F24" s="386"/>
      <c r="G24" s="1751" t="s">
        <v>3768</v>
      </c>
      <c r="H24" s="386"/>
      <c r="I24" s="1751" t="s">
        <v>3768</v>
      </c>
      <c r="J24" s="386"/>
      <c r="K24" s="540"/>
      <c r="L24" s="2492"/>
      <c r="M24" s="2487"/>
      <c r="N24" s="2487"/>
      <c r="O24" s="2487"/>
      <c r="P24" s="3418"/>
      <c r="Q24" s="1262"/>
      <c r="R24" s="666"/>
      <c r="S24" s="667"/>
      <c r="T24" s="666"/>
      <c r="U24" s="667"/>
      <c r="V24" s="666"/>
      <c r="W24" s="667"/>
      <c r="X24" s="1264"/>
      <c r="Y24" s="3420"/>
      <c r="Z24" s="1263"/>
      <c r="AA24" s="1263">
        <v>1</v>
      </c>
      <c r="AB24" s="1263">
        <v>1</v>
      </c>
      <c r="AC24" s="1811">
        <v>1</v>
      </c>
    </row>
    <row r="25" spans="1:29" ht="28.8">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v>1</v>
      </c>
      <c r="L25" s="2492"/>
      <c r="M25" s="2487"/>
      <c r="N25" s="2487"/>
      <c r="O25" s="2487"/>
      <c r="P25" s="3418"/>
      <c r="Q25" s="1262" t="str">
        <f>B25</f>
        <v>毗邻道路的类型与等级</v>
      </c>
      <c r="R25" s="666" t="s">
        <v>14</v>
      </c>
      <c r="S25" s="667">
        <f>F25</f>
        <v>100</v>
      </c>
      <c r="T25" s="666" t="s">
        <v>14</v>
      </c>
      <c r="U25" s="667">
        <f>H25</f>
        <v>100</v>
      </c>
      <c r="V25" s="666" t="s">
        <v>14</v>
      </c>
      <c r="W25" s="667">
        <f>J25</f>
        <v>100</v>
      </c>
      <c r="X25" s="1264"/>
      <c r="Y25" s="3420"/>
      <c r="Z25" s="1263" t="str">
        <f>Q25</f>
        <v>毗邻道路的类型与等级</v>
      </c>
      <c r="AA25" s="1263">
        <f t="shared" si="3"/>
        <v>1</v>
      </c>
      <c r="AB25" s="1263">
        <f t="shared" si="4"/>
        <v>1</v>
      </c>
      <c r="AC25" s="1811">
        <f t="shared" si="5"/>
        <v>1</v>
      </c>
    </row>
    <row r="26" spans="1:29" ht="15">
      <c r="A26" s="347"/>
      <c r="B26" s="400"/>
      <c r="C26" s="557" t="s">
        <v>3769</v>
      </c>
      <c r="D26" s="373"/>
      <c r="E26" s="541" t="s">
        <v>3769</v>
      </c>
      <c r="F26" s="373"/>
      <c r="G26" s="557" t="s">
        <v>3769</v>
      </c>
      <c r="H26" s="373"/>
      <c r="I26" s="557" t="s">
        <v>3769</v>
      </c>
      <c r="J26" s="373"/>
      <c r="K26" s="540"/>
      <c r="L26" s="2492"/>
      <c r="M26" s="2487"/>
      <c r="N26" s="2487"/>
      <c r="O26" s="2487"/>
      <c r="P26" s="3418"/>
      <c r="Q26" s="1262"/>
      <c r="R26" s="666"/>
      <c r="S26" s="667"/>
      <c r="T26" s="666"/>
      <c r="U26" s="667"/>
      <c r="V26" s="666"/>
      <c r="W26" s="667"/>
      <c r="X26" s="1264"/>
      <c r="Y26" s="3420"/>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8"/>
      <c r="Q27" s="1262" t="str">
        <f t="shared" ref="Q27:Q47" si="11">B27</f>
        <v>楼层</v>
      </c>
      <c r="R27" s="666" t="s">
        <v>14</v>
      </c>
      <c r="S27" s="667">
        <f>F27</f>
        <v>100</v>
      </c>
      <c r="T27" s="666" t="s">
        <v>14</v>
      </c>
      <c r="U27" s="667">
        <f>H27</f>
        <v>100</v>
      </c>
      <c r="V27" s="666" t="s">
        <v>14</v>
      </c>
      <c r="W27" s="667">
        <f>J27</f>
        <v>100</v>
      </c>
      <c r="X27" s="1264"/>
      <c r="Y27" s="3420"/>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8"/>
      <c r="Q28" s="529" t="str">
        <f t="shared" si="11"/>
        <v>朝向</v>
      </c>
      <c r="R28" s="663" t="s">
        <v>14</v>
      </c>
      <c r="S28" s="664">
        <f>F28</f>
        <v>100</v>
      </c>
      <c r="T28" s="663" t="s">
        <v>14</v>
      </c>
      <c r="U28" s="664">
        <f>H28</f>
        <v>100</v>
      </c>
      <c r="V28" s="663" t="s">
        <v>14</v>
      </c>
      <c r="W28" s="664">
        <f>J28</f>
        <v>100</v>
      </c>
      <c r="X28" s="665"/>
      <c r="Y28" s="3420"/>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8"/>
      <c r="Q29" s="1262">
        <f t="shared" si="11"/>
        <v>111</v>
      </c>
      <c r="R29" s="666" t="s">
        <v>14</v>
      </c>
      <c r="S29" s="667">
        <f t="shared" ref="S29:S47" si="12">F29</f>
        <v>100</v>
      </c>
      <c r="T29" s="666" t="s">
        <v>14</v>
      </c>
      <c r="U29" s="667">
        <f t="shared" ref="U29:U47" si="13">H29</f>
        <v>100</v>
      </c>
      <c r="V29" s="666" t="s">
        <v>14</v>
      </c>
      <c r="W29" s="667">
        <f t="shared" ref="W29:W47" si="14">J29</f>
        <v>100</v>
      </c>
      <c r="X29" s="1264"/>
      <c r="Y29" s="342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8"/>
      <c r="Q30" s="1262">
        <f t="shared" si="11"/>
        <v>111</v>
      </c>
      <c r="R30" s="666" t="s">
        <v>14</v>
      </c>
      <c r="S30" s="667">
        <f t="shared" si="12"/>
        <v>100</v>
      </c>
      <c r="T30" s="666" t="s">
        <v>14</v>
      </c>
      <c r="U30" s="667">
        <f t="shared" si="13"/>
        <v>100</v>
      </c>
      <c r="V30" s="666" t="s">
        <v>14</v>
      </c>
      <c r="W30" s="667">
        <f t="shared" si="14"/>
        <v>100</v>
      </c>
      <c r="X30" s="1264"/>
      <c r="Y30" s="342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8"/>
      <c r="Q31" s="1262">
        <f t="shared" si="11"/>
        <v>111</v>
      </c>
      <c r="R31" s="666" t="s">
        <v>14</v>
      </c>
      <c r="S31" s="667">
        <f t="shared" si="12"/>
        <v>100</v>
      </c>
      <c r="T31" s="666" t="s">
        <v>14</v>
      </c>
      <c r="U31" s="667">
        <f t="shared" si="13"/>
        <v>100</v>
      </c>
      <c r="V31" s="666" t="s">
        <v>14</v>
      </c>
      <c r="W31" s="667">
        <f t="shared" si="14"/>
        <v>100</v>
      </c>
      <c r="X31" s="1264"/>
      <c r="Y31" s="3420"/>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8"/>
      <c r="Q32" s="1262">
        <f t="shared" si="11"/>
        <v>111</v>
      </c>
      <c r="R32" s="666" t="s">
        <v>14</v>
      </c>
      <c r="S32" s="667">
        <f t="shared" si="12"/>
        <v>100</v>
      </c>
      <c r="T32" s="666" t="s">
        <v>14</v>
      </c>
      <c r="U32" s="667">
        <f t="shared" si="13"/>
        <v>100</v>
      </c>
      <c r="V32" s="666" t="s">
        <v>14</v>
      </c>
      <c r="W32" s="667">
        <f t="shared" si="14"/>
        <v>100</v>
      </c>
      <c r="X32" s="1264"/>
      <c r="Y32" s="3420"/>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21" t="s">
        <v>1694</v>
      </c>
      <c r="Q33" s="1262" t="str">
        <f t="shared" si="11"/>
        <v>建筑类型</v>
      </c>
      <c r="R33" s="666" t="s">
        <v>14</v>
      </c>
      <c r="S33" s="667">
        <f t="shared" si="12"/>
        <v>100</v>
      </c>
      <c r="T33" s="666" t="s">
        <v>14</v>
      </c>
      <c r="U33" s="667">
        <f t="shared" si="13"/>
        <v>100</v>
      </c>
      <c r="V33" s="666" t="s">
        <v>14</v>
      </c>
      <c r="W33" s="667">
        <f t="shared" si="14"/>
        <v>100</v>
      </c>
      <c r="X33" s="1264"/>
      <c r="Y33" s="3424" t="s">
        <v>1694</v>
      </c>
      <c r="Z33" s="1263" t="str">
        <f t="shared" si="15"/>
        <v>建筑类型</v>
      </c>
      <c r="AA33" s="1263">
        <f t="shared" si="3"/>
        <v>1</v>
      </c>
      <c r="AB33" s="1263">
        <f t="shared" si="4"/>
        <v>1</v>
      </c>
      <c r="AC33" s="1811">
        <f t="shared" si="5"/>
        <v>1</v>
      </c>
    </row>
    <row r="34" spans="1:29" s="407" customFormat="1" ht="15">
      <c r="A34" s="405"/>
      <c r="B34" s="363" t="s">
        <v>1695</v>
      </c>
      <c r="C34" s="406">
        <f>'数据-基础表'!I13</f>
        <v>118791.89</v>
      </c>
      <c r="D34" s="118">
        <v>100</v>
      </c>
      <c r="E34" s="368">
        <v>20714.13</v>
      </c>
      <c r="F34" s="363">
        <f>LOOKUP(E34,104:104,105:105)-LOOKUP(C34,104:104,105:105)+100</f>
        <v>103</v>
      </c>
      <c r="G34" s="367">
        <v>8905</v>
      </c>
      <c r="H34" s="118">
        <f>LOOKUP(G34,104:104,105:105)-LOOKUP(C34,104:104,105:105)+100</f>
        <v>103</v>
      </c>
      <c r="I34" s="367">
        <v>28600.62</v>
      </c>
      <c r="J34" s="118">
        <f>LOOKUP(I34,104:104,105:105)-LOOKUP(C34,104:104,105:105)+100</f>
        <v>103</v>
      </c>
      <c r="K34" s="538"/>
      <c r="L34" s="2491"/>
      <c r="M34" s="2493"/>
      <c r="N34" s="2493"/>
      <c r="O34" s="2493"/>
      <c r="P34" s="3422"/>
      <c r="Q34" s="530" t="str">
        <f t="shared" si="11"/>
        <v>项目建筑规模</v>
      </c>
      <c r="R34" s="668" t="s">
        <v>14</v>
      </c>
      <c r="S34" s="669">
        <f t="shared" si="12"/>
        <v>103</v>
      </c>
      <c r="T34" s="668" t="s">
        <v>14</v>
      </c>
      <c r="U34" s="669">
        <f t="shared" si="13"/>
        <v>103</v>
      </c>
      <c r="V34" s="668" t="s">
        <v>14</v>
      </c>
      <c r="W34" s="669">
        <f t="shared" si="14"/>
        <v>103</v>
      </c>
      <c r="X34" s="670"/>
      <c r="Y34" s="3424"/>
      <c r="Z34" s="671" t="str">
        <f t="shared" si="15"/>
        <v>项目建筑规模</v>
      </c>
      <c r="AA34" s="1263">
        <f t="shared" si="3"/>
        <v>0.970873786407767</v>
      </c>
      <c r="AB34" s="1263">
        <f t="shared" si="4"/>
        <v>0.970873786407767</v>
      </c>
      <c r="AC34" s="1811">
        <f t="shared" si="5"/>
        <v>0.970873786407767</v>
      </c>
    </row>
    <row r="35" spans="1:29" ht="15">
      <c r="A35" s="408"/>
      <c r="B35" s="363" t="s">
        <v>1696</v>
      </c>
      <c r="C35" s="398" t="s">
        <v>3479</v>
      </c>
      <c r="D35" s="373">
        <v>100</v>
      </c>
      <c r="E35" s="398" t="s">
        <v>3479</v>
      </c>
      <c r="F35" s="399">
        <f>SUMIF(106:106,E35,107:107)-SUMIF(106:106,C35,107:107)+100</f>
        <v>100</v>
      </c>
      <c r="G35" s="398" t="s">
        <v>3479</v>
      </c>
      <c r="H35" s="373">
        <f>SUMIF(106:106,G35,107:107)-SUMIF(106:106,C35,107:107)+100</f>
        <v>100</v>
      </c>
      <c r="I35" s="398" t="s">
        <v>3479</v>
      </c>
      <c r="J35" s="373">
        <f>SUMIF(106:106,I35,107:107)-SUMIF(106:106,C35,107:107)+100</f>
        <v>100</v>
      </c>
      <c r="K35" s="537">
        <v>2</v>
      </c>
      <c r="L35" s="2492"/>
      <c r="M35" s="2487"/>
      <c r="N35" s="2487"/>
      <c r="O35" s="2487"/>
      <c r="P35" s="3422"/>
      <c r="Q35" s="1262" t="str">
        <f t="shared" si="11"/>
        <v>建筑结构</v>
      </c>
      <c r="R35" s="666" t="s">
        <v>14</v>
      </c>
      <c r="S35" s="667">
        <f t="shared" si="12"/>
        <v>100</v>
      </c>
      <c r="T35" s="666" t="s">
        <v>14</v>
      </c>
      <c r="U35" s="667">
        <f t="shared" si="13"/>
        <v>100</v>
      </c>
      <c r="V35" s="666" t="s">
        <v>14</v>
      </c>
      <c r="W35" s="667">
        <f t="shared" si="14"/>
        <v>100</v>
      </c>
      <c r="X35" s="1264"/>
      <c r="Y35" s="3424"/>
      <c r="Z35" s="1263" t="str">
        <f t="shared" si="15"/>
        <v>建筑结构</v>
      </c>
      <c r="AA35" s="1263">
        <f t="shared" si="3"/>
        <v>1</v>
      </c>
      <c r="AB35" s="1263">
        <f t="shared" si="4"/>
        <v>1</v>
      </c>
      <c r="AC35" s="1811">
        <f t="shared" si="5"/>
        <v>1</v>
      </c>
    </row>
    <row r="36" spans="1:29" ht="15">
      <c r="A36" s="408"/>
      <c r="B36" s="363" t="s">
        <v>1783</v>
      </c>
      <c r="C36" s="398" t="s">
        <v>3770</v>
      </c>
      <c r="D36" s="373">
        <v>100</v>
      </c>
      <c r="E36" s="398" t="s">
        <v>3770</v>
      </c>
      <c r="F36" s="399">
        <f>SUMIF(108:108,E36,109:109)-SUMIF(108:108,C36,109:109)+100</f>
        <v>100</v>
      </c>
      <c r="G36" s="398" t="s">
        <v>3770</v>
      </c>
      <c r="H36" s="373">
        <f>SUMIF(108:108,G36,109:109)-SUMIF(108:108,C36,109:109)+100</f>
        <v>100</v>
      </c>
      <c r="I36" s="398" t="s">
        <v>3770</v>
      </c>
      <c r="J36" s="373">
        <f>SUMIF(108:108,I36,109:109)-SUMIF(108:108,C36,109:109)+100</f>
        <v>100</v>
      </c>
      <c r="K36" s="537">
        <v>2</v>
      </c>
      <c r="L36" s="2492"/>
      <c r="M36" s="2487"/>
      <c r="N36" s="2487"/>
      <c r="O36" s="2487"/>
      <c r="P36" s="3422"/>
      <c r="Q36" s="1262" t="str">
        <f t="shared" si="11"/>
        <v>公共部分装修</v>
      </c>
      <c r="R36" s="666" t="s">
        <v>14</v>
      </c>
      <c r="S36" s="667">
        <f t="shared" si="12"/>
        <v>100</v>
      </c>
      <c r="T36" s="666" t="s">
        <v>14</v>
      </c>
      <c r="U36" s="667">
        <f t="shared" si="13"/>
        <v>100</v>
      </c>
      <c r="V36" s="666" t="s">
        <v>14</v>
      </c>
      <c r="W36" s="667">
        <f t="shared" si="14"/>
        <v>100</v>
      </c>
      <c r="X36" s="1264"/>
      <c r="Y36" s="3424"/>
      <c r="Z36" s="1263" t="str">
        <f t="shared" si="15"/>
        <v>公共部分装修</v>
      </c>
      <c r="AA36" s="1263">
        <f t="shared" si="3"/>
        <v>1</v>
      </c>
      <c r="AB36" s="1263">
        <f t="shared" si="4"/>
        <v>1</v>
      </c>
      <c r="AC36" s="1811">
        <f t="shared" si="5"/>
        <v>1</v>
      </c>
    </row>
    <row r="37" spans="1:29" ht="15">
      <c r="A37" s="408"/>
      <c r="B37" s="363" t="s">
        <v>1784</v>
      </c>
      <c r="C37" s="410">
        <v>0.8</v>
      </c>
      <c r="D37" s="373">
        <v>100</v>
      </c>
      <c r="E37" s="410">
        <f>1-(2025-E12)/60</f>
        <v>0.83333333333333337</v>
      </c>
      <c r="F37" s="399">
        <f>LOOKUP(E37,111:111,112:112)-LOOKUP(C37,111:111,112:112)+100</f>
        <v>100</v>
      </c>
      <c r="G37" s="410">
        <f>1-(2025-G12)/60</f>
        <v>0.93333333333333335</v>
      </c>
      <c r="H37" s="399">
        <f>LOOKUP(G37,111:111,112:112)-LOOKUP(C37,111:111,112:112)+100</f>
        <v>101</v>
      </c>
      <c r="I37" s="410">
        <f>1-(2025-I12)/60</f>
        <v>0.96666666666666667</v>
      </c>
      <c r="J37" s="373">
        <f>LOOKUP(I37,111:111,112:112)-LOOKUP(C37,111:111,112:112)+100</f>
        <v>101</v>
      </c>
      <c r="K37" s="537">
        <v>1</v>
      </c>
      <c r="L37" s="2492"/>
      <c r="M37" s="2487"/>
      <c r="N37" s="2487"/>
      <c r="O37" s="2487"/>
      <c r="P37" s="3422"/>
      <c r="Q37" s="1262" t="str">
        <f t="shared" si="11"/>
        <v>成新度</v>
      </c>
      <c r="R37" s="666" t="s">
        <v>14</v>
      </c>
      <c r="S37" s="667">
        <f t="shared" si="12"/>
        <v>100</v>
      </c>
      <c r="T37" s="666" t="s">
        <v>14</v>
      </c>
      <c r="U37" s="667">
        <f t="shared" si="13"/>
        <v>101</v>
      </c>
      <c r="V37" s="666" t="s">
        <v>14</v>
      </c>
      <c r="W37" s="667">
        <f t="shared" si="14"/>
        <v>101</v>
      </c>
      <c r="X37" s="1264"/>
      <c r="Y37" s="3424"/>
      <c r="Z37" s="1263" t="str">
        <f t="shared" si="15"/>
        <v>成新度</v>
      </c>
      <c r="AA37" s="1263">
        <f t="shared" si="3"/>
        <v>1</v>
      </c>
      <c r="AB37" s="1263">
        <f t="shared" si="4"/>
        <v>0.99009900990099009</v>
      </c>
      <c r="AC37" s="1811">
        <f t="shared" si="5"/>
        <v>0.99009900990099009</v>
      </c>
    </row>
    <row r="38" spans="1:29" s="102" customFormat="1" ht="15">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22"/>
      <c r="Q38" s="529" t="str">
        <f t="shared" si="11"/>
        <v>写字楼等级</v>
      </c>
      <c r="R38" s="663" t="s">
        <v>14</v>
      </c>
      <c r="S38" s="664">
        <f t="shared" si="12"/>
        <v>100</v>
      </c>
      <c r="T38" s="663" t="s">
        <v>14</v>
      </c>
      <c r="U38" s="664">
        <f t="shared" si="13"/>
        <v>100</v>
      </c>
      <c r="V38" s="663" t="s">
        <v>14</v>
      </c>
      <c r="W38" s="664">
        <f t="shared" si="14"/>
        <v>100</v>
      </c>
      <c r="X38" s="665"/>
      <c r="Y38" s="3424"/>
      <c r="Z38" s="50" t="str">
        <f t="shared" si="15"/>
        <v>写字楼等级</v>
      </c>
      <c r="AA38" s="50">
        <f t="shared" si="3"/>
        <v>1</v>
      </c>
      <c r="AB38" s="50">
        <f t="shared" si="4"/>
        <v>1</v>
      </c>
      <c r="AC38" s="801">
        <f t="shared" si="5"/>
        <v>1</v>
      </c>
    </row>
    <row r="39" spans="1:29" ht="15">
      <c r="A39" s="408"/>
      <c r="B39" s="363" t="s">
        <v>1817</v>
      </c>
      <c r="C39" s="398" t="s">
        <v>3771</v>
      </c>
      <c r="D39" s="373">
        <v>100</v>
      </c>
      <c r="E39" s="398" t="s">
        <v>3771</v>
      </c>
      <c r="F39" s="399">
        <f>SUMIF(115:115,E39,116:116)-SUMIF(115:115,C39,116:116)+100</f>
        <v>100</v>
      </c>
      <c r="G39" s="398" t="s">
        <v>3771</v>
      </c>
      <c r="H39" s="373">
        <f>SUMIF(115:115,G39,116:116)-SUMIF(115:115,C39,116:116)+100</f>
        <v>100</v>
      </c>
      <c r="I39" s="398" t="s">
        <v>3771</v>
      </c>
      <c r="J39" s="373">
        <f>SUMIF(115:115,I39,116:116)-SUMIF(115:115,C39,116:116)+100</f>
        <v>100</v>
      </c>
      <c r="K39" s="537">
        <v>2</v>
      </c>
      <c r="L39" s="2492"/>
      <c r="M39" s="2487"/>
      <c r="N39" s="2487"/>
      <c r="O39" s="2487"/>
      <c r="P39" s="3422" t="s">
        <v>1694</v>
      </c>
      <c r="Q39" s="1262" t="str">
        <f t="shared" si="11"/>
        <v>物业管理</v>
      </c>
      <c r="R39" s="666" t="s">
        <v>14</v>
      </c>
      <c r="S39" s="667">
        <f t="shared" si="12"/>
        <v>100</v>
      </c>
      <c r="T39" s="666" t="s">
        <v>14</v>
      </c>
      <c r="U39" s="667">
        <f t="shared" si="13"/>
        <v>100</v>
      </c>
      <c r="V39" s="666" t="s">
        <v>14</v>
      </c>
      <c r="W39" s="667">
        <f t="shared" si="14"/>
        <v>100</v>
      </c>
      <c r="X39" s="1264"/>
      <c r="Y39" s="3424" t="s">
        <v>1694</v>
      </c>
      <c r="Z39" s="1263" t="str">
        <f t="shared" si="15"/>
        <v>物业管理</v>
      </c>
      <c r="AA39" s="1263">
        <f t="shared" si="3"/>
        <v>1</v>
      </c>
      <c r="AB39" s="1263">
        <f t="shared" si="4"/>
        <v>1</v>
      </c>
      <c r="AC39" s="1811">
        <f t="shared" si="5"/>
        <v>1</v>
      </c>
    </row>
    <row r="40" spans="1:29" ht="15">
      <c r="A40" s="408"/>
      <c r="B40" s="363" t="s">
        <v>1785</v>
      </c>
      <c r="C40" s="398" t="s">
        <v>3772</v>
      </c>
      <c r="D40" s="373">
        <v>100</v>
      </c>
      <c r="E40" s="398" t="s">
        <v>3772</v>
      </c>
      <c r="F40" s="399">
        <f>SUMIF(117:117,E40,118:118)-SUMIF(117:117,C40,118:118)+100</f>
        <v>100</v>
      </c>
      <c r="G40" s="398" t="s">
        <v>3772</v>
      </c>
      <c r="H40" s="373">
        <f>SUMIF(117:117,G40,118:118)-SUMIF(117:117,C40,118:118)+100</f>
        <v>100</v>
      </c>
      <c r="I40" s="398" t="s">
        <v>3772</v>
      </c>
      <c r="J40" s="373">
        <f>SUMIF(117:117,I40,118:118)-SUMIF(117:117,C40,118:118)+100</f>
        <v>100</v>
      </c>
      <c r="K40" s="537">
        <v>1</v>
      </c>
      <c r="L40" s="2492"/>
      <c r="M40" s="2487"/>
      <c r="N40" s="2487"/>
      <c r="O40" s="2487"/>
      <c r="P40" s="3422"/>
      <c r="Q40" s="1262" t="str">
        <f t="shared" si="11"/>
        <v>市政基础设施</v>
      </c>
      <c r="R40" s="666" t="s">
        <v>14</v>
      </c>
      <c r="S40" s="667">
        <f t="shared" si="12"/>
        <v>100</v>
      </c>
      <c r="T40" s="666" t="s">
        <v>14</v>
      </c>
      <c r="U40" s="667">
        <f t="shared" si="13"/>
        <v>100</v>
      </c>
      <c r="V40" s="666" t="s">
        <v>14</v>
      </c>
      <c r="W40" s="667">
        <f t="shared" si="14"/>
        <v>100</v>
      </c>
      <c r="X40" s="1264"/>
      <c r="Y40" s="3424"/>
      <c r="Z40" s="1263" t="str">
        <f t="shared" si="15"/>
        <v>市政基础设施</v>
      </c>
      <c r="AA40" s="1263">
        <f t="shared" si="3"/>
        <v>1</v>
      </c>
      <c r="AB40" s="1263">
        <f t="shared" si="4"/>
        <v>1</v>
      </c>
      <c r="AC40" s="1811">
        <f t="shared" si="5"/>
        <v>1</v>
      </c>
    </row>
    <row r="41" spans="1:29" ht="15">
      <c r="A41" s="408"/>
      <c r="B41" s="363" t="s">
        <v>1787</v>
      </c>
      <c r="C41" s="541" t="s">
        <v>3789</v>
      </c>
      <c r="D41" s="373">
        <v>100</v>
      </c>
      <c r="E41" s="541" t="s">
        <v>3791</v>
      </c>
      <c r="F41" s="399">
        <f>SUMIF(119:119,E41,120:120)-SUMIF(119:119,C41,120:120)+100</f>
        <v>90</v>
      </c>
      <c r="G41" s="541" t="s">
        <v>3791</v>
      </c>
      <c r="H41" s="373">
        <f>SUMIF(119:119,G41,120:120)-SUMIF(119:119,C41,120:120)+100</f>
        <v>90</v>
      </c>
      <c r="I41" s="541" t="s">
        <v>3791</v>
      </c>
      <c r="J41" s="373">
        <f>SUMIF(119:119,I41,120:120)-SUMIF(119:119,C41,120:120)+100</f>
        <v>90</v>
      </c>
      <c r="K41" s="537">
        <v>10</v>
      </c>
      <c r="L41" s="2492"/>
      <c r="M41" s="2487"/>
      <c r="N41" s="2487"/>
      <c r="O41" s="2487"/>
      <c r="P41" s="3422"/>
      <c r="Q41" s="1262" t="str">
        <f t="shared" si="11"/>
        <v>层高</v>
      </c>
      <c r="R41" s="666" t="s">
        <v>14</v>
      </c>
      <c r="S41" s="667">
        <f t="shared" si="12"/>
        <v>90</v>
      </c>
      <c r="T41" s="666" t="s">
        <v>14</v>
      </c>
      <c r="U41" s="667">
        <f t="shared" si="13"/>
        <v>90</v>
      </c>
      <c r="V41" s="666" t="s">
        <v>14</v>
      </c>
      <c r="W41" s="667">
        <f t="shared" si="14"/>
        <v>90</v>
      </c>
      <c r="X41" s="1264"/>
      <c r="Y41" s="3424"/>
      <c r="Z41" s="1263" t="str">
        <f t="shared" si="15"/>
        <v>层高</v>
      </c>
      <c r="AA41" s="1263">
        <f t="shared" si="3"/>
        <v>1.1111111111111112</v>
      </c>
      <c r="AB41" s="1263">
        <f t="shared" si="4"/>
        <v>1.1111111111111112</v>
      </c>
      <c r="AC41" s="1811">
        <f t="shared" si="5"/>
        <v>1.1111111111111112</v>
      </c>
    </row>
    <row r="42" spans="1:29" s="407" customFormat="1" ht="15">
      <c r="A42" s="405"/>
      <c r="B42" s="399" t="s">
        <v>1818</v>
      </c>
      <c r="C42" s="372">
        <v>0</v>
      </c>
      <c r="D42" s="373">
        <v>100</v>
      </c>
      <c r="E42" s="372">
        <v>0</v>
      </c>
      <c r="F42" s="399">
        <f>SUMIF(121:121,E42,122:122)-SUMIF(121:121,C42,122:122)+100</f>
        <v>100</v>
      </c>
      <c r="G42" s="372">
        <v>0</v>
      </c>
      <c r="H42" s="373">
        <f>SUMIF(121:121,G42,122:122)-SUMIF(121:121,C42,122:122)+100</f>
        <v>100</v>
      </c>
      <c r="I42" s="372">
        <v>0</v>
      </c>
      <c r="J42" s="373">
        <f>SUMIF(121:121,I42,122:122)-SUMIF(121:121,C42,122:122)+100</f>
        <v>100</v>
      </c>
      <c r="K42" s="538"/>
      <c r="L42" s="2491"/>
      <c r="M42" s="2493"/>
      <c r="N42" s="2493"/>
      <c r="O42" s="2493"/>
      <c r="P42" s="3422"/>
      <c r="Q42" s="530" t="str">
        <f t="shared" si="11"/>
        <v>单套建筑面积</v>
      </c>
      <c r="R42" s="668" t="s">
        <v>14</v>
      </c>
      <c r="S42" s="669">
        <f t="shared" si="12"/>
        <v>100</v>
      </c>
      <c r="T42" s="668" t="s">
        <v>14</v>
      </c>
      <c r="U42" s="669">
        <f t="shared" si="13"/>
        <v>100</v>
      </c>
      <c r="V42" s="668" t="s">
        <v>14</v>
      </c>
      <c r="W42" s="669">
        <f t="shared" si="14"/>
        <v>100</v>
      </c>
      <c r="X42" s="670"/>
      <c r="Y42" s="3424"/>
      <c r="Z42" s="671" t="str">
        <f t="shared" si="15"/>
        <v>单套建筑面积</v>
      </c>
      <c r="AA42" s="1263">
        <f t="shared" si="3"/>
        <v>1</v>
      </c>
      <c r="AB42" s="1263">
        <f t="shared" si="4"/>
        <v>1</v>
      </c>
      <c r="AC42" s="1811">
        <f t="shared" si="5"/>
        <v>1</v>
      </c>
    </row>
    <row r="43" spans="1:29" ht="15">
      <c r="A43" s="408"/>
      <c r="B43" s="363" t="s">
        <v>1790</v>
      </c>
      <c r="C43" s="398" t="s">
        <v>3775</v>
      </c>
      <c r="D43" s="373">
        <v>100</v>
      </c>
      <c r="E43" s="398" t="s">
        <v>3773</v>
      </c>
      <c r="F43" s="399">
        <f>SUMIF(123:123,E43,124:124)-SUMIF(123:123,C43,124:124)+100</f>
        <v>98</v>
      </c>
      <c r="G43" s="398" t="s">
        <v>3773</v>
      </c>
      <c r="H43" s="373">
        <f>SUMIF(123:123,G43,124:124)-SUMIF(123:123,C43,124:124)+100</f>
        <v>98</v>
      </c>
      <c r="I43" s="398" t="s">
        <v>3773</v>
      </c>
      <c r="J43" s="373">
        <f>SUMIF(123:123,I43,124:124)-SUMIF(123:123,C43,124:124)+100</f>
        <v>98</v>
      </c>
      <c r="K43" s="537">
        <v>1</v>
      </c>
      <c r="L43" s="2492"/>
      <c r="M43" s="2487"/>
      <c r="N43" s="2487"/>
      <c r="O43" s="2487"/>
      <c r="P43" s="3422"/>
      <c r="Q43" s="1262" t="str">
        <f t="shared" si="11"/>
        <v>内部装修</v>
      </c>
      <c r="R43" s="666" t="s">
        <v>14</v>
      </c>
      <c r="S43" s="667">
        <f t="shared" si="12"/>
        <v>98</v>
      </c>
      <c r="T43" s="666" t="s">
        <v>14</v>
      </c>
      <c r="U43" s="667">
        <f t="shared" si="13"/>
        <v>98</v>
      </c>
      <c r="V43" s="666" t="s">
        <v>14</v>
      </c>
      <c r="W43" s="667">
        <f t="shared" si="14"/>
        <v>98</v>
      </c>
      <c r="X43" s="1264"/>
      <c r="Y43" s="3424"/>
      <c r="Z43" s="1263" t="str">
        <f t="shared" si="15"/>
        <v>内部装修</v>
      </c>
      <c r="AA43" s="1263">
        <f t="shared" si="3"/>
        <v>1.0204081632653061</v>
      </c>
      <c r="AB43" s="1263">
        <f t="shared" si="4"/>
        <v>1.0204081632653061</v>
      </c>
      <c r="AC43" s="1811">
        <f t="shared" si="5"/>
        <v>1.0204081632653061</v>
      </c>
    </row>
    <row r="44" spans="1:29" ht="28.8">
      <c r="A44" s="408"/>
      <c r="B44" s="363" t="s">
        <v>1705</v>
      </c>
      <c r="C44" s="398" t="s">
        <v>3766</v>
      </c>
      <c r="D44" s="373">
        <v>100</v>
      </c>
      <c r="E44" s="1759" t="s">
        <v>3766</v>
      </c>
      <c r="F44" s="399">
        <f>SUMIF(125:125,E44,126:126)-SUMIF(125:125,C44,126:126)+100</f>
        <v>100</v>
      </c>
      <c r="G44" s="1759" t="s">
        <v>3766</v>
      </c>
      <c r="H44" s="373">
        <f>SUMIF(125:125,G44,126:126)-SUMIF(125:125,C44,126:126)+100</f>
        <v>100</v>
      </c>
      <c r="I44" s="1759" t="s">
        <v>3766</v>
      </c>
      <c r="J44" s="373">
        <f>SUMIF(125:125,I44,126:126)-SUMIF(125:125,C44,126:126)+100</f>
        <v>100</v>
      </c>
      <c r="K44" s="537">
        <v>2</v>
      </c>
      <c r="L44" s="2492"/>
      <c r="M44" s="2487"/>
      <c r="N44" s="2487"/>
      <c r="O44" s="2487"/>
      <c r="P44" s="3422"/>
      <c r="Q44" s="1262" t="str">
        <f t="shared" si="11"/>
        <v>内部装修维护情况</v>
      </c>
      <c r="R44" s="666" t="s">
        <v>14</v>
      </c>
      <c r="S44" s="667">
        <f t="shared" si="12"/>
        <v>100</v>
      </c>
      <c r="T44" s="666" t="s">
        <v>14</v>
      </c>
      <c r="U44" s="667">
        <f t="shared" si="13"/>
        <v>100</v>
      </c>
      <c r="V44" s="666" t="s">
        <v>14</v>
      </c>
      <c r="W44" s="667">
        <f t="shared" si="14"/>
        <v>100</v>
      </c>
      <c r="X44" s="1264"/>
      <c r="Y44" s="3424"/>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22"/>
      <c r="Q45" s="529">
        <f t="shared" si="11"/>
        <v>111</v>
      </c>
      <c r="R45" s="663" t="s">
        <v>14</v>
      </c>
      <c r="S45" s="664">
        <f t="shared" si="12"/>
        <v>100</v>
      </c>
      <c r="T45" s="663" t="s">
        <v>14</v>
      </c>
      <c r="U45" s="664">
        <f t="shared" si="13"/>
        <v>100</v>
      </c>
      <c r="V45" s="663" t="s">
        <v>14</v>
      </c>
      <c r="W45" s="664">
        <f t="shared" si="14"/>
        <v>100</v>
      </c>
      <c r="X45" s="665"/>
      <c r="Y45" s="3424"/>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22"/>
      <c r="Q46" s="1262">
        <f t="shared" si="11"/>
        <v>111</v>
      </c>
      <c r="R46" s="666" t="s">
        <v>14</v>
      </c>
      <c r="S46" s="667">
        <f t="shared" si="12"/>
        <v>100</v>
      </c>
      <c r="T46" s="666" t="s">
        <v>14</v>
      </c>
      <c r="U46" s="667">
        <f t="shared" si="13"/>
        <v>100</v>
      </c>
      <c r="V46" s="666" t="s">
        <v>14</v>
      </c>
      <c r="W46" s="667">
        <f t="shared" si="14"/>
        <v>100</v>
      </c>
      <c r="X46" s="1264"/>
      <c r="Y46" s="3424"/>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23"/>
      <c r="Q47" s="1262">
        <f t="shared" si="11"/>
        <v>111</v>
      </c>
      <c r="R47" s="666" t="s">
        <v>14</v>
      </c>
      <c r="S47" s="667">
        <f t="shared" si="12"/>
        <v>100</v>
      </c>
      <c r="T47" s="666" t="s">
        <v>14</v>
      </c>
      <c r="U47" s="667">
        <f t="shared" si="13"/>
        <v>100</v>
      </c>
      <c r="V47" s="666" t="s">
        <v>14</v>
      </c>
      <c r="W47" s="667">
        <f t="shared" si="14"/>
        <v>100</v>
      </c>
      <c r="X47" s="1264"/>
      <c r="Y47" s="3425"/>
      <c r="Z47" s="1263">
        <f t="shared" si="15"/>
        <v>111</v>
      </c>
      <c r="AA47" s="1263">
        <f t="shared" si="3"/>
        <v>1</v>
      </c>
      <c r="AB47" s="1263">
        <f t="shared" si="4"/>
        <v>1</v>
      </c>
      <c r="AC47" s="1811">
        <f t="shared" si="5"/>
        <v>1</v>
      </c>
    </row>
    <row r="48" spans="1:29" ht="14.4">
      <c r="A48" s="415" t="s">
        <v>1706</v>
      </c>
      <c r="B48" s="416"/>
      <c r="C48" s="1080" t="s">
        <v>0</v>
      </c>
      <c r="D48" s="417"/>
      <c r="E48" s="418">
        <v>45000</v>
      </c>
      <c r="F48" s="419"/>
      <c r="G48" s="420">
        <v>38000</v>
      </c>
      <c r="H48" s="421"/>
      <c r="I48" s="418">
        <v>40559</v>
      </c>
      <c r="J48" s="421"/>
      <c r="K48" s="673"/>
      <c r="L48" s="2494"/>
      <c r="M48" s="2487"/>
      <c r="N48" s="2487"/>
      <c r="O48" s="2487"/>
      <c r="P48" s="3411" t="str">
        <f>A48</f>
        <v>成交单价（元/平方米）</v>
      </c>
      <c r="Q48" s="3412"/>
      <c r="R48" s="3413">
        <f>E48</f>
        <v>45000</v>
      </c>
      <c r="S48" s="3413"/>
      <c r="T48" s="3413">
        <f>G48</f>
        <v>38000</v>
      </c>
      <c r="U48" s="3413"/>
      <c r="V48" s="3413">
        <f>I48</f>
        <v>40559</v>
      </c>
      <c r="W48" s="3413"/>
      <c r="X48" s="384"/>
      <c r="Y48" s="672"/>
      <c r="Z48" s="384"/>
      <c r="AA48" s="384"/>
      <c r="AB48" s="384"/>
      <c r="AC48" s="554"/>
    </row>
    <row r="49" spans="1:49" ht="15" thickBot="1">
      <c r="A49" s="422" t="s">
        <v>1791</v>
      </c>
      <c r="B49" s="423"/>
      <c r="C49" s="1081">
        <f>R50</f>
        <v>44463</v>
      </c>
      <c r="D49" s="2140" t="s">
        <v>2136</v>
      </c>
      <c r="E49" s="1082">
        <f>R49</f>
        <v>48563</v>
      </c>
      <c r="F49" s="2141"/>
      <c r="G49" s="1081">
        <f>T49</f>
        <v>40603</v>
      </c>
      <c r="H49" s="2141"/>
      <c r="I49" s="1082">
        <f>V49</f>
        <v>44222</v>
      </c>
      <c r="J49" s="2141"/>
      <c r="K49" s="2143">
        <f>F49+H49+J49</f>
        <v>0</v>
      </c>
      <c r="L49" s="2494"/>
      <c r="M49" s="2487"/>
      <c r="N49" s="2487"/>
      <c r="O49" s="2487"/>
      <c r="P49" s="3411" t="str">
        <f>A49</f>
        <v>比较价值（元/平方米）</v>
      </c>
      <c r="Q49" s="3412"/>
      <c r="R49" s="3413">
        <f>IF(F1="售价",ROUND(PRODUCT(R48,AA7:AA47),0),ROUND(PRODUCT(R48,AA7:AA47),1))</f>
        <v>48563</v>
      </c>
      <c r="S49" s="3413"/>
      <c r="T49" s="3413">
        <f>IF(F1="售价",ROUND(PRODUCT(T48,AB7:AB47),0),ROUND(PRODUCT(T48,AB7:AB47),1))</f>
        <v>40603</v>
      </c>
      <c r="U49" s="3413"/>
      <c r="V49" s="3413">
        <f>IF(F1="售价",ROUND(PRODUCT(V48,AC7:AC47),0),ROUND(PRODUCT(V48,AC7:AC47),1))</f>
        <v>44222</v>
      </c>
      <c r="W49" s="3413"/>
      <c r="X49" s="384"/>
      <c r="Y49" s="384"/>
      <c r="Z49" s="384"/>
      <c r="AA49" s="384"/>
      <c r="AB49" s="384"/>
      <c r="AC49" s="554"/>
    </row>
    <row r="50" spans="1:49" ht="15" thickBot="1">
      <c r="A50" s="426" t="s">
        <v>1792</v>
      </c>
      <c r="B50" s="427"/>
      <c r="C50" s="350">
        <f>R50</f>
        <v>44463</v>
      </c>
      <c r="D50" s="350"/>
      <c r="E50" s="350"/>
      <c r="F50" s="350"/>
      <c r="G50" s="350"/>
      <c r="H50" s="350"/>
      <c r="I50" s="350"/>
      <c r="J50" s="428"/>
      <c r="K50" s="674"/>
      <c r="L50" s="2494"/>
      <c r="M50" s="2487"/>
      <c r="N50" s="2487"/>
      <c r="O50" s="2487"/>
      <c r="P50" s="3414" t="str">
        <f>A50</f>
        <v>估价对象XX用房的比较价值（楼面单价，元/平方米）</v>
      </c>
      <c r="Q50" s="3415"/>
      <c r="R50" s="3416">
        <f>IF(F1="售价",ROUND(IF(D49="简单平均",AVERAGE(R49:V49),R49*F49+T49*H49+V49*J49),0),ROUND(IF(D49="简单平均",AVERAGE(R49:V49),R49*F49+T49*H49+V49*J49),1))</f>
        <v>44463</v>
      </c>
      <c r="S50" s="3416"/>
      <c r="T50" s="3416"/>
      <c r="U50" s="3416"/>
      <c r="V50" s="3416"/>
      <c r="W50" s="3416"/>
      <c r="X50" s="1797"/>
      <c r="Y50" s="1797"/>
      <c r="Z50" s="1797"/>
      <c r="AA50" s="1797"/>
      <c r="AB50" s="1797"/>
      <c r="AC50" s="1798"/>
    </row>
    <row r="51" spans="1:4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4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49" ht="13.5" customHeight="1">
      <c r="A53" s="2487"/>
      <c r="B53" s="2487"/>
      <c r="C53" s="431" t="s">
        <v>1793</v>
      </c>
      <c r="D53" s="432"/>
      <c r="E53" s="433">
        <f>IF(E48&lt;E49,E49/E48-1,E48/E49-1)</f>
        <v>7.9177777777777791E-2</v>
      </c>
      <c r="F53" s="434" t="str">
        <f>IF(OR(E53&gt;=0.3,E53&lt;=-0.3),"超过30%","")</f>
        <v/>
      </c>
      <c r="G53" s="433">
        <f>IF(G48&lt;G49,G49/G48-1,G48/G49-1)</f>
        <v>6.8500000000000005E-2</v>
      </c>
      <c r="H53" s="434" t="str">
        <f>IF(OR(G53&gt;=0.3,G53&lt;=-0.3),"超过30%","")</f>
        <v/>
      </c>
      <c r="I53" s="433">
        <f>IF(I48&lt;I49,I49/I48-1,I48/I49-1)</f>
        <v>9.031287753642836E-2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49" ht="13.5" customHeight="1">
      <c r="A54" s="2487"/>
      <c r="B54" s="2487"/>
      <c r="C54" s="431" t="s">
        <v>1794</v>
      </c>
      <c r="D54" s="435"/>
      <c r="E54" s="433">
        <f>IF(E49&lt;G49,G49/E49-1,E49/G49-1)</f>
        <v>0.19604462724429239</v>
      </c>
      <c r="F54" s="434" t="str">
        <f>IF(OR(E54&gt;=0.2,E54&lt;=-0.2),"超过20%","")</f>
        <v/>
      </c>
      <c r="G54" s="433">
        <f>IF(G49&lt;I49,I49/G49-1,G49/I49-1)</f>
        <v>8.9131344974509252E-2</v>
      </c>
      <c r="H54" s="434" t="str">
        <f>IF(OR(G54&gt;=0.2,G54&lt;=-0.2),"超过20%","")</f>
        <v/>
      </c>
      <c r="I54" s="433">
        <f>IF(I49&lt;E49,E49/I49-1,I49/E49-1)</f>
        <v>9.8163809868391239E-2</v>
      </c>
      <c r="J54" s="434"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49" s="436" customFormat="1" ht="13.5" customHeight="1">
      <c r="A55" s="2497"/>
      <c r="B55" s="2497"/>
      <c r="C55" s="431" t="s">
        <v>1795</v>
      </c>
      <c r="D55" s="435"/>
      <c r="E55" s="433">
        <f>IF(E48&lt;G48,G48/E48-1,E48/G48-1)</f>
        <v>0.18421052631578938</v>
      </c>
      <c r="F55" s="434" t="str">
        <f>IF(OR(E55&gt;=0.3,E55&lt;=-0.3),"超过30%","")</f>
        <v/>
      </c>
      <c r="G55" s="433">
        <f>IF(G48&lt;I48,I48/G48-1,G48/I48-1)</f>
        <v>6.7342105263157981E-2</v>
      </c>
      <c r="H55" s="434" t="str">
        <f>IF(OR(G55&gt;=0.3,G55&lt;=-0.3),"超过30%","")</f>
        <v/>
      </c>
      <c r="I55" s="433">
        <f>IF(I48&lt;E48,E48/I48-1,I48/E48-1)</f>
        <v>0.10949481002983319</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4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4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49" ht="22.2"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49" s="441" customFormat="1" ht="14.4">
      <c r="A59" s="439" t="s">
        <v>1677</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3216">
        <f t="shared" ref="P59" si="17">EDATE(O59,-1)</f>
        <v>45352</v>
      </c>
      <c r="Q59" s="3216">
        <f t="shared" ref="Q59" si="18">EDATE(P59,-1)</f>
        <v>45323</v>
      </c>
      <c r="R59" s="3216">
        <f t="shared" ref="R59" si="19">EDATE(Q59,-1)</f>
        <v>45292</v>
      </c>
      <c r="S59" s="3216">
        <f t="shared" ref="S59" si="20">EDATE(R59,-1)</f>
        <v>45261</v>
      </c>
      <c r="T59" s="3216">
        <f t="shared" ref="T59" si="21">EDATE(S59,-1)</f>
        <v>45231</v>
      </c>
      <c r="U59" s="3216">
        <f t="shared" ref="U59" si="22">EDATE(T59,-1)</f>
        <v>45200</v>
      </c>
      <c r="V59" s="3216">
        <f t="shared" ref="V59" si="23">EDATE(U59,-1)</f>
        <v>45170</v>
      </c>
      <c r="W59" s="3216">
        <f t="shared" ref="W59" si="24">EDATE(V59,-1)</f>
        <v>45139</v>
      </c>
      <c r="X59" s="3216">
        <f t="shared" ref="X59" si="25">EDATE(W59,-1)</f>
        <v>45108</v>
      </c>
      <c r="Y59" s="3216">
        <f t="shared" ref="Y59" si="26">EDATE(X59,-1)</f>
        <v>45078</v>
      </c>
      <c r="Z59" s="3216">
        <f t="shared" ref="Z59" si="27">EDATE(Y59,-1)</f>
        <v>45047</v>
      </c>
      <c r="AA59" s="3216">
        <f t="shared" ref="AA59" si="28">EDATE(Z59,-1)</f>
        <v>45017</v>
      </c>
      <c r="AB59" s="3216">
        <f t="shared" ref="AB59" si="29">EDATE(AA59,-1)</f>
        <v>44986</v>
      </c>
      <c r="AC59" s="3216">
        <f t="shared" ref="AC59" si="30">EDATE(AB59,-1)</f>
        <v>44958</v>
      </c>
      <c r="AD59" s="3216">
        <f t="shared" ref="AD59" si="31">EDATE(AC59,-1)</f>
        <v>44927</v>
      </c>
      <c r="AE59" s="3216">
        <f t="shared" ref="AE59" si="32">EDATE(AD59,-1)</f>
        <v>44896</v>
      </c>
      <c r="AF59" s="3216">
        <f t="shared" ref="AF59" si="33">EDATE(AE59,-1)</f>
        <v>44866</v>
      </c>
      <c r="AG59" s="3216">
        <f t="shared" ref="AG59" si="34">EDATE(AF59,-1)</f>
        <v>44835</v>
      </c>
      <c r="AH59" s="3216">
        <f t="shared" ref="AH59" si="35">EDATE(AG59,-1)</f>
        <v>44805</v>
      </c>
      <c r="AI59" s="3216">
        <f t="shared" ref="AI59" si="36">EDATE(AH59,-1)</f>
        <v>44774</v>
      </c>
      <c r="AJ59" s="3216">
        <f t="shared" ref="AJ59" si="37">EDATE(AI59,-1)</f>
        <v>44743</v>
      </c>
      <c r="AK59" s="3216">
        <f t="shared" ref="AK59" si="38">EDATE(AJ59,-1)</f>
        <v>44713</v>
      </c>
      <c r="AL59" s="3216">
        <f t="shared" ref="AL59" si="39">EDATE(AK59,-1)</f>
        <v>44682</v>
      </c>
      <c r="AM59" s="3216">
        <f t="shared" ref="AM59" si="40">EDATE(AL59,-1)</f>
        <v>44652</v>
      </c>
      <c r="AN59" s="3216">
        <f t="shared" ref="AN59" si="41">EDATE(AM59,-1)</f>
        <v>44621</v>
      </c>
      <c r="AO59" s="3216">
        <f t="shared" ref="AO59" si="42">EDATE(AN59,-1)</f>
        <v>44593</v>
      </c>
      <c r="AP59" s="3216">
        <f t="shared" ref="AP59" si="43">EDATE(AO59,-1)</f>
        <v>44562</v>
      </c>
      <c r="AQ59" s="3216">
        <f t="shared" ref="AQ59" si="44">EDATE(AP59,-1)</f>
        <v>44531</v>
      </c>
      <c r="AR59" s="3216">
        <f t="shared" ref="AR59" si="45">EDATE(AQ59,-1)</f>
        <v>44501</v>
      </c>
      <c r="AS59" s="3216">
        <f t="shared" ref="AS59" si="46">EDATE(AR59,-1)</f>
        <v>44470</v>
      </c>
      <c r="AT59" s="3216">
        <f t="shared" ref="AT59" si="47">EDATE(AS59,-1)</f>
        <v>44440</v>
      </c>
      <c r="AU59" s="3216">
        <f t="shared" ref="AU59" si="48">EDATE(AT59,-1)</f>
        <v>44409</v>
      </c>
      <c r="AV59" s="3216">
        <f t="shared" ref="AV59" si="49">EDATE(AU59,-1)</f>
        <v>44378</v>
      </c>
      <c r="AW59" s="3216">
        <f t="shared" ref="AW59" si="50">EDATE(AV59,-1)</f>
        <v>44348</v>
      </c>
    </row>
    <row r="60" spans="1:49" s="102" customFormat="1">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c r="AP60" s="445">
        <v>100</v>
      </c>
      <c r="AQ60" s="445">
        <v>100</v>
      </c>
      <c r="AR60" s="445">
        <v>100</v>
      </c>
      <c r="AS60" s="445">
        <v>100</v>
      </c>
      <c r="AT60" s="445">
        <v>100</v>
      </c>
      <c r="AU60" s="445">
        <v>100</v>
      </c>
      <c r="AV60" s="445">
        <v>100</v>
      </c>
      <c r="AW60" s="445">
        <v>100</v>
      </c>
    </row>
    <row r="61" spans="1:49" s="102" customFormat="1" ht="1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49" s="102" customFormat="1" ht="14.4">
      <c r="A62" s="454" t="s">
        <v>1679</v>
      </c>
      <c r="B62" s="443"/>
      <c r="C62" s="455" t="s">
        <v>1774</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49" s="102" customFormat="1" ht="14.4"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49" ht="14.4">
      <c r="A64" s="378" t="s">
        <v>1717</v>
      </c>
      <c r="B64" s="459" t="s">
        <v>1683</v>
      </c>
      <c r="C64" s="460" t="str">
        <f>C9</f>
        <v>科研办公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4.4"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9.4" thickTop="1">
      <c r="A66" s="366"/>
      <c r="B66" s="468" t="s">
        <v>1686</v>
      </c>
      <c r="C66" s="512" t="s">
        <v>3765</v>
      </c>
      <c r="D66" s="512" t="s">
        <v>3774</v>
      </c>
      <c r="E66" s="512" t="s">
        <v>3776</v>
      </c>
      <c r="F66" s="3217" t="s">
        <v>3777</v>
      </c>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4.4" thickBot="1">
      <c r="A67" s="366"/>
      <c r="B67" s="473"/>
      <c r="C67" s="466">
        <v>100</v>
      </c>
      <c r="D67" s="466">
        <f>C67-2</f>
        <v>98</v>
      </c>
      <c r="E67" s="466">
        <f t="shared" ref="E67:F67" si="51">D67-2</f>
        <v>96</v>
      </c>
      <c r="F67" s="466">
        <f t="shared" si="51"/>
        <v>94</v>
      </c>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 thickTop="1">
      <c r="A68" s="366"/>
      <c r="B68" s="476" t="s">
        <v>1687</v>
      </c>
      <c r="C68" s="477" t="str">
        <f>C69&amp;"（含）"&amp;"-"&amp;D69</f>
        <v>0（含）-3</v>
      </c>
      <c r="D68" s="477" t="str">
        <f t="shared" ref="D68:L68" si="52">D69&amp;"（含）"&amp;"-"&amp;E69</f>
        <v>3（含）-</v>
      </c>
      <c r="E68" s="477" t="str">
        <f t="shared" si="52"/>
        <v>（含）-</v>
      </c>
      <c r="F68" s="477" t="str">
        <f t="shared" si="52"/>
        <v>（含）-</v>
      </c>
      <c r="G68" s="477" t="str">
        <f t="shared" si="52"/>
        <v>（含）-</v>
      </c>
      <c r="H68" s="477" t="str">
        <f t="shared" si="52"/>
        <v>（含）-</v>
      </c>
      <c r="I68" s="477" t="str">
        <f t="shared" si="52"/>
        <v>（含）-</v>
      </c>
      <c r="J68" s="477" t="str">
        <f t="shared" si="52"/>
        <v>（含）-</v>
      </c>
      <c r="K68" s="477" t="str">
        <f t="shared" si="52"/>
        <v>（含）-</v>
      </c>
      <c r="L68" s="477" t="str">
        <f t="shared" si="52"/>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4.4" thickBot="1">
      <c r="A70" s="366"/>
      <c r="B70" s="465"/>
      <c r="C70" s="474">
        <v>100</v>
      </c>
      <c r="D70" s="474">
        <f t="shared" ref="D70:M70" si="53">C70-$K11</f>
        <v>100</v>
      </c>
      <c r="E70" s="474">
        <f t="shared" si="53"/>
        <v>100</v>
      </c>
      <c r="F70" s="474">
        <f t="shared" si="53"/>
        <v>100</v>
      </c>
      <c r="G70" s="474">
        <f t="shared" si="53"/>
        <v>100</v>
      </c>
      <c r="H70" s="474">
        <f t="shared" si="53"/>
        <v>100</v>
      </c>
      <c r="I70" s="474">
        <f t="shared" si="53"/>
        <v>100</v>
      </c>
      <c r="J70" s="474">
        <f t="shared" si="53"/>
        <v>100</v>
      </c>
      <c r="K70" s="474">
        <f t="shared" si="53"/>
        <v>100</v>
      </c>
      <c r="L70" s="474">
        <f t="shared" si="53"/>
        <v>100</v>
      </c>
      <c r="M70" s="475">
        <f t="shared" si="53"/>
        <v>100</v>
      </c>
      <c r="N70" s="2522"/>
      <c r="O70" s="2522"/>
      <c r="P70" s="2530"/>
      <c r="Q70" s="2508"/>
      <c r="R70" s="2487"/>
      <c r="S70" s="2487"/>
      <c r="T70" s="2487"/>
      <c r="U70" s="2487"/>
      <c r="V70" s="2487"/>
      <c r="W70" s="2487"/>
      <c r="X70" s="2487"/>
      <c r="Y70" s="2487"/>
      <c r="Z70" s="2487"/>
      <c r="AA70" s="2487"/>
      <c r="AB70" s="2487"/>
      <c r="AC70" s="2487"/>
    </row>
    <row r="71" spans="1:29" s="407" customFormat="1" ht="14.4"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4.4"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4.4"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4.4"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4.4"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4.4"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ht="14.4">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4.4"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C80-$K17</f>
        <v>98</v>
      </c>
      <c r="E80" s="474">
        <f>D80-$K17</f>
        <v>96</v>
      </c>
      <c r="F80" s="474">
        <f>E80-$K17</f>
        <v>94</v>
      </c>
      <c r="G80" s="474">
        <f>F80-$K17</f>
        <v>92</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4.4" thickBot="1">
      <c r="A82" s="366"/>
      <c r="B82" s="473"/>
      <c r="C82" s="474">
        <v>100</v>
      </c>
      <c r="D82" s="474">
        <f>C82-$K19</f>
        <v>98</v>
      </c>
      <c r="E82" s="474">
        <f>D82-$K19</f>
        <v>96</v>
      </c>
      <c r="F82" s="474">
        <f>E82-$K19</f>
        <v>94</v>
      </c>
      <c r="G82" s="474">
        <f>F82-$K19</f>
        <v>92</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4.4" thickBot="1">
      <c r="A84" s="366"/>
      <c r="B84" s="476"/>
      <c r="C84" s="474">
        <v>100</v>
      </c>
      <c r="D84" s="474">
        <f>C84-$K21</f>
        <v>99</v>
      </c>
      <c r="E84" s="474">
        <f>D84-$K21</f>
        <v>98</v>
      </c>
      <c r="F84" s="474">
        <f>E84-$K21</f>
        <v>97</v>
      </c>
      <c r="G84" s="474">
        <f>F84-$K21</f>
        <v>96</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4.4" thickBot="1">
      <c r="A86" s="366"/>
      <c r="B86" s="473"/>
      <c r="C86" s="474">
        <v>100</v>
      </c>
      <c r="D86" s="474">
        <f>C86-$K23</f>
        <v>98</v>
      </c>
      <c r="E86" s="474">
        <f>D86-$K23</f>
        <v>96</v>
      </c>
      <c r="F86" s="474">
        <f>E86-$K23</f>
        <v>94</v>
      </c>
      <c r="G86" s="474">
        <f>F86-$K23</f>
        <v>92</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9.4" thickTop="1">
      <c r="A87" s="369"/>
      <c r="B87" s="468" t="s">
        <v>1821</v>
      </c>
      <c r="C87" s="3218" t="s">
        <v>3778</v>
      </c>
      <c r="D87" s="3218" t="s">
        <v>3779</v>
      </c>
      <c r="E87" s="3218" t="s">
        <v>3780</v>
      </c>
      <c r="F87" s="3218" t="s">
        <v>3781</v>
      </c>
      <c r="G87" s="3218" t="s">
        <v>3782</v>
      </c>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54">C88-$K25</f>
        <v>99</v>
      </c>
      <c r="E88" s="474">
        <f t="shared" si="54"/>
        <v>98</v>
      </c>
      <c r="F88" s="474">
        <f t="shared" si="54"/>
        <v>97</v>
      </c>
      <c r="G88" s="474">
        <f t="shared" si="54"/>
        <v>96</v>
      </c>
      <c r="H88" s="474">
        <f t="shared" si="54"/>
        <v>95</v>
      </c>
      <c r="I88" s="474">
        <f t="shared" si="54"/>
        <v>94</v>
      </c>
      <c r="J88" s="474">
        <f t="shared" si="54"/>
        <v>93</v>
      </c>
      <c r="K88" s="474">
        <f t="shared" si="54"/>
        <v>92</v>
      </c>
      <c r="L88" s="474">
        <f t="shared" si="54"/>
        <v>91</v>
      </c>
      <c r="M88" s="474">
        <f t="shared" si="54"/>
        <v>90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55">D90-$K27</f>
        <v>100</v>
      </c>
      <c r="F90" s="474">
        <f t="shared" si="55"/>
        <v>100</v>
      </c>
      <c r="G90" s="474">
        <f t="shared" si="55"/>
        <v>100</v>
      </c>
      <c r="H90" s="474">
        <f t="shared" si="55"/>
        <v>100</v>
      </c>
      <c r="I90" s="474">
        <f t="shared" si="55"/>
        <v>100</v>
      </c>
      <c r="J90" s="474">
        <f t="shared" si="55"/>
        <v>100</v>
      </c>
      <c r="K90" s="474">
        <f t="shared" si="55"/>
        <v>100</v>
      </c>
      <c r="L90" s="474">
        <f t="shared" si="55"/>
        <v>100</v>
      </c>
      <c r="M90" s="474">
        <f t="shared" si="55"/>
        <v>100</v>
      </c>
      <c r="N90" s="2522"/>
      <c r="O90" s="2522"/>
      <c r="P90" s="2530"/>
      <c r="Q90" s="2508"/>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511">
        <v>100</v>
      </c>
      <c r="D92" s="474">
        <f t="shared" ref="D92:M92" si="56">C92-$K28</f>
        <v>100</v>
      </c>
      <c r="E92" s="474">
        <f t="shared" si="56"/>
        <v>100</v>
      </c>
      <c r="F92" s="474">
        <f t="shared" si="56"/>
        <v>100</v>
      </c>
      <c r="G92" s="474">
        <f t="shared" si="56"/>
        <v>100</v>
      </c>
      <c r="H92" s="474">
        <f t="shared" si="56"/>
        <v>100</v>
      </c>
      <c r="I92" s="474">
        <f t="shared" si="56"/>
        <v>100</v>
      </c>
      <c r="J92" s="474">
        <f t="shared" si="56"/>
        <v>100</v>
      </c>
      <c r="K92" s="474">
        <f t="shared" si="56"/>
        <v>100</v>
      </c>
      <c r="L92" s="474">
        <f t="shared" si="56"/>
        <v>100</v>
      </c>
      <c r="M92" s="474">
        <f t="shared" si="56"/>
        <v>100</v>
      </c>
      <c r="N92" s="2523"/>
      <c r="O92" s="2523"/>
      <c r="P92" s="2531"/>
      <c r="Q92" s="2515"/>
      <c r="R92" s="2493"/>
      <c r="S92" s="2493"/>
      <c r="T92" s="2493"/>
      <c r="U92" s="2493"/>
      <c r="V92" s="2493"/>
      <c r="W92" s="2493"/>
      <c r="X92" s="2493"/>
      <c r="Y92" s="2493"/>
      <c r="Z92" s="2493"/>
      <c r="AA92" s="2493"/>
      <c r="AB92" s="2493"/>
      <c r="AC92" s="2493"/>
    </row>
    <row r="93" spans="1:29" ht="14.4"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4.4"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4.4"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4.4"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4.4"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4.4"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ht="14.4">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74">
        <v>100</v>
      </c>
      <c r="D102" s="474">
        <f t="shared" ref="D102:M102" si="57">C102-$K33</f>
        <v>100</v>
      </c>
      <c r="E102" s="474">
        <f t="shared" si="57"/>
        <v>100</v>
      </c>
      <c r="F102" s="474">
        <f t="shared" si="57"/>
        <v>100</v>
      </c>
      <c r="G102" s="474">
        <f t="shared" si="57"/>
        <v>100</v>
      </c>
      <c r="H102" s="474">
        <f t="shared" si="57"/>
        <v>100</v>
      </c>
      <c r="I102" s="474">
        <f t="shared" si="57"/>
        <v>100</v>
      </c>
      <c r="J102" s="474">
        <f t="shared" si="57"/>
        <v>100</v>
      </c>
      <c r="K102" s="474">
        <f t="shared" si="57"/>
        <v>100</v>
      </c>
      <c r="L102" s="474">
        <f t="shared" si="57"/>
        <v>100</v>
      </c>
      <c r="M102" s="475">
        <f t="shared" si="57"/>
        <v>100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6"/>
      <c r="B103" s="468" t="s">
        <v>1735</v>
      </c>
      <c r="C103" s="508" t="str">
        <f>C104&amp;"(含)"&amp;"-"&amp;D104</f>
        <v>0(含)-30000</v>
      </c>
      <c r="D103" s="508" t="str">
        <f t="shared" ref="D103:L103" si="58">D104&amp;"(含)"&amp;"-"&amp;E104</f>
        <v>30000(含)-60000</v>
      </c>
      <c r="E103" s="508" t="str">
        <f t="shared" si="58"/>
        <v>60000(含)-100000</v>
      </c>
      <c r="F103" s="508" t="str">
        <f t="shared" si="58"/>
        <v>100000(含)-150000</v>
      </c>
      <c r="G103" s="508" t="str">
        <f t="shared" si="58"/>
        <v>150000(含)-200000</v>
      </c>
      <c r="H103" s="508" t="str">
        <f t="shared" si="58"/>
        <v>200000(含)-</v>
      </c>
      <c r="I103" s="508" t="str">
        <f t="shared" si="58"/>
        <v>(含)-</v>
      </c>
      <c r="J103" s="508" t="str">
        <f t="shared" si="58"/>
        <v>(含)-</v>
      </c>
      <c r="K103" s="508" t="str">
        <f t="shared" si="58"/>
        <v>(含)-</v>
      </c>
      <c r="L103" s="508" t="str">
        <f t="shared" si="58"/>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30000</v>
      </c>
      <c r="E104" s="6">
        <v>60000</v>
      </c>
      <c r="F104" s="6">
        <v>100000</v>
      </c>
      <c r="G104" s="6">
        <v>150000</v>
      </c>
      <c r="H104" s="6">
        <v>200000</v>
      </c>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4.4" thickBot="1">
      <c r="A105" s="483"/>
      <c r="B105" s="473"/>
      <c r="C105" s="466">
        <v>100</v>
      </c>
      <c r="D105" s="466">
        <f>C105-1</f>
        <v>99</v>
      </c>
      <c r="E105" s="466">
        <f t="shared" ref="E105:H105" si="59">D105-1</f>
        <v>98</v>
      </c>
      <c r="F105" s="466">
        <f t="shared" si="59"/>
        <v>97</v>
      </c>
      <c r="G105" s="466">
        <f t="shared" si="59"/>
        <v>96</v>
      </c>
      <c r="H105" s="466">
        <f t="shared" si="59"/>
        <v>95</v>
      </c>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3218" t="s">
        <v>3770</v>
      </c>
      <c r="D106" s="3218" t="s">
        <v>3775</v>
      </c>
      <c r="E106" s="3218" t="s">
        <v>3783</v>
      </c>
      <c r="F106" s="3219" t="s">
        <v>3773</v>
      </c>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4.4" thickBot="1">
      <c r="A107" s="366"/>
      <c r="B107" s="473"/>
      <c r="C107" s="474">
        <v>100</v>
      </c>
      <c r="D107" s="474">
        <f t="shared" ref="D107:M107" si="60">C107-$K35</f>
        <v>98</v>
      </c>
      <c r="E107" s="474">
        <f t="shared" si="60"/>
        <v>96</v>
      </c>
      <c r="F107" s="474">
        <f t="shared" si="60"/>
        <v>94</v>
      </c>
      <c r="G107" s="474">
        <f t="shared" si="60"/>
        <v>92</v>
      </c>
      <c r="H107" s="474">
        <f t="shared" si="60"/>
        <v>90</v>
      </c>
      <c r="I107" s="474">
        <f t="shared" si="60"/>
        <v>88</v>
      </c>
      <c r="J107" s="474">
        <f t="shared" si="60"/>
        <v>86</v>
      </c>
      <c r="K107" s="474">
        <f t="shared" si="60"/>
        <v>84</v>
      </c>
      <c r="L107" s="474">
        <f t="shared" si="60"/>
        <v>82</v>
      </c>
      <c r="M107" s="475">
        <f t="shared" si="60"/>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4.4" thickBot="1">
      <c r="A109" s="366"/>
      <c r="B109" s="473"/>
      <c r="C109" s="474">
        <v>100</v>
      </c>
      <c r="D109" s="474">
        <f t="shared" ref="D109:M109" si="61">C109-$K36</f>
        <v>98</v>
      </c>
      <c r="E109" s="474">
        <f t="shared" si="61"/>
        <v>96</v>
      </c>
      <c r="F109" s="474">
        <f t="shared" si="61"/>
        <v>94</v>
      </c>
      <c r="G109" s="474">
        <f t="shared" si="61"/>
        <v>92</v>
      </c>
      <c r="H109" s="474">
        <f t="shared" si="61"/>
        <v>90</v>
      </c>
      <c r="I109" s="474">
        <f t="shared" si="61"/>
        <v>88</v>
      </c>
      <c r="J109" s="474">
        <f t="shared" si="61"/>
        <v>86</v>
      </c>
      <c r="K109" s="474">
        <f t="shared" si="61"/>
        <v>84</v>
      </c>
      <c r="L109" s="474">
        <f t="shared" si="61"/>
        <v>82</v>
      </c>
      <c r="M109" s="475">
        <f t="shared" si="61"/>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4.4" thickBot="1">
      <c r="A112" s="366"/>
      <c r="B112" s="473"/>
      <c r="C112" s="511">
        <v>100</v>
      </c>
      <c r="D112" s="474">
        <f>C112+$K37</f>
        <v>101</v>
      </c>
      <c r="E112" s="474">
        <f t="shared" ref="E112:M112" si="62">D112+$K37</f>
        <v>102</v>
      </c>
      <c r="F112" s="474">
        <f t="shared" si="62"/>
        <v>103</v>
      </c>
      <c r="G112" s="474">
        <f t="shared" si="62"/>
        <v>104</v>
      </c>
      <c r="H112" s="474">
        <f t="shared" si="62"/>
        <v>105</v>
      </c>
      <c r="I112" s="474">
        <f t="shared" si="62"/>
        <v>106</v>
      </c>
      <c r="J112" s="474">
        <f t="shared" si="62"/>
        <v>107</v>
      </c>
      <c r="K112" s="474">
        <f t="shared" si="62"/>
        <v>108</v>
      </c>
      <c r="L112" s="474">
        <f t="shared" si="62"/>
        <v>109</v>
      </c>
      <c r="M112" s="474">
        <f t="shared" si="62"/>
        <v>110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4.4" thickBot="1">
      <c r="A114" s="483"/>
      <c r="B114" s="473"/>
      <c r="C114" s="474">
        <v>100</v>
      </c>
      <c r="D114" s="474">
        <f>C114-$K38</f>
        <v>100</v>
      </c>
      <c r="E114" s="474">
        <f t="shared" ref="E114:M114" si="63">D114-$K38</f>
        <v>100</v>
      </c>
      <c r="F114" s="474">
        <f t="shared" si="63"/>
        <v>100</v>
      </c>
      <c r="G114" s="474">
        <f t="shared" si="63"/>
        <v>100</v>
      </c>
      <c r="H114" s="474">
        <f t="shared" si="63"/>
        <v>100</v>
      </c>
      <c r="I114" s="474">
        <f t="shared" si="63"/>
        <v>100</v>
      </c>
      <c r="J114" s="474">
        <f t="shared" si="63"/>
        <v>100</v>
      </c>
      <c r="K114" s="474">
        <f t="shared" si="63"/>
        <v>100</v>
      </c>
      <c r="L114" s="474">
        <f t="shared" si="63"/>
        <v>100</v>
      </c>
      <c r="M114" s="474">
        <f t="shared" si="63"/>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3218" t="s">
        <v>3771</v>
      </c>
      <c r="D115" s="3218" t="s">
        <v>3784</v>
      </c>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4.4" thickBot="1">
      <c r="A116" s="366"/>
      <c r="B116" s="473"/>
      <c r="C116" s="474">
        <v>100</v>
      </c>
      <c r="D116" s="474">
        <f t="shared" ref="D116:M116" si="64">C116-$K39</f>
        <v>98</v>
      </c>
      <c r="E116" s="474">
        <f t="shared" si="64"/>
        <v>96</v>
      </c>
      <c r="F116" s="474">
        <f t="shared" si="64"/>
        <v>94</v>
      </c>
      <c r="G116" s="474">
        <f t="shared" si="64"/>
        <v>92</v>
      </c>
      <c r="H116" s="474">
        <f t="shared" si="64"/>
        <v>90</v>
      </c>
      <c r="I116" s="474">
        <f t="shared" si="64"/>
        <v>88</v>
      </c>
      <c r="J116" s="474">
        <f t="shared" si="64"/>
        <v>86</v>
      </c>
      <c r="K116" s="474">
        <f t="shared" si="64"/>
        <v>84</v>
      </c>
      <c r="L116" s="474">
        <f t="shared" si="64"/>
        <v>82</v>
      </c>
      <c r="M116" s="475">
        <f t="shared" si="64"/>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t="s">
        <v>3767</v>
      </c>
      <c r="D117" s="484" t="s">
        <v>3772</v>
      </c>
      <c r="E117" s="484" t="s">
        <v>3785</v>
      </c>
      <c r="F117" s="484" t="s">
        <v>3786</v>
      </c>
      <c r="G117" s="484" t="s">
        <v>3787</v>
      </c>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3219" t="s">
        <v>3788</v>
      </c>
      <c r="D119" s="3219" t="s">
        <v>3790</v>
      </c>
      <c r="E119" s="3219" t="s">
        <v>3792</v>
      </c>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6"/>
      <c r="B120" s="473"/>
      <c r="C120" s="511">
        <v>100</v>
      </c>
      <c r="D120" s="474">
        <f>C120-$K41</f>
        <v>90</v>
      </c>
      <c r="E120" s="474">
        <f t="shared" ref="E120:M120" si="65">D120-$K41</f>
        <v>80</v>
      </c>
      <c r="F120" s="474">
        <f t="shared" si="65"/>
        <v>70</v>
      </c>
      <c r="G120" s="474">
        <f t="shared" si="65"/>
        <v>60</v>
      </c>
      <c r="H120" s="474">
        <f t="shared" si="65"/>
        <v>50</v>
      </c>
      <c r="I120" s="474">
        <f t="shared" si="65"/>
        <v>40</v>
      </c>
      <c r="J120" s="474">
        <f t="shared" si="65"/>
        <v>30</v>
      </c>
      <c r="K120" s="474">
        <f t="shared" si="65"/>
        <v>20</v>
      </c>
      <c r="L120" s="474">
        <f t="shared" si="65"/>
        <v>10</v>
      </c>
      <c r="M120" s="474">
        <f t="shared" si="65"/>
        <v>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4.4"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3770</v>
      </c>
      <c r="D123" s="484" t="s">
        <v>3775</v>
      </c>
      <c r="E123" s="484" t="s">
        <v>3783</v>
      </c>
      <c r="F123" s="512" t="s">
        <v>3773</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4.4" thickBot="1">
      <c r="A124" s="366"/>
      <c r="B124" s="473"/>
      <c r="C124" s="474">
        <v>100</v>
      </c>
      <c r="D124" s="474">
        <f t="shared" ref="D124:M124" si="66">C124-$K43</f>
        <v>99</v>
      </c>
      <c r="E124" s="474">
        <f t="shared" si="66"/>
        <v>98</v>
      </c>
      <c r="F124" s="474">
        <f t="shared" si="66"/>
        <v>97</v>
      </c>
      <c r="G124" s="474">
        <f t="shared" si="66"/>
        <v>96</v>
      </c>
      <c r="H124" s="474">
        <f t="shared" si="66"/>
        <v>95</v>
      </c>
      <c r="I124" s="474">
        <f t="shared" si="66"/>
        <v>94</v>
      </c>
      <c r="J124" s="474">
        <f t="shared" si="66"/>
        <v>93</v>
      </c>
      <c r="K124" s="474">
        <f t="shared" si="66"/>
        <v>92</v>
      </c>
      <c r="L124" s="474">
        <f t="shared" si="66"/>
        <v>91</v>
      </c>
      <c r="M124" s="475">
        <f t="shared" si="66"/>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4.4"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4.4"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4.4"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4.4"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4.4"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4.4"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1"/>
  <sheetViews>
    <sheetView workbookViewId="0">
      <pane xSplit="3" ySplit="1" topLeftCell="D41" activePane="bottomRight" state="frozen"/>
      <selection pane="topRight" activeCell="D1" sqref="D1"/>
      <selection pane="bottomLeft" activeCell="A2" sqref="A2"/>
      <selection pane="bottomRight" activeCell="D45" sqref="D45"/>
    </sheetView>
  </sheetViews>
  <sheetFormatPr defaultColWidth="9" defaultRowHeight="14.4"/>
  <cols>
    <col min="1" max="15" width="9" style="3183"/>
    <col min="16" max="16" width="13.44140625" style="3183" customWidth="1"/>
    <col min="17" max="17" width="14.44140625" style="3183" customWidth="1"/>
    <col min="18" max="16384" width="9" style="3183"/>
  </cols>
  <sheetData>
    <row r="1" spans="1:23" ht="60">
      <c r="A1" s="3180" t="s">
        <v>2642</v>
      </c>
      <c r="B1" s="3180" t="s">
        <v>3518</v>
      </c>
      <c r="C1" s="3180" t="s">
        <v>3519</v>
      </c>
      <c r="D1" s="3180" t="s">
        <v>3520</v>
      </c>
      <c r="E1" s="3180" t="s">
        <v>3521</v>
      </c>
      <c r="F1" s="3180" t="s">
        <v>3522</v>
      </c>
      <c r="G1" s="3180" t="s">
        <v>3523</v>
      </c>
      <c r="H1" s="3180" t="s">
        <v>3524</v>
      </c>
      <c r="I1" s="3180" t="s">
        <v>3525</v>
      </c>
      <c r="J1" s="3181" t="s">
        <v>3526</v>
      </c>
      <c r="K1" s="3180" t="s">
        <v>3527</v>
      </c>
      <c r="L1" s="3180" t="s">
        <v>3528</v>
      </c>
      <c r="M1" s="3180" t="s">
        <v>3529</v>
      </c>
      <c r="N1" s="3180" t="s">
        <v>3530</v>
      </c>
      <c r="O1" s="3180" t="s">
        <v>3531</v>
      </c>
      <c r="P1" s="3182" t="s">
        <v>3532</v>
      </c>
      <c r="Q1" s="3180" t="s">
        <v>3533</v>
      </c>
      <c r="R1" s="3180" t="s">
        <v>3534</v>
      </c>
      <c r="S1" s="3180" t="s">
        <v>3535</v>
      </c>
      <c r="T1" s="3180" t="s">
        <v>3536</v>
      </c>
      <c r="U1" s="3180" t="s">
        <v>3537</v>
      </c>
      <c r="V1" s="3180" t="s">
        <v>3538</v>
      </c>
      <c r="W1" s="3180" t="s">
        <v>3539</v>
      </c>
    </row>
    <row r="2" spans="1:23" ht="72">
      <c r="A2" s="3180">
        <v>374</v>
      </c>
      <c r="B2" s="3180" t="s">
        <v>3540</v>
      </c>
      <c r="C2" s="3180" t="s">
        <v>3541</v>
      </c>
      <c r="D2" s="3180" t="s">
        <v>2759</v>
      </c>
      <c r="E2" s="3184" t="s">
        <v>3542</v>
      </c>
      <c r="F2" s="3184" t="s">
        <v>3543</v>
      </c>
      <c r="G2" s="3180" t="s">
        <v>3544</v>
      </c>
      <c r="H2" s="3184"/>
      <c r="I2" s="3184">
        <v>8593.369999999999</v>
      </c>
      <c r="J2" s="3185">
        <v>6760.7019999999993</v>
      </c>
      <c r="K2" s="3185">
        <v>1832.6679999999997</v>
      </c>
      <c r="L2" s="3184">
        <v>17186.740000000002</v>
      </c>
      <c r="M2" s="3186">
        <v>20000</v>
      </c>
      <c r="N2" s="3187">
        <v>25421.5316693444</v>
      </c>
      <c r="O2" s="3184" t="s">
        <v>0</v>
      </c>
      <c r="P2" s="3188">
        <v>44562</v>
      </c>
      <c r="Q2" s="3189" t="s">
        <v>3545</v>
      </c>
      <c r="R2" s="3184" t="s">
        <v>3546</v>
      </c>
      <c r="S2" s="3184"/>
      <c r="T2" s="3190">
        <v>0</v>
      </c>
      <c r="U2" s="3184"/>
      <c r="V2" s="3191" t="e">
        <v>#DIV/0!</v>
      </c>
      <c r="W2" s="3184"/>
    </row>
    <row r="3" spans="1:23" ht="48">
      <c r="A3" s="3180">
        <v>377</v>
      </c>
      <c r="B3" s="3180" t="s">
        <v>3547</v>
      </c>
      <c r="C3" s="3180" t="s">
        <v>3548</v>
      </c>
      <c r="D3" s="3180" t="s">
        <v>2719</v>
      </c>
      <c r="E3" s="3184" t="s">
        <v>3549</v>
      </c>
      <c r="F3" s="3180" t="s">
        <v>3550</v>
      </c>
      <c r="G3" s="3180" t="s">
        <v>3551</v>
      </c>
      <c r="H3" s="3184"/>
      <c r="I3" s="3185">
        <v>24629.24</v>
      </c>
      <c r="J3" s="3185">
        <v>21550.585000000003</v>
      </c>
      <c r="K3" s="3185">
        <v>3078.6549999999988</v>
      </c>
      <c r="L3" s="3184">
        <v>64775</v>
      </c>
      <c r="M3" s="3180">
        <v>26300</v>
      </c>
      <c r="N3" s="3184">
        <v>30057</v>
      </c>
      <c r="O3" s="3180" t="s">
        <v>0</v>
      </c>
      <c r="P3" s="3192">
        <v>44573</v>
      </c>
      <c r="Q3" s="3193" t="s">
        <v>3552</v>
      </c>
      <c r="R3" s="3194" t="s">
        <v>3553</v>
      </c>
      <c r="S3" s="3184"/>
      <c r="T3" s="3184"/>
      <c r="U3" s="3184"/>
      <c r="V3" s="3184"/>
      <c r="W3" s="3184"/>
    </row>
    <row r="4" spans="1:23" ht="156">
      <c r="A4" s="3180">
        <v>378</v>
      </c>
      <c r="B4" s="3180" t="s">
        <v>3554</v>
      </c>
      <c r="C4" s="3180" t="s">
        <v>3555</v>
      </c>
      <c r="D4" s="3184" t="s">
        <v>2744</v>
      </c>
      <c r="E4" s="3180" t="s">
        <v>3556</v>
      </c>
      <c r="F4" s="3184" t="s">
        <v>3557</v>
      </c>
      <c r="G4" s="3180" t="s">
        <v>460</v>
      </c>
      <c r="H4" s="3184"/>
      <c r="I4" s="3184">
        <v>6383.22</v>
      </c>
      <c r="J4" s="3185">
        <v>6383.22</v>
      </c>
      <c r="K4" s="3184"/>
      <c r="L4" s="3184">
        <v>28086.17</v>
      </c>
      <c r="M4" s="3186">
        <v>44000</v>
      </c>
      <c r="N4" s="3187">
        <v>44000.003133214894</v>
      </c>
      <c r="O4" s="3184" t="s">
        <v>0</v>
      </c>
      <c r="P4" s="3192" t="s">
        <v>3558</v>
      </c>
      <c r="Q4" s="3195" t="s">
        <v>3559</v>
      </c>
      <c r="R4" s="3184" t="s">
        <v>3560</v>
      </c>
      <c r="S4" s="3184"/>
      <c r="T4" s="3190">
        <v>0</v>
      </c>
      <c r="U4" s="3184"/>
      <c r="V4" s="3191" t="e">
        <v>#DIV/0!</v>
      </c>
      <c r="W4" s="3184"/>
    </row>
    <row r="5" spans="1:23" ht="72">
      <c r="A5" s="3180">
        <v>382</v>
      </c>
      <c r="B5" s="3180" t="s">
        <v>3561</v>
      </c>
      <c r="C5" s="3180" t="s">
        <v>3541</v>
      </c>
      <c r="D5" s="3180" t="s">
        <v>2759</v>
      </c>
      <c r="E5" s="3184" t="s">
        <v>3542</v>
      </c>
      <c r="F5" s="3184" t="s">
        <v>3543</v>
      </c>
      <c r="G5" s="3180" t="s">
        <v>3544</v>
      </c>
      <c r="H5" s="3184"/>
      <c r="I5" s="3184">
        <v>2279.88</v>
      </c>
      <c r="J5" s="3185">
        <v>1709.91</v>
      </c>
      <c r="K5" s="3185">
        <v>569.97</v>
      </c>
      <c r="L5" s="3184">
        <v>4559.76</v>
      </c>
      <c r="M5" s="3186">
        <v>20000</v>
      </c>
      <c r="N5" s="3187">
        <v>26666.666666666664</v>
      </c>
      <c r="O5" s="3184" t="s">
        <v>0</v>
      </c>
      <c r="P5" s="3192">
        <v>44580</v>
      </c>
      <c r="Q5" s="3189" t="s">
        <v>3562</v>
      </c>
      <c r="R5" s="3184" t="s">
        <v>3546</v>
      </c>
      <c r="S5" s="3184"/>
      <c r="T5" s="3190">
        <v>0</v>
      </c>
      <c r="U5" s="3184"/>
      <c r="V5" s="3191" t="e">
        <v>#DIV/0!</v>
      </c>
      <c r="W5" s="3184"/>
    </row>
    <row r="6" spans="1:23" ht="96">
      <c r="A6" s="3180">
        <v>390</v>
      </c>
      <c r="B6" s="3180" t="s">
        <v>3563</v>
      </c>
      <c r="C6" s="3180" t="s">
        <v>3564</v>
      </c>
      <c r="D6" s="3184" t="s">
        <v>2764</v>
      </c>
      <c r="E6" s="3184" t="s">
        <v>3565</v>
      </c>
      <c r="F6" s="3184" t="s">
        <v>3566</v>
      </c>
      <c r="G6" s="3180" t="s">
        <v>3567</v>
      </c>
      <c r="H6" s="3184"/>
      <c r="I6" s="3184">
        <v>1693.08</v>
      </c>
      <c r="J6" s="3185">
        <v>1495.49</v>
      </c>
      <c r="K6" s="3185">
        <v>197.58999999999992</v>
      </c>
      <c r="L6" s="3184">
        <v>1727.712</v>
      </c>
      <c r="M6" s="3186">
        <v>10205</v>
      </c>
      <c r="N6" s="3187">
        <v>11552.815465165262</v>
      </c>
      <c r="O6" s="3180" t="s">
        <v>3568</v>
      </c>
      <c r="P6" s="3192">
        <v>44631</v>
      </c>
      <c r="Q6" s="3180" t="s">
        <v>3569</v>
      </c>
      <c r="R6" s="3184" t="s">
        <v>3570</v>
      </c>
      <c r="S6" s="3184">
        <v>2879.52</v>
      </c>
      <c r="T6" s="3190">
        <v>19254.692441942105</v>
      </c>
      <c r="U6" s="3184"/>
      <c r="V6" s="3191">
        <v>0.6</v>
      </c>
      <c r="W6" s="3184" t="s">
        <v>3571</v>
      </c>
    </row>
    <row r="7" spans="1:23" ht="156">
      <c r="A7" s="3180">
        <v>401</v>
      </c>
      <c r="B7" s="3180" t="s">
        <v>3572</v>
      </c>
      <c r="C7" s="3180" t="s">
        <v>3572</v>
      </c>
      <c r="D7" s="3184" t="s">
        <v>2779</v>
      </c>
      <c r="E7" s="3184" t="s">
        <v>2779</v>
      </c>
      <c r="F7" s="3184" t="s">
        <v>0</v>
      </c>
      <c r="G7" s="3180" t="s">
        <v>3573</v>
      </c>
      <c r="H7" s="3184">
        <v>6089.36</v>
      </c>
      <c r="I7" s="3184">
        <v>5474.29</v>
      </c>
      <c r="J7" s="3185">
        <v>5474.29</v>
      </c>
      <c r="K7" s="3184"/>
      <c r="L7" s="3184">
        <v>2801.8130000000001</v>
      </c>
      <c r="M7" s="3186">
        <v>5118</v>
      </c>
      <c r="N7" s="3187">
        <v>5118.1303876849779</v>
      </c>
      <c r="O7" s="3184" t="s">
        <v>3574</v>
      </c>
      <c r="P7" s="3192">
        <v>44656</v>
      </c>
      <c r="Q7" s="3180" t="s">
        <v>3575</v>
      </c>
      <c r="R7" s="3184" t="s">
        <v>3570</v>
      </c>
      <c r="S7" s="3184">
        <v>2072.59</v>
      </c>
      <c r="T7" s="3190">
        <v>3786.043486917938</v>
      </c>
      <c r="U7" s="3184"/>
      <c r="V7" s="3191">
        <v>1.3518414158130647</v>
      </c>
      <c r="W7" s="3184" t="s">
        <v>3571</v>
      </c>
    </row>
    <row r="8" spans="1:23" ht="72">
      <c r="A8" s="3180">
        <v>443</v>
      </c>
      <c r="B8" s="3180" t="s">
        <v>3576</v>
      </c>
      <c r="C8" s="3180" t="s">
        <v>3577</v>
      </c>
      <c r="D8" s="3180" t="s">
        <v>2774</v>
      </c>
      <c r="E8" s="3180" t="s">
        <v>2774</v>
      </c>
      <c r="F8" s="3180" t="s">
        <v>3578</v>
      </c>
      <c r="G8" s="3180" t="s">
        <v>460</v>
      </c>
      <c r="H8" s="3180"/>
      <c r="I8" s="3180">
        <v>3972.93</v>
      </c>
      <c r="J8" s="3181">
        <v>2983.89</v>
      </c>
      <c r="K8" s="3181">
        <v>989.04</v>
      </c>
      <c r="L8" s="3180">
        <v>15693</v>
      </c>
      <c r="M8" s="3180">
        <v>39500</v>
      </c>
      <c r="N8" s="3196">
        <v>52592.421302393857</v>
      </c>
      <c r="O8" s="3180" t="s">
        <v>0</v>
      </c>
      <c r="P8" s="3182">
        <v>44659</v>
      </c>
      <c r="Q8" s="3180" t="s">
        <v>3579</v>
      </c>
      <c r="R8" s="3180" t="s">
        <v>3553</v>
      </c>
      <c r="S8" s="3180"/>
      <c r="T8" s="3180"/>
      <c r="U8" s="3180"/>
      <c r="V8" s="3180"/>
      <c r="W8" s="3180"/>
    </row>
    <row r="9" spans="1:23" ht="96">
      <c r="A9" s="3180">
        <v>449</v>
      </c>
      <c r="B9" s="3180" t="s">
        <v>3580</v>
      </c>
      <c r="C9" s="3180" t="s">
        <v>3581</v>
      </c>
      <c r="D9" s="3180" t="s">
        <v>3582</v>
      </c>
      <c r="E9" s="3184" t="s">
        <v>3583</v>
      </c>
      <c r="F9" s="3180" t="s">
        <v>3584</v>
      </c>
      <c r="G9" s="3180" t="s">
        <v>460</v>
      </c>
      <c r="H9" s="3184"/>
      <c r="I9" s="3184">
        <v>3644.4</v>
      </c>
      <c r="J9" s="3185"/>
      <c r="K9" s="3184"/>
      <c r="L9" s="3184">
        <v>4178.9776000000002</v>
      </c>
      <c r="M9" s="3186">
        <v>11467</v>
      </c>
      <c r="N9" s="3187" t="e">
        <v>#DIV/0!</v>
      </c>
      <c r="O9" s="3180" t="s">
        <v>3585</v>
      </c>
      <c r="P9" s="3192">
        <v>44744</v>
      </c>
      <c r="Q9" s="3180" t="s">
        <v>3586</v>
      </c>
      <c r="R9" s="3184" t="s">
        <v>3587</v>
      </c>
      <c r="S9" s="3184">
        <v>7462.46</v>
      </c>
      <c r="T9" s="3190">
        <v>20476.511908681812</v>
      </c>
      <c r="U9" s="3184"/>
      <c r="V9" s="3191">
        <v>0.56000000000000005</v>
      </c>
      <c r="W9" s="3180" t="s">
        <v>3571</v>
      </c>
    </row>
    <row r="10" spans="1:23" ht="48">
      <c r="A10" s="3180">
        <v>450</v>
      </c>
      <c r="B10" s="3180" t="s">
        <v>3588</v>
      </c>
      <c r="C10" s="3180" t="s">
        <v>3589</v>
      </c>
      <c r="D10" s="3184" t="s">
        <v>2764</v>
      </c>
      <c r="E10" s="3184" t="s">
        <v>3565</v>
      </c>
      <c r="F10" s="3184" t="s">
        <v>3590</v>
      </c>
      <c r="G10" s="3180" t="s">
        <v>3591</v>
      </c>
      <c r="H10" s="3184"/>
      <c r="I10" s="3184">
        <v>5738.59</v>
      </c>
      <c r="J10" s="3185">
        <v>4782.1583333333338</v>
      </c>
      <c r="K10" s="3185">
        <v>956.43166666666639</v>
      </c>
      <c r="L10" s="3184">
        <v>9259.2099999999991</v>
      </c>
      <c r="M10" s="3186">
        <v>16135</v>
      </c>
      <c r="N10" s="3187">
        <v>19361.989617658692</v>
      </c>
      <c r="O10" s="3184" t="s">
        <v>0</v>
      </c>
      <c r="P10" s="3192">
        <v>44739</v>
      </c>
      <c r="Q10" s="3184" t="s">
        <v>3592</v>
      </c>
      <c r="R10" s="3184" t="s">
        <v>3593</v>
      </c>
      <c r="S10" s="3184"/>
      <c r="T10" s="3190">
        <v>0</v>
      </c>
      <c r="U10" s="3184"/>
      <c r="V10" s="3191" t="e">
        <v>#DIV/0!</v>
      </c>
      <c r="W10" s="3184"/>
    </row>
    <row r="11" spans="1:23" ht="60">
      <c r="A11" s="3180">
        <v>451</v>
      </c>
      <c r="B11" s="3180" t="s">
        <v>3594</v>
      </c>
      <c r="C11" s="3180" t="s">
        <v>3595</v>
      </c>
      <c r="D11" s="3184" t="s">
        <v>2759</v>
      </c>
      <c r="E11" s="3184" t="s">
        <v>3583</v>
      </c>
      <c r="F11" s="3184" t="s">
        <v>3596</v>
      </c>
      <c r="G11" s="3180" t="s">
        <v>3597</v>
      </c>
      <c r="H11" s="3184"/>
      <c r="I11" s="3184">
        <v>2488.9499999999998</v>
      </c>
      <c r="J11" s="3185">
        <v>1989.8799999999999</v>
      </c>
      <c r="K11" s="3184">
        <v>499.07</v>
      </c>
      <c r="L11" s="3184">
        <v>5033.47</v>
      </c>
      <c r="M11" s="3186">
        <v>20223</v>
      </c>
      <c r="N11" s="3187">
        <v>25295.344442880982</v>
      </c>
      <c r="O11" s="3184" t="s">
        <v>0</v>
      </c>
      <c r="P11" s="3192">
        <v>44740</v>
      </c>
      <c r="Q11" s="3184" t="s">
        <v>3598</v>
      </c>
      <c r="R11" s="3184" t="s">
        <v>3553</v>
      </c>
      <c r="S11" s="3184"/>
      <c r="T11" s="3190">
        <v>0</v>
      </c>
      <c r="U11" s="3184"/>
      <c r="V11" s="3191" t="e">
        <v>#DIV/0!</v>
      </c>
      <c r="W11" s="3184"/>
    </row>
    <row r="12" spans="1:23" ht="60">
      <c r="A12" s="3180">
        <v>456</v>
      </c>
      <c r="B12" s="3180" t="s">
        <v>3599</v>
      </c>
      <c r="C12" s="3180" t="s">
        <v>3600</v>
      </c>
      <c r="D12" s="3184" t="s">
        <v>2739</v>
      </c>
      <c r="E12" s="3184" t="s">
        <v>3601</v>
      </c>
      <c r="F12" s="3184" t="s">
        <v>3574</v>
      </c>
      <c r="G12" s="3180" t="s">
        <v>3602</v>
      </c>
      <c r="H12" s="3184">
        <v>179.4</v>
      </c>
      <c r="I12" s="3184">
        <v>1228.5899999999999</v>
      </c>
      <c r="J12" s="3185">
        <v>1228.5899999999999</v>
      </c>
      <c r="K12" s="3184"/>
      <c r="L12" s="3184">
        <v>2440</v>
      </c>
      <c r="M12" s="3186">
        <v>19860</v>
      </c>
      <c r="N12" s="3187">
        <v>19860.164904484005</v>
      </c>
      <c r="O12" s="3184" t="s">
        <v>0</v>
      </c>
      <c r="P12" s="3192">
        <v>44571</v>
      </c>
      <c r="Q12" s="3180" t="s">
        <v>3603</v>
      </c>
      <c r="R12" s="3184" t="s">
        <v>3587</v>
      </c>
      <c r="S12" s="3184">
        <v>4431.55</v>
      </c>
      <c r="T12" s="3190">
        <v>36070.210566584465</v>
      </c>
      <c r="U12" s="3184"/>
      <c r="V12" s="3191">
        <v>0.55059742076700025</v>
      </c>
      <c r="W12" s="3184" t="s">
        <v>3571</v>
      </c>
    </row>
    <row r="13" spans="1:23" ht="132">
      <c r="A13" s="3180">
        <v>463</v>
      </c>
      <c r="B13" s="3180" t="s">
        <v>3604</v>
      </c>
      <c r="C13" s="3180" t="s">
        <v>3605</v>
      </c>
      <c r="D13" s="3184" t="s">
        <v>2732</v>
      </c>
      <c r="E13" s="3184" t="s">
        <v>3606</v>
      </c>
      <c r="F13" s="3184" t="s">
        <v>3607</v>
      </c>
      <c r="G13" s="3180" t="s">
        <v>3608</v>
      </c>
      <c r="H13" s="3184"/>
      <c r="I13" s="3184">
        <v>61606.26</v>
      </c>
      <c r="J13" s="3185">
        <v>42096.020000000004</v>
      </c>
      <c r="K13" s="3184">
        <v>19510.239999999998</v>
      </c>
      <c r="L13" s="3184">
        <v>175005.77</v>
      </c>
      <c r="M13" s="3186">
        <v>28407</v>
      </c>
      <c r="N13" s="3187">
        <v>41572.99668709773</v>
      </c>
      <c r="O13" s="3184" t="s">
        <v>3609</v>
      </c>
      <c r="P13" s="3192">
        <v>44771</v>
      </c>
      <c r="Q13" s="3180" t="s">
        <v>3610</v>
      </c>
      <c r="R13" s="3184" t="s">
        <v>3560</v>
      </c>
      <c r="S13" s="3184"/>
      <c r="T13" s="3190">
        <v>0</v>
      </c>
      <c r="U13" s="3184"/>
      <c r="V13" s="3191" t="e">
        <v>#DIV/0!</v>
      </c>
      <c r="W13" s="3184"/>
    </row>
    <row r="14" spans="1:23" ht="276">
      <c r="A14" s="3180">
        <v>467</v>
      </c>
      <c r="B14" s="3180" t="s">
        <v>3611</v>
      </c>
      <c r="C14" s="3180" t="s">
        <v>3612</v>
      </c>
      <c r="D14" s="3184" t="s">
        <v>2732</v>
      </c>
      <c r="E14" s="3184" t="s">
        <v>3613</v>
      </c>
      <c r="F14" s="3180" t="s">
        <v>3614</v>
      </c>
      <c r="G14" s="3180" t="s">
        <v>3615</v>
      </c>
      <c r="H14" s="3184">
        <v>19305.400000000001</v>
      </c>
      <c r="I14" s="3184">
        <v>14584.58</v>
      </c>
      <c r="J14" s="3185">
        <v>10919.396666666667</v>
      </c>
      <c r="K14" s="3197">
        <v>3665.1833333333329</v>
      </c>
      <c r="L14" s="3184">
        <v>29363.146400000001</v>
      </c>
      <c r="M14" s="3186">
        <v>20133</v>
      </c>
      <c r="N14" s="3187">
        <v>26890.813930806311</v>
      </c>
      <c r="O14" s="3180" t="s">
        <v>3616</v>
      </c>
      <c r="P14" s="3192">
        <v>44779</v>
      </c>
      <c r="Q14" s="3180" t="s">
        <v>3617</v>
      </c>
      <c r="R14" s="3184">
        <v>2004</v>
      </c>
      <c r="S14" s="3184">
        <v>52434.19</v>
      </c>
      <c r="T14" s="3190">
        <v>48019.310590725552</v>
      </c>
      <c r="U14" s="3184"/>
      <c r="V14" s="3191">
        <v>0.56000000000000005</v>
      </c>
      <c r="W14" s="3184" t="s">
        <v>3571</v>
      </c>
    </row>
    <row r="15" spans="1:23" ht="72">
      <c r="A15" s="3180">
        <v>473</v>
      </c>
      <c r="B15" s="3180" t="s">
        <v>3618</v>
      </c>
      <c r="C15" s="3180" t="s">
        <v>3541</v>
      </c>
      <c r="D15" s="3180" t="s">
        <v>2759</v>
      </c>
      <c r="E15" s="3184" t="s">
        <v>3542</v>
      </c>
      <c r="F15" s="3184" t="s">
        <v>3543</v>
      </c>
      <c r="G15" s="3180" t="s">
        <v>3544</v>
      </c>
      <c r="H15" s="3184"/>
      <c r="I15" s="3184">
        <v>3382.65</v>
      </c>
      <c r="J15" s="3185">
        <v>2706.12</v>
      </c>
      <c r="K15" s="3185">
        <v>676.5300000000002</v>
      </c>
      <c r="L15" s="3184">
        <v>5151.78</v>
      </c>
      <c r="M15" s="3186">
        <v>15230</v>
      </c>
      <c r="N15" s="3187">
        <v>19037.514966076891</v>
      </c>
      <c r="O15" s="3184" t="s">
        <v>0</v>
      </c>
      <c r="P15" s="3188">
        <v>44781</v>
      </c>
      <c r="Q15" s="3189" t="s">
        <v>3619</v>
      </c>
      <c r="R15" s="3184" t="s">
        <v>3546</v>
      </c>
      <c r="S15" s="3184"/>
      <c r="T15" s="3190">
        <v>0</v>
      </c>
      <c r="U15" s="3184"/>
      <c r="V15" s="3191" t="e">
        <v>#DIV/0!</v>
      </c>
      <c r="W15" s="3184"/>
    </row>
    <row r="16" spans="1:23" ht="48">
      <c r="A16" s="3180">
        <v>479</v>
      </c>
      <c r="B16" s="3180" t="s">
        <v>3620</v>
      </c>
      <c r="C16" s="3180" t="s">
        <v>3621</v>
      </c>
      <c r="D16" s="3180" t="s">
        <v>2719</v>
      </c>
      <c r="E16" s="3184" t="s">
        <v>3549</v>
      </c>
      <c r="F16" s="3180" t="s">
        <v>3550</v>
      </c>
      <c r="G16" s="3180" t="s">
        <v>3551</v>
      </c>
      <c r="H16" s="3184"/>
      <c r="I16" s="3185">
        <v>28179.63</v>
      </c>
      <c r="J16" s="3185">
        <v>22543.704000000002</v>
      </c>
      <c r="K16" s="3185">
        <v>5635.9259999999995</v>
      </c>
      <c r="L16" s="3184">
        <v>59177.22</v>
      </c>
      <c r="M16" s="3180">
        <v>21000</v>
      </c>
      <c r="N16" s="3187">
        <v>26249.998669251512</v>
      </c>
      <c r="O16" s="3180" t="s">
        <v>3622</v>
      </c>
      <c r="P16" s="3192">
        <v>44795</v>
      </c>
      <c r="Q16" s="3193" t="s">
        <v>3623</v>
      </c>
      <c r="R16" s="3194" t="s">
        <v>3587</v>
      </c>
      <c r="S16" s="3184"/>
      <c r="T16" s="3184"/>
      <c r="U16" s="3198"/>
      <c r="V16" s="3184"/>
      <c r="W16" s="3184" t="s">
        <v>3624</v>
      </c>
    </row>
    <row r="17" spans="1:23" ht="192">
      <c r="A17" s="3180">
        <v>504</v>
      </c>
      <c r="B17" s="3180" t="s">
        <v>3625</v>
      </c>
      <c r="C17" s="3180" t="s">
        <v>3626</v>
      </c>
      <c r="D17" s="3184" t="s">
        <v>2744</v>
      </c>
      <c r="E17" s="3184" t="s">
        <v>3627</v>
      </c>
      <c r="F17" s="3184" t="s">
        <v>3557</v>
      </c>
      <c r="G17" s="3180" t="s">
        <v>460</v>
      </c>
      <c r="H17" s="3184">
        <v>23400</v>
      </c>
      <c r="I17" s="3184">
        <v>135500</v>
      </c>
      <c r="J17" s="3185">
        <v>93500</v>
      </c>
      <c r="K17" s="3185">
        <v>42000</v>
      </c>
      <c r="L17" s="3184">
        <v>452000</v>
      </c>
      <c r="M17" s="3186">
        <v>33358</v>
      </c>
      <c r="N17" s="3187">
        <v>48342.245989304807</v>
      </c>
      <c r="O17" s="3184" t="s">
        <v>3628</v>
      </c>
      <c r="P17" s="3192">
        <v>44891</v>
      </c>
      <c r="Q17" s="3180" t="s">
        <v>3629</v>
      </c>
      <c r="R17" s="3184" t="s">
        <v>3630</v>
      </c>
      <c r="S17" s="3184"/>
      <c r="T17" s="3190">
        <v>0</v>
      </c>
      <c r="U17" s="3184"/>
      <c r="V17" s="3191" t="e">
        <v>#DIV/0!</v>
      </c>
      <c r="W17" s="3184" t="s">
        <v>3631</v>
      </c>
    </row>
    <row r="18" spans="1:23" ht="60">
      <c r="A18" s="3180">
        <v>505</v>
      </c>
      <c r="B18" s="3180" t="s">
        <v>3632</v>
      </c>
      <c r="C18" s="3180" t="s">
        <v>3633</v>
      </c>
      <c r="D18" s="3184" t="s">
        <v>2739</v>
      </c>
      <c r="E18" s="3184" t="s">
        <v>3601</v>
      </c>
      <c r="F18" s="3184" t="s">
        <v>3566</v>
      </c>
      <c r="G18" s="3180" t="s">
        <v>3602</v>
      </c>
      <c r="H18" s="3184"/>
      <c r="I18" s="3184">
        <v>1187.81</v>
      </c>
      <c r="J18" s="3185">
        <v>1187.71</v>
      </c>
      <c r="K18" s="3184"/>
      <c r="L18" s="3184">
        <v>2154</v>
      </c>
      <c r="M18" s="3186">
        <v>18134</v>
      </c>
      <c r="N18" s="3187">
        <v>18135.740205942529</v>
      </c>
      <c r="O18" s="3180" t="s">
        <v>3634</v>
      </c>
      <c r="P18" s="3192">
        <v>44919</v>
      </c>
      <c r="Q18" s="3180" t="s">
        <v>3603</v>
      </c>
      <c r="R18" s="3184" t="s">
        <v>3635</v>
      </c>
      <c r="S18" s="3184">
        <v>3361.92</v>
      </c>
      <c r="T18" s="3190">
        <v>28305.899588283333</v>
      </c>
      <c r="U18" s="3184"/>
      <c r="V18" s="3191">
        <v>0.64070531125071384</v>
      </c>
      <c r="W18" s="3184" t="s">
        <v>3571</v>
      </c>
    </row>
    <row r="19" spans="1:23" ht="97.8">
      <c r="A19" s="3180">
        <v>507</v>
      </c>
      <c r="B19" s="3180" t="s">
        <v>3636</v>
      </c>
      <c r="C19" s="3180" t="s">
        <v>3637</v>
      </c>
      <c r="D19" s="3184" t="s">
        <v>2744</v>
      </c>
      <c r="E19" s="3184" t="s">
        <v>3638</v>
      </c>
      <c r="F19" s="3184" t="s">
        <v>3639</v>
      </c>
      <c r="G19" s="3180" t="s">
        <v>460</v>
      </c>
      <c r="H19" s="3184"/>
      <c r="I19" s="3184">
        <v>8671.6</v>
      </c>
      <c r="J19" s="3185">
        <v>8671.6</v>
      </c>
      <c r="K19" s="3184"/>
      <c r="L19" s="3184">
        <v>29483.439999999999</v>
      </c>
      <c r="M19" s="3186">
        <v>34000</v>
      </c>
      <c r="N19" s="3187">
        <v>34000</v>
      </c>
      <c r="O19" s="3184" t="s">
        <v>0</v>
      </c>
      <c r="P19" s="3192">
        <v>44917</v>
      </c>
      <c r="Q19" s="3184" t="s">
        <v>3640</v>
      </c>
      <c r="R19" s="3184" t="s">
        <v>3641</v>
      </c>
      <c r="S19" s="3184"/>
      <c r="T19" s="3190">
        <v>0</v>
      </c>
      <c r="U19" s="3184"/>
      <c r="V19" s="3191" t="e">
        <v>#DIV/0!</v>
      </c>
      <c r="W19" s="3184" t="s">
        <v>3642</v>
      </c>
    </row>
    <row r="20" spans="1:23" ht="60">
      <c r="A20" s="3180">
        <v>508</v>
      </c>
      <c r="B20" s="3184" t="s">
        <v>3643</v>
      </c>
      <c r="C20" s="3180" t="s">
        <v>3644</v>
      </c>
      <c r="D20" s="3184" t="s">
        <v>2732</v>
      </c>
      <c r="E20" s="3184" t="s">
        <v>3645</v>
      </c>
      <c r="F20" s="3184" t="s">
        <v>0</v>
      </c>
      <c r="G20" s="3180" t="s">
        <v>3646</v>
      </c>
      <c r="H20" s="3184"/>
      <c r="I20" s="3184">
        <v>470.01</v>
      </c>
      <c r="J20" s="3185">
        <v>352.50749999999999</v>
      </c>
      <c r="K20" s="3185">
        <v>117.5025</v>
      </c>
      <c r="L20" s="3184">
        <v>1921</v>
      </c>
      <c r="M20" s="3186">
        <v>40871</v>
      </c>
      <c r="N20" s="3187">
        <v>54495.294426359724</v>
      </c>
      <c r="O20" s="3184" t="s">
        <v>3574</v>
      </c>
      <c r="P20" s="3192">
        <v>44930</v>
      </c>
      <c r="Q20" s="3184" t="s">
        <v>3647</v>
      </c>
      <c r="R20" s="3184" t="s">
        <v>3587</v>
      </c>
      <c r="S20" s="3184">
        <v>1500</v>
      </c>
      <c r="T20" s="3190">
        <v>42552.28612157188</v>
      </c>
      <c r="U20" s="3184"/>
      <c r="V20" s="3191">
        <v>1.2806666666666666</v>
      </c>
      <c r="W20" s="3184" t="s">
        <v>3571</v>
      </c>
    </row>
    <row r="21" spans="1:23" ht="72">
      <c r="A21" s="3180">
        <v>511</v>
      </c>
      <c r="B21" s="3180" t="s">
        <v>3648</v>
      </c>
      <c r="C21" s="3184" t="s">
        <v>3649</v>
      </c>
      <c r="D21" s="3184" t="s">
        <v>2774</v>
      </c>
      <c r="E21" s="3180" t="s">
        <v>3650</v>
      </c>
      <c r="F21" s="3184" t="s">
        <v>3651</v>
      </c>
      <c r="G21" s="3180" t="s">
        <v>3652</v>
      </c>
      <c r="H21" s="3184"/>
      <c r="I21" s="3184">
        <v>36279.259999999995</v>
      </c>
      <c r="J21" s="3185">
        <v>36279.259999999995</v>
      </c>
      <c r="K21" s="3184"/>
      <c r="L21" s="3184">
        <v>58046.82</v>
      </c>
      <c r="M21" s="3186">
        <v>16000</v>
      </c>
      <c r="N21" s="3187">
        <v>16000.001102558323</v>
      </c>
      <c r="O21" s="3184" t="s">
        <v>3653</v>
      </c>
      <c r="P21" s="3188">
        <v>44866</v>
      </c>
      <c r="Q21" s="3184" t="s">
        <v>3654</v>
      </c>
      <c r="R21" s="3184" t="s">
        <v>3560</v>
      </c>
      <c r="S21" s="3184"/>
      <c r="T21" s="3190">
        <v>0</v>
      </c>
      <c r="U21" s="3184"/>
      <c r="V21" s="3191" t="e">
        <v>#DIV/0!</v>
      </c>
      <c r="W21" s="3184" t="s">
        <v>3655</v>
      </c>
    </row>
    <row r="22" spans="1:23" ht="84">
      <c r="A22" s="3180">
        <v>524</v>
      </c>
      <c r="B22" s="3199" t="s">
        <v>3656</v>
      </c>
      <c r="C22" s="3199" t="s">
        <v>3657</v>
      </c>
      <c r="D22" s="3199" t="s">
        <v>2732</v>
      </c>
      <c r="E22" s="3199" t="s">
        <v>3606</v>
      </c>
      <c r="F22" s="3199" t="s">
        <v>3658</v>
      </c>
      <c r="G22" s="3199" t="s">
        <v>3659</v>
      </c>
      <c r="H22" s="3199"/>
      <c r="I22" s="3199">
        <v>4831.22</v>
      </c>
      <c r="J22" s="3199">
        <v>4177.5700000000006</v>
      </c>
      <c r="K22" s="3199">
        <v>653.65</v>
      </c>
      <c r="L22" s="3199">
        <v>17086.28</v>
      </c>
      <c r="M22" s="3199">
        <v>35366</v>
      </c>
      <c r="N22" s="3199">
        <v>40900</v>
      </c>
      <c r="O22" s="3199" t="s">
        <v>0</v>
      </c>
      <c r="P22" s="3200">
        <v>44994</v>
      </c>
      <c r="Q22" s="3199" t="s">
        <v>3660</v>
      </c>
      <c r="R22" s="3199" t="s">
        <v>3661</v>
      </c>
      <c r="S22" s="3199"/>
      <c r="T22" s="3190"/>
      <c r="U22" s="3199"/>
      <c r="V22" s="3191"/>
      <c r="W22" s="3184" t="s">
        <v>3624</v>
      </c>
    </row>
    <row r="23" spans="1:23" ht="120">
      <c r="A23" s="3180">
        <v>526</v>
      </c>
      <c r="B23" s="3180" t="s">
        <v>3662</v>
      </c>
      <c r="C23" s="3180" t="s">
        <v>3663</v>
      </c>
      <c r="D23" s="3184" t="s">
        <v>2744</v>
      </c>
      <c r="E23" s="3184" t="s">
        <v>3638</v>
      </c>
      <c r="F23" s="3184" t="s">
        <v>3639</v>
      </c>
      <c r="G23" s="3180" t="s">
        <v>460</v>
      </c>
      <c r="H23" s="3184"/>
      <c r="I23" s="3184">
        <v>35216.400000000001</v>
      </c>
      <c r="J23" s="3185">
        <v>35216.400000000001</v>
      </c>
      <c r="K23" s="3184"/>
      <c r="L23" s="3184">
        <v>119735.76</v>
      </c>
      <c r="M23" s="3186">
        <v>34000</v>
      </c>
      <c r="N23" s="3187">
        <v>34000</v>
      </c>
      <c r="O23" s="3184" t="s">
        <v>0</v>
      </c>
      <c r="P23" s="3200">
        <v>44986</v>
      </c>
      <c r="Q23" s="3184" t="s">
        <v>3664</v>
      </c>
      <c r="R23" s="3184" t="s">
        <v>3641</v>
      </c>
      <c r="S23" s="3184"/>
      <c r="T23" s="3190">
        <v>0</v>
      </c>
      <c r="U23" s="3184"/>
      <c r="V23" s="3191" t="e">
        <v>#DIV/0!</v>
      </c>
      <c r="W23" s="3184" t="s">
        <v>3642</v>
      </c>
    </row>
    <row r="24" spans="1:23" ht="48">
      <c r="A24" s="3180">
        <v>543</v>
      </c>
      <c r="B24" s="3180" t="s">
        <v>3665</v>
      </c>
      <c r="C24" s="3184" t="s">
        <v>3666</v>
      </c>
      <c r="D24" s="3184" t="s">
        <v>2719</v>
      </c>
      <c r="E24" s="3184" t="s">
        <v>3667</v>
      </c>
      <c r="F24" s="3184" t="s">
        <v>3550</v>
      </c>
      <c r="G24" s="3180" t="s">
        <v>3668</v>
      </c>
      <c r="H24" s="3184"/>
      <c r="I24" s="3184">
        <v>16577.27</v>
      </c>
      <c r="J24" s="3185">
        <v>16577.27</v>
      </c>
      <c r="K24" s="3184"/>
      <c r="L24" s="3184">
        <v>22911.439999999999</v>
      </c>
      <c r="M24" s="3186">
        <v>13821</v>
      </c>
      <c r="N24" s="3187">
        <v>13820.997064052162</v>
      </c>
      <c r="O24" s="3184" t="s">
        <v>3669</v>
      </c>
      <c r="P24" s="3200">
        <v>45078</v>
      </c>
      <c r="Q24" s="3184" t="s">
        <v>3664</v>
      </c>
      <c r="R24" s="3184" t="s">
        <v>3670</v>
      </c>
      <c r="S24" s="3184"/>
      <c r="T24" s="3190">
        <v>0</v>
      </c>
      <c r="U24" s="3184"/>
      <c r="V24" s="3191" t="e">
        <v>#DIV/0!</v>
      </c>
      <c r="W24" s="3184" t="s">
        <v>3624</v>
      </c>
    </row>
    <row r="25" spans="1:23" ht="144">
      <c r="A25" s="3180">
        <v>553</v>
      </c>
      <c r="B25" s="3184" t="s">
        <v>3671</v>
      </c>
      <c r="C25" s="3180" t="s">
        <v>3672</v>
      </c>
      <c r="D25" s="3184" t="s">
        <v>2739</v>
      </c>
      <c r="E25" s="3180" t="s">
        <v>3601</v>
      </c>
      <c r="F25" s="3180" t="s">
        <v>3673</v>
      </c>
      <c r="G25" s="3180" t="s">
        <v>3674</v>
      </c>
      <c r="H25" s="3184"/>
      <c r="I25" s="3184">
        <v>2230.1799999999998</v>
      </c>
      <c r="J25" s="3185">
        <v>2230.1799999999998</v>
      </c>
      <c r="K25" s="3184"/>
      <c r="L25" s="3184">
        <v>4231.7056000000002</v>
      </c>
      <c r="M25" s="3186">
        <v>18975</v>
      </c>
      <c r="N25" s="3187">
        <v>18974.726703674147</v>
      </c>
      <c r="O25" s="3180" t="s">
        <v>3675</v>
      </c>
      <c r="P25" s="3192">
        <v>45115</v>
      </c>
      <c r="Q25" s="3180" t="s">
        <v>3676</v>
      </c>
      <c r="R25" s="3184" t="s">
        <v>3677</v>
      </c>
      <c r="S25" s="3184">
        <v>6612.04</v>
      </c>
      <c r="T25" s="3190">
        <v>29648.010474490849</v>
      </c>
      <c r="U25" s="3184"/>
      <c r="V25" s="3191">
        <v>0.64</v>
      </c>
      <c r="W25" s="3184" t="s">
        <v>3571</v>
      </c>
    </row>
    <row r="26" spans="1:23" ht="72">
      <c r="A26" s="3180">
        <v>555</v>
      </c>
      <c r="B26" s="3184" t="s">
        <v>3678</v>
      </c>
      <c r="C26" s="3180" t="s">
        <v>3679</v>
      </c>
      <c r="D26" s="3184" t="s">
        <v>2739</v>
      </c>
      <c r="E26" s="3180" t="s">
        <v>3601</v>
      </c>
      <c r="F26" s="3180" t="s">
        <v>3680</v>
      </c>
      <c r="G26" s="3180" t="s">
        <v>3674</v>
      </c>
      <c r="H26" s="3184"/>
      <c r="I26" s="3184">
        <v>1187.81</v>
      </c>
      <c r="J26" s="3185">
        <v>1187.81</v>
      </c>
      <c r="K26" s="3184"/>
      <c r="L26" s="3184">
        <v>2550</v>
      </c>
      <c r="M26" s="3186">
        <v>21468</v>
      </c>
      <c r="N26" s="3187">
        <v>21468.079911770405</v>
      </c>
      <c r="O26" s="3180" t="s">
        <v>3681</v>
      </c>
      <c r="P26" s="3192">
        <v>45126</v>
      </c>
      <c r="Q26" s="3180" t="s">
        <v>3682</v>
      </c>
      <c r="R26" s="3184" t="s">
        <v>3683</v>
      </c>
      <c r="S26" s="3184">
        <v>3590.04</v>
      </c>
      <c r="T26" s="3190">
        <v>30224.025728020475</v>
      </c>
      <c r="U26" s="3184"/>
      <c r="V26" s="3191">
        <v>0.71029849249590538</v>
      </c>
      <c r="W26" s="3184" t="s">
        <v>3571</v>
      </c>
    </row>
    <row r="27" spans="1:23" ht="84">
      <c r="A27" s="3180">
        <v>559</v>
      </c>
      <c r="B27" s="3180" t="s">
        <v>3684</v>
      </c>
      <c r="C27" s="3180" t="s">
        <v>3685</v>
      </c>
      <c r="D27" s="3180" t="s">
        <v>3582</v>
      </c>
      <c r="E27" s="3184" t="s">
        <v>3583</v>
      </c>
      <c r="F27" s="3180" t="s">
        <v>3686</v>
      </c>
      <c r="G27" s="3180" t="s">
        <v>3551</v>
      </c>
      <c r="H27" s="3184"/>
      <c r="I27" s="3184">
        <v>2079.25</v>
      </c>
      <c r="J27" s="3185"/>
      <c r="K27" s="3184"/>
      <c r="L27" s="3184">
        <v>3229.33</v>
      </c>
      <c r="M27" s="3186">
        <v>15531</v>
      </c>
      <c r="N27" s="3187" t="e">
        <v>#DIV/0!</v>
      </c>
      <c r="O27" s="3180" t="s">
        <v>3687</v>
      </c>
      <c r="P27" s="3192">
        <v>45146</v>
      </c>
      <c r="Q27" s="3180" t="s">
        <v>3688</v>
      </c>
      <c r="R27" s="3184" t="s">
        <v>3587</v>
      </c>
      <c r="S27" s="3184">
        <v>3799.21</v>
      </c>
      <c r="T27" s="3190">
        <v>18272.021161476496</v>
      </c>
      <c r="U27" s="3184"/>
      <c r="V27" s="3191">
        <v>0.85000039481892287</v>
      </c>
      <c r="W27" s="3180" t="s">
        <v>3571</v>
      </c>
    </row>
    <row r="28" spans="1:23" ht="120">
      <c r="A28" s="3180">
        <v>564</v>
      </c>
      <c r="B28" s="3180" t="s">
        <v>3689</v>
      </c>
      <c r="C28" s="3180" t="s">
        <v>3690</v>
      </c>
      <c r="D28" s="3184" t="s">
        <v>2744</v>
      </c>
      <c r="E28" s="3184" t="s">
        <v>3638</v>
      </c>
      <c r="F28" s="3184" t="s">
        <v>3639</v>
      </c>
      <c r="G28" s="3180" t="s">
        <v>460</v>
      </c>
      <c r="H28" s="3184"/>
      <c r="I28" s="3184">
        <v>30899.29</v>
      </c>
      <c r="J28" s="3185">
        <v>30899.29</v>
      </c>
      <c r="K28" s="3184"/>
      <c r="L28" s="3184">
        <v>105057.59</v>
      </c>
      <c r="M28" s="3186">
        <v>34000</v>
      </c>
      <c r="N28" s="3187">
        <v>34000.001294528127</v>
      </c>
      <c r="O28" s="3184" t="s">
        <v>0</v>
      </c>
      <c r="P28" s="3200">
        <v>45139</v>
      </c>
      <c r="Q28" s="3184" t="s">
        <v>3691</v>
      </c>
      <c r="R28" s="3184" t="s">
        <v>3641</v>
      </c>
      <c r="S28" s="3184"/>
      <c r="T28" s="3190">
        <v>0</v>
      </c>
      <c r="U28" s="3184"/>
      <c r="V28" s="3191" t="e">
        <v>#DIV/0!</v>
      </c>
      <c r="W28" s="3184" t="s">
        <v>3642</v>
      </c>
    </row>
    <row r="29" spans="1:23" s="3207" customFormat="1" ht="48">
      <c r="A29" s="3201">
        <v>565</v>
      </c>
      <c r="B29" s="3202" t="s">
        <v>3692</v>
      </c>
      <c r="C29" s="3202" t="s">
        <v>3693</v>
      </c>
      <c r="D29" s="3202" t="s">
        <v>2744</v>
      </c>
      <c r="E29" s="3201" t="s">
        <v>3556</v>
      </c>
      <c r="F29" s="3201" t="s">
        <v>3694</v>
      </c>
      <c r="G29" s="3201" t="s">
        <v>3695</v>
      </c>
      <c r="H29" s="3202"/>
      <c r="I29" s="3202">
        <v>20714.13</v>
      </c>
      <c r="J29" s="3203">
        <v>20714.13</v>
      </c>
      <c r="K29" s="3202"/>
      <c r="L29" s="3202">
        <v>93213.58</v>
      </c>
      <c r="M29" s="3201">
        <v>45000</v>
      </c>
      <c r="N29" s="3204">
        <v>44999.997586188751</v>
      </c>
      <c r="O29" s="3201" t="s">
        <v>3696</v>
      </c>
      <c r="P29" s="3205">
        <v>45139</v>
      </c>
      <c r="Q29" s="3201" t="s">
        <v>3697</v>
      </c>
      <c r="R29" s="3202" t="s">
        <v>3641</v>
      </c>
      <c r="S29" s="3202"/>
      <c r="T29" s="3204">
        <v>0</v>
      </c>
      <c r="U29" s="3202"/>
      <c r="V29" s="3206" t="e">
        <v>#DIV/0!</v>
      </c>
      <c r="W29" s="3202" t="s">
        <v>3698</v>
      </c>
    </row>
    <row r="30" spans="1:23" s="3207" customFormat="1" ht="204">
      <c r="A30" s="3201">
        <v>566</v>
      </c>
      <c r="B30" s="3201" t="s">
        <v>3699</v>
      </c>
      <c r="C30" s="3201" t="s">
        <v>3700</v>
      </c>
      <c r="D30" s="3202" t="s">
        <v>2732</v>
      </c>
      <c r="E30" s="3202" t="s">
        <v>3701</v>
      </c>
      <c r="F30" s="3202" t="s">
        <v>3702</v>
      </c>
      <c r="G30" s="3201" t="s">
        <v>3703</v>
      </c>
      <c r="H30" s="3202"/>
      <c r="I30" s="3202">
        <v>8905</v>
      </c>
      <c r="J30" s="3203">
        <v>8905</v>
      </c>
      <c r="K30" s="3202"/>
      <c r="L30" s="3202">
        <v>33839</v>
      </c>
      <c r="M30" s="3201">
        <v>38000</v>
      </c>
      <c r="N30" s="3204">
        <v>38000</v>
      </c>
      <c r="O30" s="3202" t="s">
        <v>3704</v>
      </c>
      <c r="P30" s="3208">
        <v>45041</v>
      </c>
      <c r="Q30" s="3201" t="s">
        <v>3705</v>
      </c>
      <c r="R30" s="3202" t="s">
        <v>3706</v>
      </c>
      <c r="S30" s="3202"/>
      <c r="T30" s="3204">
        <v>0</v>
      </c>
      <c r="U30" s="3202"/>
      <c r="V30" s="3206" t="e">
        <v>#DIV/0!</v>
      </c>
      <c r="W30" s="3202" t="s">
        <v>3631</v>
      </c>
    </row>
    <row r="31" spans="1:23" ht="36">
      <c r="A31" s="3186">
        <v>568</v>
      </c>
      <c r="B31" s="3186" t="s">
        <v>3707</v>
      </c>
      <c r="C31" s="3186" t="s">
        <v>3708</v>
      </c>
      <c r="D31" s="3186" t="s">
        <v>2719</v>
      </c>
      <c r="E31" s="3209" t="s">
        <v>3549</v>
      </c>
      <c r="F31" s="3186" t="s">
        <v>3550</v>
      </c>
      <c r="G31" s="3186" t="s">
        <v>3551</v>
      </c>
      <c r="H31" s="3209"/>
      <c r="I31" s="3210">
        <v>35283.660000000003</v>
      </c>
      <c r="J31" s="3210">
        <v>29000</v>
      </c>
      <c r="K31" s="3210">
        <v>6283.6600000000035</v>
      </c>
      <c r="L31" s="3209">
        <v>90000</v>
      </c>
      <c r="M31" s="3186">
        <v>25508</v>
      </c>
      <c r="N31" s="3209">
        <v>31034</v>
      </c>
      <c r="O31" s="3186" t="s">
        <v>3709</v>
      </c>
      <c r="P31" s="3211" t="s">
        <v>3710</v>
      </c>
      <c r="Q31" s="3212" t="s">
        <v>3711</v>
      </c>
      <c r="R31" s="3213" t="s">
        <v>3641</v>
      </c>
      <c r="S31" s="3209"/>
      <c r="T31" s="3209"/>
      <c r="U31" s="3209"/>
      <c r="V31" s="3209"/>
      <c r="W31" s="3209" t="s">
        <v>3712</v>
      </c>
    </row>
    <row r="32" spans="1:23" ht="120">
      <c r="A32" s="3180">
        <v>571</v>
      </c>
      <c r="B32" s="3180" t="s">
        <v>3713</v>
      </c>
      <c r="C32" s="3180" t="s">
        <v>3714</v>
      </c>
      <c r="D32" s="3184" t="s">
        <v>2744</v>
      </c>
      <c r="E32" s="3184" t="s">
        <v>3638</v>
      </c>
      <c r="F32" s="3184" t="s">
        <v>3639</v>
      </c>
      <c r="G32" s="3180" t="s">
        <v>460</v>
      </c>
      <c r="H32" s="3184"/>
      <c r="I32" s="3184">
        <v>4550.4799999999996</v>
      </c>
      <c r="J32" s="3185">
        <v>4550.4799999999996</v>
      </c>
      <c r="K32" s="3184"/>
      <c r="L32" s="3184">
        <v>15471.632</v>
      </c>
      <c r="M32" s="3186">
        <v>34000</v>
      </c>
      <c r="N32" s="3187">
        <v>34000</v>
      </c>
      <c r="O32" s="3184" t="s">
        <v>0</v>
      </c>
      <c r="P32" s="3200">
        <v>45139</v>
      </c>
      <c r="Q32" s="3184" t="s">
        <v>3691</v>
      </c>
      <c r="R32" s="3184" t="s">
        <v>3641</v>
      </c>
      <c r="S32" s="3184"/>
      <c r="T32" s="3190">
        <v>0</v>
      </c>
      <c r="U32" s="3184"/>
      <c r="V32" s="3191" t="e">
        <v>#DIV/0!</v>
      </c>
      <c r="W32" s="3184" t="s">
        <v>3642</v>
      </c>
    </row>
    <row r="33" spans="1:23" ht="120">
      <c r="A33" s="3180">
        <v>578</v>
      </c>
      <c r="B33" s="3180" t="s">
        <v>3715</v>
      </c>
      <c r="C33" s="3180" t="s">
        <v>3716</v>
      </c>
      <c r="D33" s="3184" t="s">
        <v>2744</v>
      </c>
      <c r="E33" s="3184" t="s">
        <v>3638</v>
      </c>
      <c r="F33" s="3184" t="s">
        <v>3639</v>
      </c>
      <c r="G33" s="3180" t="s">
        <v>460</v>
      </c>
      <c r="H33" s="3184"/>
      <c r="I33" s="3184">
        <v>20425.009999999998</v>
      </c>
      <c r="J33" s="3185">
        <v>20425.009999999998</v>
      </c>
      <c r="K33" s="3184"/>
      <c r="L33" s="3184">
        <v>69445.03</v>
      </c>
      <c r="M33" s="3186">
        <v>34000</v>
      </c>
      <c r="N33" s="3187">
        <v>33999.998041616629</v>
      </c>
      <c r="O33" s="3184" t="s">
        <v>0</v>
      </c>
      <c r="P33" s="3200">
        <v>45184</v>
      </c>
      <c r="Q33" s="3184" t="s">
        <v>3717</v>
      </c>
      <c r="R33" s="3184" t="s">
        <v>3641</v>
      </c>
      <c r="S33" s="3184"/>
      <c r="T33" s="3190">
        <v>0</v>
      </c>
      <c r="U33" s="3184"/>
      <c r="V33" s="3191" t="e">
        <v>#DIV/0!</v>
      </c>
      <c r="W33" s="3184" t="s">
        <v>3642</v>
      </c>
    </row>
    <row r="34" spans="1:23" ht="84">
      <c r="A34" s="3180">
        <v>585</v>
      </c>
      <c r="B34" s="3180" t="s">
        <v>3718</v>
      </c>
      <c r="C34" s="3180" t="s">
        <v>3719</v>
      </c>
      <c r="D34" s="3184" t="s">
        <v>2759</v>
      </c>
      <c r="E34" s="3184" t="s">
        <v>3720</v>
      </c>
      <c r="F34" s="3184" t="s">
        <v>3566</v>
      </c>
      <c r="G34" s="3180" t="s">
        <v>3721</v>
      </c>
      <c r="H34" s="3184"/>
      <c r="I34" s="3184">
        <v>1500.64</v>
      </c>
      <c r="J34" s="3185">
        <v>1203.8800000000001</v>
      </c>
      <c r="K34" s="3184">
        <v>296.76</v>
      </c>
      <c r="L34" s="3184">
        <v>1623.6775</v>
      </c>
      <c r="M34" s="3186">
        <v>10820</v>
      </c>
      <c r="N34" s="3187">
        <v>13487.03774462571</v>
      </c>
      <c r="O34" s="3180" t="s">
        <v>3722</v>
      </c>
      <c r="P34" s="3192">
        <v>45216</v>
      </c>
      <c r="Q34" s="3180" t="s">
        <v>3723</v>
      </c>
      <c r="R34" s="3184" t="s">
        <v>3724</v>
      </c>
      <c r="S34" s="3184">
        <v>2319.5392000000002</v>
      </c>
      <c r="T34" s="3190">
        <v>19267.196066053093</v>
      </c>
      <c r="U34" s="3184"/>
      <c r="V34" s="3191">
        <v>0.70000002586720667</v>
      </c>
      <c r="W34" s="3184" t="s">
        <v>3571</v>
      </c>
    </row>
    <row r="35" spans="1:23" ht="84">
      <c r="A35" s="3180">
        <v>586</v>
      </c>
      <c r="B35" s="3184" t="s">
        <v>3725</v>
      </c>
      <c r="C35" s="3180" t="s">
        <v>3726</v>
      </c>
      <c r="D35" s="3184" t="s">
        <v>2774</v>
      </c>
      <c r="E35" s="3184" t="s">
        <v>3727</v>
      </c>
      <c r="F35" s="3184" t="s">
        <v>3728</v>
      </c>
      <c r="G35" s="3180" t="s">
        <v>460</v>
      </c>
      <c r="H35" s="3184"/>
      <c r="I35" s="3184">
        <v>12280.94</v>
      </c>
      <c r="J35" s="3185">
        <v>12280.94</v>
      </c>
      <c r="K35" s="3184"/>
      <c r="L35" s="3190">
        <v>32716.42</v>
      </c>
      <c r="M35" s="3186">
        <v>26640</v>
      </c>
      <c r="N35" s="3187">
        <v>26639.99661263714</v>
      </c>
      <c r="O35" s="3184" t="s">
        <v>0</v>
      </c>
      <c r="P35" s="3192">
        <v>45217</v>
      </c>
      <c r="Q35" s="3184" t="s">
        <v>3729</v>
      </c>
      <c r="R35" s="3184" t="s">
        <v>3730</v>
      </c>
      <c r="S35" s="3184">
        <v>42983.29</v>
      </c>
      <c r="T35" s="3190">
        <v>35000</v>
      </c>
      <c r="U35" s="3184" t="s">
        <v>3731</v>
      </c>
      <c r="V35" s="3191">
        <v>0.76114276036106121</v>
      </c>
      <c r="W35" s="3184" t="s">
        <v>3642</v>
      </c>
    </row>
    <row r="36" spans="1:23" ht="192">
      <c r="A36" s="3180">
        <v>589</v>
      </c>
      <c r="B36" s="3180" t="s">
        <v>3732</v>
      </c>
      <c r="C36" s="3180" t="s">
        <v>3733</v>
      </c>
      <c r="D36" s="3180" t="s">
        <v>3582</v>
      </c>
      <c r="E36" s="3184" t="s">
        <v>3583</v>
      </c>
      <c r="F36" s="3180" t="s">
        <v>3734</v>
      </c>
      <c r="G36" s="3180" t="s">
        <v>3735</v>
      </c>
      <c r="H36" s="3184"/>
      <c r="I36" s="3184">
        <v>11369.28</v>
      </c>
      <c r="J36" s="3185"/>
      <c r="K36" s="3184"/>
      <c r="L36" s="3214">
        <v>6336.32</v>
      </c>
      <c r="M36" s="3186">
        <v>5573</v>
      </c>
      <c r="N36" s="3187" t="e">
        <v>#DIV/0!</v>
      </c>
      <c r="O36" s="3180" t="s">
        <v>3736</v>
      </c>
      <c r="P36" s="3192">
        <v>45249</v>
      </c>
      <c r="Q36" s="3180" t="s">
        <v>3737</v>
      </c>
      <c r="R36" s="3184" t="s">
        <v>3738</v>
      </c>
      <c r="S36" s="3184">
        <v>11047</v>
      </c>
      <c r="T36" s="3190" t="e">
        <v>#DIV/0!</v>
      </c>
      <c r="U36" s="3184"/>
      <c r="V36" s="3191">
        <v>0.57357834706255084</v>
      </c>
      <c r="W36" s="3184" t="s">
        <v>3571</v>
      </c>
    </row>
    <row r="37" spans="1:23" ht="72">
      <c r="A37" s="3180">
        <v>590</v>
      </c>
      <c r="B37" s="3180" t="s">
        <v>3739</v>
      </c>
      <c r="C37" s="3180" t="s">
        <v>3740</v>
      </c>
      <c r="D37" s="3184" t="s">
        <v>3741</v>
      </c>
      <c r="E37" s="3184" t="s">
        <v>3742</v>
      </c>
      <c r="F37" s="3180" t="s">
        <v>3743</v>
      </c>
      <c r="G37" s="3180" t="s">
        <v>3544</v>
      </c>
      <c r="H37" s="3184"/>
      <c r="I37" s="3184">
        <v>2772.84</v>
      </c>
      <c r="J37" s="3185">
        <v>2772.84</v>
      </c>
      <c r="K37" s="3184"/>
      <c r="L37" s="3184">
        <v>1537.2144000000001</v>
      </c>
      <c r="M37" s="3186">
        <v>5544</v>
      </c>
      <c r="N37" s="3187">
        <v>5543.8265460682915</v>
      </c>
      <c r="O37" s="3180" t="s">
        <v>3744</v>
      </c>
      <c r="P37" s="3192">
        <v>45150</v>
      </c>
      <c r="Q37" s="3184" t="s">
        <v>3745</v>
      </c>
      <c r="R37" s="3184"/>
      <c r="S37" s="3184">
        <v>2347.21</v>
      </c>
      <c r="T37" s="3190">
        <v>8465.0033900261096</v>
      </c>
      <c r="U37" s="3184"/>
      <c r="V37" s="3191">
        <v>0.65491132024829479</v>
      </c>
      <c r="W37" s="3184" t="s">
        <v>3571</v>
      </c>
    </row>
    <row r="38" spans="1:23" ht="84">
      <c r="A38" s="3180">
        <v>591</v>
      </c>
      <c r="B38" s="3180" t="s">
        <v>3746</v>
      </c>
      <c r="C38" s="3184" t="s">
        <v>3649</v>
      </c>
      <c r="D38" s="3184" t="s">
        <v>2774</v>
      </c>
      <c r="E38" s="3180" t="s">
        <v>3650</v>
      </c>
      <c r="F38" s="3184" t="s">
        <v>3651</v>
      </c>
      <c r="G38" s="3180" t="s">
        <v>3652</v>
      </c>
      <c r="H38" s="3184"/>
      <c r="I38" s="3184">
        <v>57617.54</v>
      </c>
      <c r="J38" s="3185">
        <v>51245.68</v>
      </c>
      <c r="K38" s="3185">
        <v>6371.8600000000006</v>
      </c>
      <c r="L38" s="3184">
        <v>81377.37</v>
      </c>
      <c r="M38" s="3186">
        <v>14124</v>
      </c>
      <c r="N38" s="3187">
        <v>15879.849774654176</v>
      </c>
      <c r="O38" s="3184" t="s">
        <v>0</v>
      </c>
      <c r="P38" s="3188">
        <v>45231</v>
      </c>
      <c r="Q38" s="3184" t="s">
        <v>3747</v>
      </c>
      <c r="R38" s="3184" t="s">
        <v>3560</v>
      </c>
      <c r="S38" s="3184"/>
      <c r="T38" s="3190">
        <v>0</v>
      </c>
      <c r="U38" s="3184"/>
      <c r="V38" s="3191" t="e">
        <v>#DIV/0!</v>
      </c>
      <c r="W38" s="3184" t="s">
        <v>3642</v>
      </c>
    </row>
    <row r="39" spans="1:23" ht="144">
      <c r="A39" s="3180">
        <v>596</v>
      </c>
      <c r="B39" s="3180" t="s">
        <v>3748</v>
      </c>
      <c r="C39" s="3180" t="s">
        <v>3749</v>
      </c>
      <c r="D39" s="3184" t="s">
        <v>2732</v>
      </c>
      <c r="E39" s="3184" t="s">
        <v>3750</v>
      </c>
      <c r="F39" s="3184" t="s">
        <v>3751</v>
      </c>
      <c r="G39" s="3180" t="s">
        <v>460</v>
      </c>
      <c r="H39" s="3184"/>
      <c r="I39" s="3184">
        <v>19158.28</v>
      </c>
      <c r="J39" s="3185">
        <v>19158.28</v>
      </c>
      <c r="K39" s="3184"/>
      <c r="L39" s="3184">
        <v>167194.31</v>
      </c>
      <c r="M39" s="3186">
        <v>87270</v>
      </c>
      <c r="N39" s="3187">
        <v>87270.000229665719</v>
      </c>
      <c r="O39" s="3184" t="s">
        <v>0</v>
      </c>
      <c r="P39" s="3188">
        <v>45280</v>
      </c>
      <c r="Q39" s="3180" t="s">
        <v>3752</v>
      </c>
      <c r="R39" s="3184" t="s">
        <v>3753</v>
      </c>
      <c r="S39" s="3184">
        <v>186026.87964172001</v>
      </c>
      <c r="T39" s="3190">
        <v>97099.99000000002</v>
      </c>
      <c r="U39" s="3184"/>
      <c r="V39" s="3191">
        <v>0.89876425558504902</v>
      </c>
      <c r="W39" s="3184" t="s">
        <v>3642</v>
      </c>
    </row>
    <row r="40" spans="1:23" ht="144">
      <c r="A40" s="3180">
        <v>600</v>
      </c>
      <c r="B40" s="3180" t="s">
        <v>3754</v>
      </c>
      <c r="C40" s="3180" t="s">
        <v>3749</v>
      </c>
      <c r="D40" s="3184" t="s">
        <v>2732</v>
      </c>
      <c r="E40" s="3184" t="s">
        <v>3750</v>
      </c>
      <c r="F40" s="3184" t="s">
        <v>3751</v>
      </c>
      <c r="G40" s="3180" t="s">
        <v>460</v>
      </c>
      <c r="H40" s="3184"/>
      <c r="I40" s="3184">
        <v>9290.6</v>
      </c>
      <c r="J40" s="3185">
        <v>9290.6</v>
      </c>
      <c r="K40" s="3184"/>
      <c r="L40" s="3184">
        <v>81079.070000000007</v>
      </c>
      <c r="M40" s="3186">
        <v>87270</v>
      </c>
      <c r="N40" s="3187">
        <v>87270.004090155649</v>
      </c>
      <c r="O40" s="3184" t="s">
        <v>0</v>
      </c>
      <c r="P40" s="3188">
        <v>45300</v>
      </c>
      <c r="Q40" s="3180" t="s">
        <v>3755</v>
      </c>
      <c r="R40" s="3184" t="s">
        <v>3753</v>
      </c>
      <c r="S40" s="3184">
        <v>90211.716709400003</v>
      </c>
      <c r="T40" s="3190">
        <v>97099.99</v>
      </c>
      <c r="U40" s="3184"/>
      <c r="V40" s="3191">
        <v>0.89876429534293101</v>
      </c>
      <c r="W40" s="3184" t="s">
        <v>3642</v>
      </c>
    </row>
    <row r="41" spans="1:23" ht="48">
      <c r="A41" s="3180">
        <v>613</v>
      </c>
      <c r="B41" s="3180" t="s">
        <v>3756</v>
      </c>
      <c r="C41" s="3180" t="s">
        <v>3757</v>
      </c>
      <c r="D41" s="3180" t="s">
        <v>3582</v>
      </c>
      <c r="E41" s="3184" t="s">
        <v>3583</v>
      </c>
      <c r="F41" s="3184" t="s">
        <v>3758</v>
      </c>
      <c r="G41" s="3180" t="s">
        <v>3703</v>
      </c>
      <c r="H41" s="3184"/>
      <c r="I41" s="3184">
        <v>5791.2</v>
      </c>
      <c r="J41" s="3185"/>
      <c r="K41" s="3184"/>
      <c r="L41" s="3184">
        <v>9265.92</v>
      </c>
      <c r="M41" s="3186">
        <v>16000</v>
      </c>
      <c r="N41" s="3187" t="e">
        <v>#DIV/0!</v>
      </c>
      <c r="O41" s="3184" t="s">
        <v>0</v>
      </c>
      <c r="P41" s="3188">
        <v>45292</v>
      </c>
      <c r="Q41" s="3184" t="s">
        <v>3759</v>
      </c>
      <c r="R41" s="3184" t="s">
        <v>3760</v>
      </c>
      <c r="S41" s="3184">
        <v>12740.640000000001</v>
      </c>
      <c r="T41" s="3190" t="e">
        <v>#DIV/0!</v>
      </c>
      <c r="U41" s="3184"/>
      <c r="V41" s="3191">
        <v>0.72727272727272718</v>
      </c>
      <c r="W41" s="3184" t="s">
        <v>3624</v>
      </c>
    </row>
  </sheetData>
  <autoFilter ref="A1:W41" xr:uid="{00000000-0009-0000-0000-000014000000}"/>
  <phoneticPr fontId="13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3515</v>
      </c>
      <c r="D1" s="1270" t="s">
        <v>43</v>
      </c>
      <c r="E1" s="1271" t="s">
        <v>678</v>
      </c>
      <c r="F1" s="998">
        <f ca="1">J53</f>
        <v>35.06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328553</v>
      </c>
      <c r="C2" s="1288" t="s">
        <v>805</v>
      </c>
      <c r="D2" s="1288"/>
      <c r="E2" s="1294"/>
      <c r="F2" s="1295"/>
      <c r="G2" s="2478"/>
      <c r="H2" s="2468"/>
      <c r="I2" s="2468"/>
      <c r="J2" s="2468"/>
      <c r="K2" s="2469"/>
      <c r="L2" s="2468"/>
      <c r="M2" s="2468"/>
    </row>
    <row r="3" spans="1:37" ht="18" customHeight="1" thickBot="1">
      <c r="A3" s="1296" t="s">
        <v>806</v>
      </c>
      <c r="B3" s="1297">
        <f ca="1">IF(ISERROR(B2*10000/F43),0,ROUND(B2*10000/F43,0))</f>
        <v>27658</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20838</v>
      </c>
      <c r="D5" s="1272" t="s">
        <v>693</v>
      </c>
      <c r="E5" s="1007"/>
      <c r="F5" s="1008"/>
      <c r="G5" s="1291"/>
      <c r="H5" s="290">
        <v>1</v>
      </c>
      <c r="I5" s="291" t="s">
        <v>692</v>
      </c>
      <c r="J5" s="1006">
        <f ca="1">J6+J10+J12</f>
        <v>0</v>
      </c>
      <c r="K5" s="1272" t="s">
        <v>693</v>
      </c>
      <c r="L5" s="1007"/>
      <c r="M5" s="1008"/>
    </row>
    <row r="6" spans="1:37" ht="18" customHeight="1">
      <c r="A6" s="1005" t="s">
        <v>398</v>
      </c>
      <c r="B6" s="3464" t="s">
        <v>694</v>
      </c>
      <c r="C6" s="1010">
        <f ca="1">ROUND(F6*F8*F7*(1-F9)/10000,0)</f>
        <v>20812</v>
      </c>
      <c r="D6" s="146" t="s">
        <v>2107</v>
      </c>
      <c r="E6" s="293" t="s">
        <v>696</v>
      </c>
      <c r="F6" s="294">
        <f ca="1">INDIRECT("'数据-取费表'!u"&amp;$G$1)</f>
        <v>6</v>
      </c>
      <c r="G6" s="1291"/>
      <c r="H6" s="1005" t="s">
        <v>398</v>
      </c>
      <c r="I6" s="3464" t="s">
        <v>694</v>
      </c>
      <c r="J6" s="292">
        <f ca="1">ROUND(M6*M8*M7*(1-M9)/10000,0)</f>
        <v>0</v>
      </c>
      <c r="K6" s="146" t="s">
        <v>2106</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118791.89</v>
      </c>
      <c r="G7" s="1291"/>
      <c r="H7" s="295"/>
      <c r="I7" s="3465"/>
      <c r="J7" s="297"/>
      <c r="K7" s="298"/>
      <c r="L7" s="293" t="s">
        <v>697</v>
      </c>
      <c r="M7" s="294">
        <f ca="1">F7</f>
        <v>118791.89</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0.2</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26</v>
      </c>
      <c r="D10" s="149" t="s">
        <v>2115</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90694</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71275</v>
      </c>
      <c r="D14" s="1256" t="s">
        <v>708</v>
      </c>
      <c r="E14" s="1254"/>
      <c r="F14" s="310"/>
      <c r="G14" s="1291"/>
      <c r="H14" s="927" t="s">
        <v>398</v>
      </c>
      <c r="I14" s="293" t="s">
        <v>709</v>
      </c>
      <c r="J14" s="21">
        <f ca="1">C29</f>
        <v>113368</v>
      </c>
      <c r="K14" s="12"/>
      <c r="L14" s="758"/>
      <c r="M14" s="759"/>
    </row>
    <row r="15" spans="1:37" s="1303" customFormat="1" ht="18" customHeight="1" thickBot="1">
      <c r="A15" s="927" t="s">
        <v>399</v>
      </c>
      <c r="B15" s="293" t="s">
        <v>710</v>
      </c>
      <c r="C15" s="21">
        <f ca="1">ROUND(C14*F15,0)</f>
        <v>3564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607</v>
      </c>
      <c r="K16" s="1023" t="s">
        <v>715</v>
      </c>
      <c r="L16" s="1024"/>
      <c r="M16" s="1008"/>
    </row>
    <row r="17" spans="1:37" s="1303" customFormat="1" ht="18" customHeight="1">
      <c r="A17" s="927" t="s">
        <v>681</v>
      </c>
      <c r="B17" s="293" t="s">
        <v>716</v>
      </c>
      <c r="C17" s="21">
        <f ca="1">ROUND(F17*(F43+INDIRECT("'数据-取费表'!S"&amp;$G$1))/10000,0)</f>
        <v>2376</v>
      </c>
      <c r="D17" s="293" t="s">
        <v>717</v>
      </c>
      <c r="E17" s="293" t="s">
        <v>718</v>
      </c>
      <c r="F17" s="23">
        <f>'数据-取费表'!B35</f>
        <v>200</v>
      </c>
      <c r="G17" s="1302"/>
      <c r="H17" s="927" t="s">
        <v>398</v>
      </c>
      <c r="I17" s="293" t="s">
        <v>719</v>
      </c>
      <c r="J17" s="2139">
        <f ca="1">ROUND(IF(AND(项目基本情况!B11="自然人",项目基本情况!B10="北京市"),J6*M17/(1+'数据-取费表'!C42),J18+J19+J20),2)</f>
        <v>39.770000000000003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1426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78641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2359</v>
      </c>
      <c r="D20" s="314" t="s">
        <v>729</v>
      </c>
      <c r="E20" s="293" t="s">
        <v>712</v>
      </c>
      <c r="F20" s="313">
        <f>'数据-取费表'!B37</f>
        <v>0.03</v>
      </c>
      <c r="G20" s="1302"/>
      <c r="H20" s="927" t="s">
        <v>680</v>
      </c>
      <c r="I20" s="146" t="s">
        <v>730</v>
      </c>
      <c r="J20" s="22">
        <f ca="1">ROUND(M20*M21/10000,2)</f>
        <v>39.770000000000003</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33138.379999999997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566.84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3151</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-607</v>
      </c>
      <c r="K25" s="1031" t="s">
        <v>753</v>
      </c>
      <c r="L25" s="1032"/>
      <c r="M25" s="1033"/>
    </row>
    <row r="26" spans="1:37">
      <c r="A26" s="927" t="s">
        <v>397</v>
      </c>
      <c r="B26" s="293" t="s">
        <v>754</v>
      </c>
      <c r="C26" s="21">
        <f ca="1">ROUND((C19+C20)*F26,0)</f>
        <v>20250</v>
      </c>
      <c r="D26" s="314" t="s">
        <v>755</v>
      </c>
      <c r="E26" s="304" t="s">
        <v>756</v>
      </c>
      <c r="F26" s="303">
        <f ca="1">INDIRECT("'数据-取费表'!q"&amp;$G$1)</f>
        <v>0.25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113368</v>
      </c>
      <c r="D29" s="1028"/>
      <c r="E29" s="1026"/>
      <c r="F29" s="1029"/>
      <c r="G29" s="1302"/>
      <c r="H29" s="324" t="s">
        <v>396</v>
      </c>
      <c r="I29" s="325" t="s">
        <v>768</v>
      </c>
      <c r="J29" s="326">
        <f ca="1">ROUND(J26/(1+F40)^F41,0)</f>
        <v>0</v>
      </c>
      <c r="K29" s="327" t="s">
        <v>769</v>
      </c>
      <c r="L29" s="328"/>
      <c r="M29" s="329">
        <f ca="1">INDIRECT("'数据-取费表'!k"&amp;$G$1)</f>
        <v>118791.89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4440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3528.25</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1109.97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2378.5100000000002</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39.770000000000003</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33138.379999999997</v>
      </c>
      <c r="G35" s="1291"/>
      <c r="H35" s="2470"/>
      <c r="I35" s="1304"/>
      <c r="J35" s="1305"/>
      <c r="K35" s="2474"/>
      <c r="L35" s="2473"/>
      <c r="M35" s="2473"/>
    </row>
    <row r="36" spans="1:18" ht="18" customHeight="1">
      <c r="A36" s="1038" t="s">
        <v>402</v>
      </c>
      <c r="B36" s="293" t="s">
        <v>738</v>
      </c>
      <c r="C36" s="21">
        <f ca="1">ROUND(C29*F36,2)</f>
        <v>566.84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136.04</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ROUND(C5*F38,2)</f>
        <v>208.38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16398</v>
      </c>
      <c r="D39" s="1031" t="s">
        <v>773</v>
      </c>
      <c r="E39" s="1032"/>
      <c r="F39" s="1033"/>
      <c r="G39" s="1291"/>
      <c r="H39" s="2473"/>
      <c r="I39" s="1304"/>
      <c r="J39" s="1305"/>
      <c r="K39" s="2471"/>
      <c r="L39" s="2473"/>
      <c r="M39" s="2473"/>
    </row>
    <row r="40" spans="1:18" ht="18" customHeight="1">
      <c r="A40" s="290" t="s">
        <v>395</v>
      </c>
      <c r="B40" s="291" t="s">
        <v>774</v>
      </c>
      <c r="C40" s="292">
        <f ca="1">ROUND(C39*(1-((1+F42)/(1+F40))^F41)/(F40-F42),0)</f>
        <v>324961</v>
      </c>
      <c r="D40" s="315" t="s">
        <v>758</v>
      </c>
      <c r="E40" s="293" t="s">
        <v>759</v>
      </c>
      <c r="F40" s="303">
        <f ca="1">INDIRECT("'数据-取费表'!I"&amp;$G$1)</f>
        <v>5.5E-2</v>
      </c>
      <c r="G40" s="1291"/>
      <c r="H40" s="1365">
        <f ca="1">C39/C6</f>
        <v>0.78791082068037666</v>
      </c>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27355</v>
      </c>
      <c r="D43" s="327" t="s">
        <v>777</v>
      </c>
      <c r="E43" s="328" t="s">
        <v>778</v>
      </c>
      <c r="F43" s="329">
        <f ca="1">INDIRECT("'数据-取费表'!k"&amp;$G$1)</f>
        <v>118791.89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-336403</v>
      </c>
      <c r="D46" s="1312" t="str">
        <f>C2</f>
        <v>万元</v>
      </c>
      <c r="E46" s="1306"/>
      <c r="F46" s="1306"/>
      <c r="I46" s="1313" t="s">
        <v>810</v>
      </c>
      <c r="J46" s="1314"/>
      <c r="K46" s="1315"/>
      <c r="L46" s="1316">
        <f ca="1">IF(M47="住宅",0,IF(L48&gt;J51,L60,J60))</f>
        <v>3592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324961</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3592</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面积清单!C32</f>
        <v>2013</v>
      </c>
      <c r="K49" s="1329" t="s">
        <v>824</v>
      </c>
      <c r="L49" s="1332"/>
      <c r="O49" s="1333" t="s">
        <v>405</v>
      </c>
      <c r="P49" s="1325" t="s">
        <v>825</v>
      </c>
      <c r="Q49" s="1326">
        <f ca="1">C29</f>
        <v>113368</v>
      </c>
      <c r="R49" s="1326" t="s">
        <v>818</v>
      </c>
    </row>
    <row r="50" spans="1:18" s="1291" customFormat="1" ht="13.8" thickBot="1">
      <c r="A50" s="921"/>
      <c r="B50" s="924"/>
      <c r="C50" s="1054"/>
      <c r="D50" s="898"/>
      <c r="E50" s="992" t="s">
        <v>697</v>
      </c>
      <c r="F50" s="993">
        <f ca="1">F7</f>
        <v>118791.89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181665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2" t="s">
        <v>837</v>
      </c>
      <c r="L53" s="3463"/>
      <c r="O53" s="1324" t="s">
        <v>409</v>
      </c>
      <c r="P53" s="1325" t="s">
        <v>838</v>
      </c>
      <c r="Q53" s="1326">
        <f ca="1">Q47+Q48</f>
        <v>328553</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90694</v>
      </c>
      <c r="D56" s="1351"/>
      <c r="E56" s="1352"/>
      <c r="F56" s="1344"/>
      <c r="I56" s="1353" t="s">
        <v>842</v>
      </c>
      <c r="J56" s="1354" t="s">
        <v>3799</v>
      </c>
      <c r="K56" s="1327" t="s">
        <v>843</v>
      </c>
      <c r="L56" s="1330" t="str">
        <f ca="1">IF(L48&lt;J51,"——",L48-J53)</f>
        <v>——</v>
      </c>
      <c r="O56" s="1324" t="s">
        <v>403</v>
      </c>
      <c r="P56" s="1325" t="s">
        <v>817</v>
      </c>
      <c r="Q56" s="1326">
        <f ca="1">C40+J29</f>
        <v>324961</v>
      </c>
      <c r="R56" s="1326" t="s">
        <v>818</v>
      </c>
    </row>
    <row r="57" spans="1:18" s="1291" customFormat="1" ht="24.6" thickBot="1">
      <c r="A57" s="1355"/>
      <c r="B57" s="895" t="s">
        <v>767</v>
      </c>
      <c r="C57" s="229">
        <f ca="1">C29</f>
        <v>113368</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40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45347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3592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39.770000000000003</v>
      </c>
      <c r="D62" s="910" t="s">
        <v>786</v>
      </c>
      <c r="E62" s="895" t="s">
        <v>787</v>
      </c>
      <c r="F62" s="316">
        <f t="shared" si="0"/>
        <v>12</v>
      </c>
      <c r="I62" s="1366" t="s">
        <v>858</v>
      </c>
      <c r="J62" s="609" t="s">
        <v>859</v>
      </c>
      <c r="K62" s="609" t="s">
        <v>860</v>
      </c>
      <c r="L62" s="609" t="s">
        <v>861</v>
      </c>
      <c r="M62" s="1367" t="s">
        <v>862</v>
      </c>
      <c r="O62" s="1324" t="s">
        <v>409</v>
      </c>
      <c r="P62" s="1325" t="s">
        <v>863</v>
      </c>
      <c r="Q62" s="1326">
        <f ca="1">Q56+Q57</f>
        <v>324961</v>
      </c>
      <c r="R62" s="1326" t="s">
        <v>410</v>
      </c>
    </row>
    <row r="63" spans="1:18" s="1291" customFormat="1" ht="13.8" thickBot="1">
      <c r="A63" s="317"/>
      <c r="B63" s="901"/>
      <c r="C63" s="26"/>
      <c r="D63" s="911"/>
      <c r="E63" s="895" t="s">
        <v>788</v>
      </c>
      <c r="F63" s="294">
        <f t="shared" ca="1" si="0"/>
        <v>33138.379999999997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566.84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136.04</v>
      </c>
      <c r="D65" s="909" t="s">
        <v>743</v>
      </c>
      <c r="E65" s="895" t="s">
        <v>744</v>
      </c>
      <c r="F65" s="320">
        <f t="shared" ca="1" si="0"/>
        <v>1.5E-3</v>
      </c>
      <c r="I65" s="1366" t="s">
        <v>867</v>
      </c>
      <c r="J65" s="609">
        <v>40</v>
      </c>
      <c r="K65" s="609">
        <v>30</v>
      </c>
      <c r="L65" s="609">
        <v>50</v>
      </c>
      <c r="M65" s="1368">
        <v>0.02</v>
      </c>
      <c r="O65" s="1324" t="s">
        <v>403</v>
      </c>
      <c r="P65" s="1325" t="s">
        <v>868</v>
      </c>
      <c r="Q65" s="1326">
        <f ca="1">C40+J29</f>
        <v>324961</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-743</v>
      </c>
      <c r="D67" s="908" t="s">
        <v>753</v>
      </c>
      <c r="E67" s="913"/>
      <c r="F67" s="914"/>
      <c r="O67" s="1333" t="s">
        <v>405</v>
      </c>
      <c r="P67" s="1325" t="s">
        <v>850</v>
      </c>
      <c r="Q67" s="1369">
        <f ca="1">L51</f>
        <v>181665</v>
      </c>
      <c r="R67" s="1326" t="s">
        <v>870</v>
      </c>
    </row>
    <row r="68" spans="1:18" s="1291" customFormat="1" ht="16.2" thickBot="1">
      <c r="A68" s="892" t="s">
        <v>395</v>
      </c>
      <c r="B68" s="893" t="s">
        <v>774</v>
      </c>
      <c r="C68" s="292">
        <f ca="1">ROUND(C67*(1-((1+F70)/(1+F68))^F69)/(F68-F70),0)</f>
        <v>-11442</v>
      </c>
      <c r="D68" s="910" t="s">
        <v>758</v>
      </c>
      <c r="E68" s="895" t="s">
        <v>759</v>
      </c>
      <c r="F68" s="303">
        <f ca="1">F40</f>
        <v>5.5E-2</v>
      </c>
      <c r="O68" s="1333" t="s">
        <v>406</v>
      </c>
      <c r="P68" s="1370" t="s">
        <v>871</v>
      </c>
      <c r="Q68" s="1326">
        <f ca="1">ROUND(Q69-Q70*Q71,0)</f>
        <v>10049</v>
      </c>
      <c r="R68" s="1326" t="s">
        <v>414</v>
      </c>
    </row>
    <row r="69" spans="1:18" s="1291" customFormat="1" ht="13.8" thickBot="1">
      <c r="A69" s="896"/>
      <c r="B69" s="897"/>
      <c r="C69" s="297"/>
      <c r="D69" s="915" t="s">
        <v>762</v>
      </c>
      <c r="E69" s="895" t="s">
        <v>763</v>
      </c>
      <c r="F69" s="323">
        <f ca="1">F41</f>
        <v>35.06</v>
      </c>
      <c r="O69" s="1333" t="s">
        <v>411</v>
      </c>
      <c r="P69" s="1370" t="s">
        <v>872</v>
      </c>
      <c r="Q69" s="1326">
        <f ca="1">C39</f>
        <v>16398</v>
      </c>
      <c r="R69" s="1326" t="s">
        <v>818</v>
      </c>
    </row>
    <row r="70" spans="1:18" s="1291" customFormat="1" ht="13.8" thickBot="1">
      <c r="A70" s="899"/>
      <c r="B70" s="900"/>
      <c r="C70" s="301"/>
      <c r="D70" s="911"/>
      <c r="E70" s="895" t="s">
        <v>766</v>
      </c>
      <c r="F70" s="990"/>
      <c r="O70" s="1333" t="s">
        <v>412</v>
      </c>
      <c r="P70" s="1370" t="s">
        <v>873</v>
      </c>
      <c r="Q70" s="1326">
        <f ca="1">C13</f>
        <v>90694</v>
      </c>
      <c r="R70" s="1326" t="s">
        <v>818</v>
      </c>
    </row>
    <row r="71" spans="1:18" s="1291" customFormat="1" ht="13.8" thickBot="1">
      <c r="A71" s="916" t="s">
        <v>396</v>
      </c>
      <c r="B71" s="917" t="s">
        <v>776</v>
      </c>
      <c r="C71" s="326">
        <f ca="1">ROUND(C68*10000/F71,0)</f>
        <v>-963</v>
      </c>
      <c r="D71" s="918" t="s">
        <v>777</v>
      </c>
      <c r="E71" s="919" t="s">
        <v>778</v>
      </c>
      <c r="F71" s="329">
        <f ca="1">F43</f>
        <v>118791.89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6349</v>
      </c>
      <c r="D75" s="1291"/>
      <c r="E75" s="1291"/>
      <c r="F75" s="1291"/>
      <c r="K75" s="1308"/>
      <c r="L75" s="1291"/>
      <c r="O75" s="1324" t="s">
        <v>409</v>
      </c>
      <c r="P75" s="1325" t="s">
        <v>838</v>
      </c>
      <c r="Q75" s="1326">
        <f ca="1">Q65+Q66</f>
        <v>324961</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0.61299999999999999</v>
      </c>
    </row>
    <row r="80" spans="1:18">
      <c r="B80" s="330" t="s">
        <v>800</v>
      </c>
      <c r="C80" s="265">
        <f ca="1">ROUND(C75/C39,3)</f>
        <v>0.38700000000000001</v>
      </c>
    </row>
    <row r="81" spans="2:3">
      <c r="B81" s="261" t="s">
        <v>801</v>
      </c>
      <c r="C81" s="229"/>
    </row>
    <row r="82" spans="2:3">
      <c r="B82" s="264" t="s">
        <v>802</v>
      </c>
      <c r="C82" s="266">
        <f ca="1">1-C83</f>
        <v>0.72099999999999997</v>
      </c>
    </row>
    <row r="83" spans="2:3">
      <c r="B83" s="264" t="s">
        <v>803</v>
      </c>
      <c r="C83" s="265">
        <f ca="1">ROUND(C13/C40,3)</f>
        <v>0.27900000000000003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3471</v>
      </c>
      <c r="D1" s="645"/>
      <c r="E1" s="645"/>
      <c r="F1" s="1620" t="s">
        <v>1261</v>
      </c>
      <c r="G1" s="1452" t="s">
        <v>3800</v>
      </c>
      <c r="H1" s="1620" t="str">
        <f>IF(G1="现房","——","估价对象范围")</f>
        <v>——</v>
      </c>
      <c r="I1" s="1621" t="s">
        <v>3829</v>
      </c>
    </row>
    <row r="2" spans="1:12" ht="21.75" customHeight="1" thickBot="1">
      <c r="A2" s="3351" t="str">
        <f>项目基本情况!S2</f>
        <v>北京市房地产</v>
      </c>
      <c r="B2" s="3352"/>
      <c r="C2" s="3352"/>
      <c r="D2" s="3352"/>
      <c r="E2" s="3352"/>
      <c r="F2" s="3352"/>
      <c r="G2" s="3352"/>
      <c r="H2" s="3352"/>
      <c r="I2" s="3353"/>
    </row>
    <row r="3" spans="1:12" ht="13.2">
      <c r="A3" s="3355" t="s">
        <v>1262</v>
      </c>
      <c r="B3" s="3356"/>
      <c r="C3" s="3356"/>
      <c r="D3" s="3356"/>
      <c r="E3" s="3356"/>
      <c r="F3" s="3356"/>
      <c r="G3" s="3356"/>
      <c r="H3" s="3356"/>
      <c r="I3" s="3356"/>
    </row>
    <row r="4" spans="1:12" ht="14.4">
      <c r="A4" s="1623" t="s">
        <v>1263</v>
      </c>
      <c r="B4" s="1624" t="s">
        <v>1264</v>
      </c>
      <c r="C4" s="1625" t="s">
        <v>3828</v>
      </c>
      <c r="D4" s="1625" t="s">
        <v>3812</v>
      </c>
      <c r="E4" s="3357" t="s">
        <v>1265</v>
      </c>
      <c r="F4" s="3358"/>
      <c r="G4" s="3358"/>
      <c r="H4" s="3358"/>
      <c r="I4" s="3359"/>
      <c r="K4" s="137" t="str">
        <f>IF(ISNUMBER(FIND("比较法",'结果表 (2)'!C4)),"比较法",IF(ISNUMBER(FIND("成本法",'结果表 (2)'!C4)),"成本法",IF(ISNUMBER(FIND("假设开发法",'结果表 (2)'!C4)),"假设开发法",IF(ISNUMBER(FIND("收益法",'结果表 (2)'!C4)),"收益法","基准地价系数修正法"))))</f>
        <v>成本法</v>
      </c>
      <c r="L4" s="137" t="str">
        <f>IF(ISNUMBER(FIND("比较法",'结果表 (2)'!D4)),"比较法",IF(ISNUMBER(FIND("成本法",'结果表 (2)'!D4)),"成本法",IF(ISNUMBER(FIND("假设开发法",'结果表 (2)'!D4)),"假设开发法",IF(ISNUMBER(FIND("收益法",'结果表 (2)'!D4)),"收益法","基准地价系数修正法"))))</f>
        <v>收益法</v>
      </c>
    </row>
    <row r="5" spans="1:12" ht="13.2">
      <c r="A5" s="3331" t="s">
        <v>1266</v>
      </c>
      <c r="B5" s="3318">
        <v>25</v>
      </c>
      <c r="C5" s="3334"/>
      <c r="D5" s="3354"/>
      <c r="E5" s="122" t="s">
        <v>1267</v>
      </c>
      <c r="F5" s="1626"/>
      <c r="G5" s="1626"/>
      <c r="H5" s="1626"/>
      <c r="I5" s="1280"/>
    </row>
    <row r="6" spans="1:12" ht="13.2">
      <c r="A6" s="3331"/>
      <c r="B6" s="3318"/>
      <c r="C6" s="3335"/>
      <c r="D6" s="3354"/>
      <c r="E6" s="122" t="s">
        <v>1268</v>
      </c>
      <c r="F6" s="1626"/>
      <c r="G6" s="1626"/>
      <c r="H6" s="1626"/>
      <c r="I6" s="1280"/>
    </row>
    <row r="7" spans="1:12" ht="13.2">
      <c r="A7" s="3331"/>
      <c r="B7" s="3318"/>
      <c r="C7" s="3336"/>
      <c r="D7" s="3354"/>
      <c r="E7" s="122" t="s">
        <v>1269</v>
      </c>
      <c r="F7" s="1626"/>
      <c r="G7" s="1626"/>
      <c r="H7" s="1626"/>
      <c r="I7" s="1280"/>
    </row>
    <row r="8" spans="1:12" ht="13.2">
      <c r="A8" s="3331" t="s">
        <v>1270</v>
      </c>
      <c r="B8" s="3318">
        <v>15</v>
      </c>
      <c r="C8" s="3334"/>
      <c r="D8" s="3354"/>
      <c r="E8" s="122" t="s">
        <v>1271</v>
      </c>
      <c r="F8" s="1626"/>
      <c r="G8" s="1626"/>
      <c r="H8" s="1626"/>
      <c r="I8" s="1280"/>
    </row>
    <row r="9" spans="1:12" ht="13.2">
      <c r="A9" s="3331"/>
      <c r="B9" s="3318"/>
      <c r="C9" s="3336"/>
      <c r="D9" s="3354"/>
      <c r="E9" s="122" t="s">
        <v>1272</v>
      </c>
      <c r="F9" s="1626"/>
      <c r="G9" s="1626"/>
      <c r="H9" s="1626"/>
      <c r="I9" s="1280"/>
    </row>
    <row r="10" spans="1:12" ht="13.2">
      <c r="A10" s="3331" t="s">
        <v>1273</v>
      </c>
      <c r="B10" s="3318">
        <v>15</v>
      </c>
      <c r="C10" s="3334"/>
      <c r="D10" s="3354"/>
      <c r="E10" s="122" t="s">
        <v>1274</v>
      </c>
      <c r="F10" s="1626"/>
      <c r="G10" s="1626"/>
      <c r="H10" s="1626"/>
      <c r="I10" s="1280"/>
    </row>
    <row r="11" spans="1:12" ht="13.2">
      <c r="A11" s="3331"/>
      <c r="B11" s="3318"/>
      <c r="C11" s="3336"/>
      <c r="D11" s="3354"/>
      <c r="E11" s="122" t="s">
        <v>1275</v>
      </c>
      <c r="F11" s="1626"/>
      <c r="G11" s="1626"/>
      <c r="H11" s="1626"/>
      <c r="I11" s="1280"/>
    </row>
    <row r="12" spans="1:12" ht="13.2">
      <c r="A12" s="3331" t="s">
        <v>1276</v>
      </c>
      <c r="B12" s="3318">
        <v>15</v>
      </c>
      <c r="C12" s="3334"/>
      <c r="D12" s="3354"/>
      <c r="E12" s="122" t="s">
        <v>1277</v>
      </c>
      <c r="F12" s="1626"/>
      <c r="G12" s="1626"/>
      <c r="H12" s="1626"/>
      <c r="I12" s="1280"/>
    </row>
    <row r="13" spans="1:12" ht="13.2">
      <c r="A13" s="3331"/>
      <c r="B13" s="3318"/>
      <c r="C13" s="3336"/>
      <c r="D13" s="3354"/>
      <c r="E13" s="122" t="s">
        <v>1278</v>
      </c>
      <c r="F13" s="1626"/>
      <c r="G13" s="1626"/>
      <c r="H13" s="1626"/>
      <c r="I13" s="1280"/>
    </row>
    <row r="14" spans="1:12" ht="13.2">
      <c r="A14" s="3331" t="s">
        <v>1279</v>
      </c>
      <c r="B14" s="3318">
        <v>30</v>
      </c>
      <c r="C14" s="3334">
        <v>4</v>
      </c>
      <c r="D14" s="3354">
        <v>6</v>
      </c>
      <c r="E14" s="122" t="s">
        <v>1280</v>
      </c>
      <c r="F14" s="1626"/>
      <c r="G14" s="1626"/>
      <c r="H14" s="1626"/>
      <c r="I14" s="1280"/>
    </row>
    <row r="15" spans="1:12" ht="13.2">
      <c r="A15" s="3331"/>
      <c r="B15" s="3318"/>
      <c r="C15" s="3335"/>
      <c r="D15" s="3354"/>
      <c r="E15" s="122" t="s">
        <v>1281</v>
      </c>
      <c r="F15" s="1626"/>
      <c r="G15" s="1626"/>
      <c r="H15" s="1626"/>
      <c r="I15" s="1280"/>
    </row>
    <row r="16" spans="1:12" ht="13.2">
      <c r="A16" s="3331"/>
      <c r="B16" s="3318"/>
      <c r="C16" s="3336"/>
      <c r="D16" s="3354"/>
      <c r="E16" s="122" t="s">
        <v>1282</v>
      </c>
      <c r="F16" s="1626"/>
      <c r="G16" s="1626"/>
      <c r="H16" s="1626"/>
      <c r="I16" s="1280"/>
    </row>
    <row r="17" spans="1:36" ht="14.4">
      <c r="A17" s="1627" t="s">
        <v>1283</v>
      </c>
      <c r="B17" s="54"/>
      <c r="C17" s="123">
        <f>SUM(C5:C16)</f>
        <v>4</v>
      </c>
      <c r="D17" s="123">
        <f>SUM(D5:D16)</f>
        <v>6</v>
      </c>
      <c r="E17" s="120"/>
      <c r="F17" s="120"/>
      <c r="G17" s="120"/>
      <c r="H17" s="120"/>
      <c r="I17" s="120"/>
      <c r="K17" s="293"/>
      <c r="L17" s="293" t="s">
        <v>1284</v>
      </c>
      <c r="M17" s="293" t="s">
        <v>1285</v>
      </c>
    </row>
    <row r="18" spans="1:36" ht="31.95" customHeight="1" thickBot="1">
      <c r="A18" s="1628" t="s">
        <v>1286</v>
      </c>
      <c r="B18" s="1541"/>
      <c r="C18" s="124">
        <f>ROUND(C17/SUM(C17:D17),2)</f>
        <v>0.4</v>
      </c>
      <c r="D18" s="124">
        <f>1-C18</f>
        <v>0.6</v>
      </c>
      <c r="E18" s="3341" t="s">
        <v>2129</v>
      </c>
      <c r="F18" s="3342"/>
      <c r="G18" s="3342"/>
      <c r="H18" s="3342"/>
      <c r="I18" s="3342"/>
      <c r="K18" s="293" t="s">
        <v>1287</v>
      </c>
      <c r="L18" s="293">
        <f>IF(C1="",'数据-汇总表'!E3,SUMIF(项目类型,C1,'数据-汇总表'!E17:E26)+SUMIF(项目类型,C1,'数据-汇总表'!I17:I26))</f>
        <v>58162.89</v>
      </c>
      <c r="M18" s="293">
        <f>IF(C1="",'数据-汇总表'!E3,SUMIF(项目类型,C1,'数据-汇总表'!E17:E26))</f>
        <v>58162.89</v>
      </c>
    </row>
    <row r="19" spans="1:36" ht="14.4">
      <c r="A19" s="1629" t="s">
        <v>1288</v>
      </c>
      <c r="B19" s="1630" t="s">
        <v>1289</v>
      </c>
      <c r="C19" s="125">
        <f ca="1">SUMIF(INDIRECT("'"&amp;C4&amp;"'"&amp;"!A:A"),'结果表 (2)'!B19,INDIRECT("'"&amp;C4&amp;"'"&amp;"!B:B"))</f>
        <v>47907</v>
      </c>
      <c r="D19" s="126">
        <f ca="1">SUMIF(INDIRECT("'"&amp;D4&amp;"'"&amp;"!A:A"),'结果表 (2)'!B19,INDIRECT("'"&amp;D4&amp;"'"&amp;"!B:B"))</f>
        <v>31566</v>
      </c>
      <c r="E19" s="1629" t="s">
        <v>1290</v>
      </c>
      <c r="F19" s="1630" t="s">
        <v>1289</v>
      </c>
      <c r="G19" s="127">
        <f ca="1">ROUND(C19*$C$18+D19*$D$18,0)</f>
        <v>38102</v>
      </c>
      <c r="H19" s="1631" t="s">
        <v>1291</v>
      </c>
      <c r="I19" s="120"/>
      <c r="K19" s="293" t="s">
        <v>1292</v>
      </c>
      <c r="L19" s="293">
        <f>IF(C1="",'数据-汇总表'!D3,SUMIF(项目类型,C1,'数据-汇总表'!D17:D26)+SUMIF(项目类型,C1,'数据-汇总表'!H17:H27))</f>
        <v>16225.21</v>
      </c>
      <c r="M19" s="293">
        <f>IF(C1="",'数据-汇总表'!D3,SUMIF(项目类型,C1,'数据-汇总表'!D17:D26))</f>
        <v>16225.21</v>
      </c>
    </row>
    <row r="20" spans="1:36" ht="14.4">
      <c r="A20" s="1632"/>
      <c r="B20" s="43" t="s">
        <v>1293</v>
      </c>
      <c r="C20" s="128">
        <f ca="1">SUMIF(INDIRECT("'"&amp;C4&amp;"'"&amp;"!A:A"),'结果表 (2)'!B20,INDIRECT("'"&amp;C4&amp;"'"&amp;"!B:B"))</f>
        <v>8237</v>
      </c>
      <c r="D20" s="129">
        <f ca="1">SUMIF(INDIRECT("'"&amp;D4&amp;"'"&amp;"!A:A"),'结果表 (2)'!B20,INDIRECT("'"&amp;D4&amp;"'"&amp;"!B:B"))</f>
        <v>5427</v>
      </c>
      <c r="E20" s="1632"/>
      <c r="F20" s="43" t="s">
        <v>1293</v>
      </c>
      <c r="G20" s="130">
        <f ca="1">ROUND(C20*$C$18+D20*$D$18,0)</f>
        <v>6551</v>
      </c>
      <c r="H20" s="759" t="s">
        <v>1294</v>
      </c>
      <c r="I20" s="120"/>
    </row>
    <row r="21" spans="1:36" ht="15" customHeight="1" thickBot="1">
      <c r="A21" s="448"/>
      <c r="B21" s="93" t="s">
        <v>1295</v>
      </c>
      <c r="C21" s="677">
        <f ca="1">ROUND(C19*10000/L19,0)</f>
        <v>29526</v>
      </c>
      <c r="D21" s="678">
        <f ca="1">ROUND(D19*10000/L19,0)</f>
        <v>19455</v>
      </c>
      <c r="E21" s="448"/>
      <c r="F21" s="93" t="s">
        <v>1295</v>
      </c>
      <c r="G21" s="131">
        <f ca="1">ROUND(G19*10000/L19,0)</f>
        <v>23483</v>
      </c>
      <c r="H21" s="1633" t="s">
        <v>1294</v>
      </c>
      <c r="I21" s="120"/>
    </row>
    <row r="22" spans="1:36" ht="15" thickBot="1">
      <c r="A22" s="1563" t="s">
        <v>1296</v>
      </c>
      <c r="B22" s="1634"/>
      <c r="C22" s="1635"/>
      <c r="D22" s="679">
        <f ca="1">IF(C19&lt;D19,D19/C19-1,C19/D19-1)</f>
        <v>0.51767724767154544</v>
      </c>
      <c r="E22" s="120"/>
      <c r="F22" s="120"/>
      <c r="G22" s="120"/>
      <c r="H22" s="120"/>
      <c r="I22" s="120"/>
    </row>
    <row r="23" spans="1:36" ht="13.8" thickBot="1">
      <c r="A23" s="645"/>
      <c r="B23" s="645"/>
      <c r="C23" s="645"/>
      <c r="D23" s="645"/>
      <c r="E23" s="120"/>
      <c r="F23" s="120"/>
      <c r="G23" s="120"/>
      <c r="H23" s="120"/>
      <c r="I23" s="120"/>
    </row>
    <row r="24" spans="1:36" ht="14.4">
      <c r="A24" s="3325" t="s">
        <v>1297</v>
      </c>
      <c r="B24" s="1630" t="s">
        <v>1289</v>
      </c>
      <c r="C24" s="127">
        <f>IF(B30=0,0,D30)</f>
        <v>0</v>
      </c>
      <c r="D24" s="1636"/>
      <c r="E24" s="120"/>
      <c r="F24" s="120"/>
      <c r="G24" s="120"/>
      <c r="H24" s="120"/>
      <c r="I24" s="120"/>
    </row>
    <row r="25" spans="1:36" ht="14.4">
      <c r="A25" s="3326"/>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38102</v>
      </c>
      <c r="D32" s="1640" t="s">
        <v>3830</v>
      </c>
      <c r="E32" s="120"/>
      <c r="F32" s="120"/>
      <c r="G32" s="120"/>
      <c r="H32" s="120"/>
      <c r="I32" s="120"/>
    </row>
    <row r="33" spans="1:15" ht="14.4">
      <c r="A33" s="739" t="s">
        <v>1304</v>
      </c>
      <c r="B33" s="122"/>
      <c r="C33" s="1641" t="s">
        <v>3831</v>
      </c>
      <c r="D33" s="1642" t="s">
        <v>3812</v>
      </c>
      <c r="E33" s="1643" t="s">
        <v>1305</v>
      </c>
      <c r="F33" s="1644" t="str">
        <f>IF(D32="楼面单价","取值（单价）","取值（总价）")</f>
        <v>取值（总价）</v>
      </c>
      <c r="G33" s="120"/>
      <c r="H33" s="120"/>
      <c r="I33" s="120"/>
    </row>
    <row r="34" spans="1:15" ht="14.4">
      <c r="A34" s="1645"/>
      <c r="B34" s="1646" t="s">
        <v>1306</v>
      </c>
      <c r="C34" s="139">
        <f ca="1">IF(C33="自定义",F34,C32-C35)</f>
        <v>-24957</v>
      </c>
      <c r="D34" s="807">
        <f ca="1">IF(C33="自定义",ROUND(C34/C32,3),IF(C33="收益比率",SUMIF(INDIRECT("'"&amp;D33&amp;"'"&amp;"!b:b"),"土地收益比率",INDIRECT("'"&amp;D33&amp;"'"&amp;"!c:c")),SUMIF(INDIRECT("'"&amp;D33&amp;"'"&amp;"!b:b"),"土地成本比率",INDIRECT("'"&amp;D33&amp;"'"&amp;"!c:c"))))</f>
        <v>-0.65500000000000003</v>
      </c>
      <c r="E34" s="1647" t="s">
        <v>1307</v>
      </c>
      <c r="F34" s="1242"/>
      <c r="G34" s="120"/>
      <c r="H34" s="120"/>
      <c r="I34" s="120"/>
    </row>
    <row r="35" spans="1:15" ht="15" thickBot="1">
      <c r="A35" s="1648"/>
      <c r="B35" s="1649" t="s">
        <v>1308</v>
      </c>
      <c r="C35" s="1089">
        <f ca="1">IF(C33="自定义",F35,ROUND(C32*D35,0))</f>
        <v>63059</v>
      </c>
      <c r="D35" s="1090">
        <f ca="1">IF(C33="自定义",ROUND(C35/C32,3),IF(C33="收益比率",SUMIF(INDIRECT("'"&amp;D33&amp;"'"&amp;"!b:b"),"建筑物收益比率",INDIRECT("'"&amp;D33&amp;"'"&amp;"!c:c")),SUMIF(INDIRECT("'"&amp;D33&amp;"'"&amp;"!b:b"),"建筑物成本比率",INDIRECT("'"&amp;D33&amp;"'"&amp;"!c:c"))))</f>
        <v>1.655</v>
      </c>
      <c r="E35" s="1650" t="s">
        <v>1309</v>
      </c>
      <c r="F35" s="145"/>
      <c r="G35" s="120"/>
      <c r="H35" s="120"/>
      <c r="I35" s="120"/>
    </row>
    <row r="36" spans="1:15" ht="15" thickBot="1">
      <c r="A36" s="3345" t="s">
        <v>1310</v>
      </c>
      <c r="B36" s="1651" t="s">
        <v>1311</v>
      </c>
      <c r="C36" s="136"/>
      <c r="D36" s="1652"/>
      <c r="E36" s="1566"/>
      <c r="F36" s="1653"/>
      <c r="G36" s="120"/>
      <c r="H36" s="120"/>
      <c r="I36" s="120"/>
    </row>
    <row r="37" spans="1:15" ht="15" thickBot="1">
      <c r="A37" s="3346"/>
      <c r="B37" s="1554" t="s">
        <v>1312</v>
      </c>
      <c r="C37" s="138"/>
      <c r="D37" s="1070"/>
      <c r="E37" s="1070"/>
      <c r="F37" s="1653"/>
      <c r="G37" s="120"/>
      <c r="H37" s="120"/>
      <c r="I37" s="120"/>
    </row>
    <row r="38" spans="1:15" ht="15" thickBot="1">
      <c r="A38" s="3347"/>
      <c r="B38" s="1654" t="s">
        <v>1313</v>
      </c>
      <c r="C38" s="640"/>
      <c r="D38" s="1655" t="s">
        <v>1314</v>
      </c>
      <c r="E38" s="1070"/>
      <c r="F38" s="1653"/>
      <c r="G38" s="120"/>
      <c r="H38" s="120"/>
      <c r="I38" s="120"/>
    </row>
    <row r="39" spans="1:15" ht="14.4">
      <c r="A39" s="1632" t="s">
        <v>1315</v>
      </c>
      <c r="B39" s="1656" t="s">
        <v>1299</v>
      </c>
      <c r="C39" s="1657" t="s">
        <v>1300</v>
      </c>
      <c r="D39" s="1657" t="s">
        <v>1318</v>
      </c>
      <c r="E39" s="1658" t="s">
        <v>1301</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322" t="s">
        <v>1324</v>
      </c>
      <c r="B45" s="3323"/>
      <c r="C45" s="3324"/>
      <c r="D45" s="146">
        <f ca="1">ROUND(H101*F45,0)</f>
        <v>38102</v>
      </c>
      <c r="E45" s="147" t="s">
        <v>1325</v>
      </c>
      <c r="F45" s="148">
        <v>1</v>
      </c>
      <c r="G45" s="149" t="s">
        <v>1326</v>
      </c>
      <c r="H45" s="120"/>
      <c r="I45" s="120"/>
      <c r="J45" s="3400" t="s">
        <v>1327</v>
      </c>
      <c r="K45" s="3400"/>
      <c r="L45" s="3400"/>
      <c r="M45" s="3400"/>
      <c r="N45" s="3400"/>
      <c r="O45" s="3400"/>
    </row>
    <row r="46" spans="1:15" ht="14.25" customHeight="1">
      <c r="A46" s="3319" t="s">
        <v>1328</v>
      </c>
      <c r="B46" s="3320"/>
      <c r="C46" s="3320"/>
      <c r="D46" s="3320"/>
      <c r="E46" s="3320"/>
      <c r="F46" s="3320"/>
      <c r="G46" s="3321"/>
      <c r="H46" s="1667"/>
      <c r="I46" s="150"/>
      <c r="J46" s="2309">
        <v>1</v>
      </c>
      <c r="K46" s="3381" t="s">
        <v>1329</v>
      </c>
      <c r="L46" s="3381"/>
      <c r="M46" s="3401"/>
      <c r="N46" s="3401"/>
      <c r="O46" s="3401"/>
    </row>
    <row r="47" spans="1:15" ht="12" customHeight="1">
      <c r="A47" s="151" t="s">
        <v>1330</v>
      </c>
      <c r="B47" s="152"/>
      <c r="C47" s="153"/>
      <c r="D47" s="1023" t="s">
        <v>1331</v>
      </c>
      <c r="E47" s="293" t="s">
        <v>1332</v>
      </c>
      <c r="F47" s="154" t="s">
        <v>1333</v>
      </c>
      <c r="G47" s="2332" t="s">
        <v>1334</v>
      </c>
      <c r="H47" s="2333"/>
      <c r="I47" s="150"/>
      <c r="J47" s="2309">
        <v>2</v>
      </c>
      <c r="K47" s="3381" t="s">
        <v>1335</v>
      </c>
      <c r="L47" s="3381"/>
      <c r="M47" s="3402">
        <f>'数据-取费表'!B2</f>
        <v>45749</v>
      </c>
      <c r="N47" s="3402"/>
      <c r="O47" s="3402"/>
    </row>
    <row r="48" spans="1:15" ht="26.4">
      <c r="A48" s="3350" t="s">
        <v>1336</v>
      </c>
      <c r="B48" s="3333"/>
      <c r="C48" s="3333"/>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81" t="s">
        <v>1338</v>
      </c>
      <c r="L48" s="3381"/>
      <c r="M48" s="3403">
        <f ca="1">H101</f>
        <v>38102</v>
      </c>
      <c r="N48" s="3403"/>
      <c r="O48" s="3403"/>
    </row>
    <row r="49" spans="1:35" ht="25.5" customHeight="1">
      <c r="A49" s="2151" t="s">
        <v>1339</v>
      </c>
      <c r="B49" s="3317" t="s">
        <v>1340</v>
      </c>
      <c r="C49" s="3317"/>
      <c r="D49" s="1477">
        <v>0</v>
      </c>
      <c r="E49" s="315" t="s">
        <v>1341</v>
      </c>
      <c r="F49" s="2232" t="s">
        <v>28</v>
      </c>
      <c r="G49" s="3387"/>
      <c r="H49" s="2133" t="s">
        <v>2132</v>
      </c>
      <c r="I49" s="2134"/>
      <c r="J49" s="2309">
        <v>4</v>
      </c>
      <c r="K49" s="3381" t="str">
        <f>IF(项目基本情况!E8="房地产抵押价值","房地产抵押价值","抵押担保权已注销时的房地产抵押价值")</f>
        <v>房地产抵押价值</v>
      </c>
      <c r="L49" s="3381"/>
      <c r="M49" s="3403">
        <f ca="1">IF(项目基本情况!E8="房地产抵押价值",H107,H109)</f>
        <v>38102</v>
      </c>
      <c r="N49" s="3403"/>
      <c r="O49" s="3403"/>
    </row>
    <row r="50" spans="1:35" ht="25.5" customHeight="1">
      <c r="A50" s="2337"/>
      <c r="B50" s="3317" t="s">
        <v>1342</v>
      </c>
      <c r="C50" s="3317"/>
      <c r="D50" s="2188"/>
      <c r="E50" s="322"/>
      <c r="F50" s="2232"/>
      <c r="G50" s="3388"/>
      <c r="H50" s="2135" t="s">
        <v>2133</v>
      </c>
      <c r="I50" s="2134"/>
      <c r="J50" s="3400" t="s">
        <v>1343</v>
      </c>
      <c r="K50" s="3400"/>
      <c r="L50" s="3400"/>
      <c r="M50" s="3400"/>
      <c r="N50" s="3400"/>
      <c r="O50" s="3400"/>
    </row>
    <row r="51" spans="1:35" ht="20.399999999999999" customHeight="1">
      <c r="A51" s="2338"/>
      <c r="B51" s="3317" t="s">
        <v>1344</v>
      </c>
      <c r="C51" s="3317"/>
      <c r="D51" s="1023"/>
      <c r="E51" s="318"/>
      <c r="F51" s="2232"/>
      <c r="G51" s="3389"/>
      <c r="H51" s="2135" t="s">
        <v>2134</v>
      </c>
      <c r="I51" s="2134"/>
      <c r="J51" s="2310" t="s">
        <v>1345</v>
      </c>
      <c r="K51" s="3381" t="s">
        <v>1346</v>
      </c>
      <c r="L51" s="3381"/>
      <c r="M51" s="2310" t="s">
        <v>1347</v>
      </c>
      <c r="N51" s="2310" t="s">
        <v>1348</v>
      </c>
      <c r="O51" s="2310" t="s">
        <v>1349</v>
      </c>
    </row>
    <row r="52" spans="1:35" ht="24" customHeight="1">
      <c r="A52" s="2152" t="s">
        <v>1350</v>
      </c>
      <c r="B52" s="3317" t="s">
        <v>1351</v>
      </c>
      <c r="C52" s="3317"/>
      <c r="D52" s="1023">
        <f ca="1">ROUND(D45*'数据-取费表'!B41/(1+'数据-取费表'!C42),0)</f>
        <v>2032</v>
      </c>
      <c r="E52" s="1255" t="s">
        <v>1352</v>
      </c>
      <c r="F52" s="2339">
        <f>'数据-取费表'!B41</f>
        <v>5.6000000000000001E-2</v>
      </c>
      <c r="G52" s="2340"/>
      <c r="H52" s="2330"/>
      <c r="I52" s="1668"/>
      <c r="J52" s="2309">
        <v>1</v>
      </c>
      <c r="K52" s="3382" t="s">
        <v>1353</v>
      </c>
      <c r="L52" s="3382"/>
      <c r="M52" s="2311" t="b">
        <f>D48</f>
        <v>0</v>
      </c>
      <c r="N52" s="2309" t="str">
        <f>E48</f>
        <v>销售额×税（费）率</v>
      </c>
      <c r="O52" s="2312">
        <f>F48</f>
        <v>5.6000000000000001E-2</v>
      </c>
    </row>
    <row r="53" spans="1:35" ht="12" customHeight="1">
      <c r="A53" s="2152" t="s">
        <v>1354</v>
      </c>
      <c r="B53" s="3343" t="s">
        <v>2289</v>
      </c>
      <c r="C53" s="3344"/>
      <c r="D53" s="1023">
        <f ca="1">ROUND(D45*'数据-取费表'!B41/(1+'数据-取费表'!C42),0)</f>
        <v>2032</v>
      </c>
      <c r="E53" s="1255" t="s">
        <v>1352</v>
      </c>
      <c r="F53" s="2339">
        <f>'数据-取费表'!B41</f>
        <v>5.6000000000000001E-2</v>
      </c>
      <c r="G53" s="2340"/>
      <c r="H53" s="2330"/>
      <c r="I53" s="1668"/>
      <c r="J53" s="2309">
        <v>2</v>
      </c>
      <c r="K53" s="3382" t="s">
        <v>1355</v>
      </c>
      <c r="L53" s="3382"/>
      <c r="M53" s="2311">
        <f t="shared" ref="M53:O54" ca="1" si="0">D55</f>
        <v>19</v>
      </c>
      <c r="N53" s="2309" t="str">
        <f t="shared" si="0"/>
        <v>销售额×税（费）率</v>
      </c>
      <c r="O53" s="2312" t="str">
        <f t="shared" si="0"/>
        <v>免征</v>
      </c>
    </row>
    <row r="54" spans="1:35" ht="12" customHeight="1">
      <c r="A54" s="2152" t="s">
        <v>1356</v>
      </c>
      <c r="B54" s="3343" t="s">
        <v>2290</v>
      </c>
      <c r="C54" s="3344"/>
      <c r="D54" s="1023">
        <f ca="1">C68</f>
        <v>2032</v>
      </c>
      <c r="E54" s="318" t="s">
        <v>1357</v>
      </c>
      <c r="F54" s="2339">
        <f>'数据-取费表'!B41</f>
        <v>5.6000000000000001E-2</v>
      </c>
      <c r="G54" s="2340"/>
      <c r="H54" s="2341"/>
      <c r="I54" s="1668"/>
      <c r="J54" s="2309">
        <v>3</v>
      </c>
      <c r="K54" s="3382" t="s">
        <v>1358</v>
      </c>
      <c r="L54" s="3382"/>
      <c r="M54" s="2311">
        <f t="shared" ca="1" si="0"/>
        <v>21566</v>
      </c>
      <c r="N54" s="2309" t="str">
        <f t="shared" si="0"/>
        <v>增值额×税（费）率</v>
      </c>
      <c r="O54" s="2313" t="str">
        <f t="shared" si="0"/>
        <v>免征</v>
      </c>
    </row>
    <row r="55" spans="1:35" ht="24" customHeight="1">
      <c r="A55" s="3332" t="s">
        <v>1359</v>
      </c>
      <c r="B55" s="3333"/>
      <c r="C55" s="3333"/>
      <c r="D55" s="12">
        <f ca="1">IF(H55="个人住宅",0,ROUND(D45*I55,0))</f>
        <v>19</v>
      </c>
      <c r="E55" s="1255" t="s">
        <v>1360</v>
      </c>
      <c r="F55" s="2339" t="str">
        <f>IF(H55="正常",I55,"免征")</f>
        <v>免征</v>
      </c>
      <c r="G55" s="2340"/>
      <c r="H55" s="2336"/>
      <c r="I55" s="156">
        <f>'数据-取费表'!B49</f>
        <v>5.0000000000000001E-4</v>
      </c>
      <c r="J55" s="2309">
        <f>IF(H59="非个人房产","",4)</f>
        <v>4</v>
      </c>
      <c r="K55" s="3382" t="str">
        <f>IF(H59="非个人房产","——","个人所得税")</f>
        <v>个人所得税</v>
      </c>
      <c r="L55" s="3382"/>
      <c r="M55" s="2314">
        <f ca="1">D59</f>
        <v>363</v>
      </c>
      <c r="N55" s="1882" t="str">
        <f>E59</f>
        <v>差额计税</v>
      </c>
      <c r="O55" s="2315">
        <f>F59</f>
        <v>0.01</v>
      </c>
    </row>
    <row r="56" spans="1:35" ht="25.2">
      <c r="A56" s="3332" t="s">
        <v>1361</v>
      </c>
      <c r="B56" s="3333"/>
      <c r="C56" s="3333"/>
      <c r="D56" s="12">
        <f ca="1">IF(H56="个人住宅",D57,D58)</f>
        <v>21566</v>
      </c>
      <c r="E56" s="1255" t="s">
        <v>1362</v>
      </c>
      <c r="F56" s="2339" t="str">
        <f>IF(H56="正常",F58,"免征")</f>
        <v>免征</v>
      </c>
      <c r="G56" s="2342" t="s">
        <v>1363</v>
      </c>
      <c r="H56" s="2343"/>
      <c r="I56" s="1669"/>
      <c r="J56" s="2309" t="str">
        <f>IF(项目基本情况!K6="上海银行",IF(J55="",4,J55+1),"")</f>
        <v/>
      </c>
      <c r="K56" s="3405" t="str">
        <f>IF(项目基本情况!K6="上海银行","其他处置费用","")</f>
        <v/>
      </c>
      <c r="L56" s="3406"/>
      <c r="M56" s="2311" t="str">
        <f>IF(项目基本情况!K6="上海银行",M69,"")</f>
        <v/>
      </c>
      <c r="N56" s="3405" t="str">
        <f>IF(项目基本情况!K6="上海银行","包含处置中涉及的律师、诉讼、拍卖、评估等费用","")</f>
        <v/>
      </c>
      <c r="O56" s="3408"/>
    </row>
    <row r="57" spans="1:35" ht="13.2">
      <c r="A57" s="2152" t="s">
        <v>1339</v>
      </c>
      <c r="B57" s="3343" t="s">
        <v>1364</v>
      </c>
      <c r="C57" s="3344"/>
      <c r="D57" s="1477">
        <v>0</v>
      </c>
      <c r="E57" s="315" t="s">
        <v>1341</v>
      </c>
      <c r="F57" s="293"/>
      <c r="G57" s="2340"/>
      <c r="H57" s="2344"/>
      <c r="I57" s="1669"/>
      <c r="J57" s="3382">
        <f>IF(AND(J55="",J56=""),4,IF(项目基本情况!K6="上海银行",'结果表 (2)'!J56+1,'结果表 (2)'!J55+1))</f>
        <v>5</v>
      </c>
      <c r="K57" s="3382" t="s">
        <v>1365</v>
      </c>
      <c r="L57" s="2316" t="s">
        <v>1366</v>
      </c>
      <c r="M57" s="2317"/>
      <c r="N57" s="2318">
        <f ca="1">SUMIF(M52:M56,"&lt;9e307")</f>
        <v>21948</v>
      </c>
      <c r="O57" s="2319"/>
      <c r="P57" s="2464">
        <f ca="1">N57/M49</f>
        <v>0.57603275418613198</v>
      </c>
    </row>
    <row r="58" spans="1:35" ht="25.2">
      <c r="A58" s="2152" t="s">
        <v>1350</v>
      </c>
      <c r="B58" s="3343" t="s">
        <v>1367</v>
      </c>
      <c r="C58" s="3317"/>
      <c r="D58" s="12">
        <f ca="1">IF(H58="转让取得",C81,C97)</f>
        <v>21566</v>
      </c>
      <c r="E58" s="1255" t="s">
        <v>1362</v>
      </c>
      <c r="F58" s="293" t="s">
        <v>28</v>
      </c>
      <c r="G58" s="2340"/>
      <c r="H58" s="2343"/>
      <c r="I58" s="1669"/>
      <c r="J58" s="3382"/>
      <c r="K58" s="3382"/>
      <c r="L58" s="2316" t="s">
        <v>1368</v>
      </c>
      <c r="M58" s="2320"/>
      <c r="N58" s="2321" t="str">
        <f ca="1">NUMBERSTRING(INT(N57*10000),2)&amp;"元整"</f>
        <v>贰亿壹仟玖佰肆拾捌万元整</v>
      </c>
      <c r="O58" s="2322"/>
    </row>
    <row r="59" spans="1:35" ht="24.6" thickBot="1">
      <c r="A59" s="3385" t="s">
        <v>1369</v>
      </c>
      <c r="B59" s="3386"/>
      <c r="C59" s="3386"/>
      <c r="D59" s="2345">
        <f ca="1">IF(H59="非个人房产","——",IF(H59="个人住宅（满五唯一有凭证）",0,IF(H59="个人其他（无凭证）",ROUND(D45*F59,0),ROUND(C67*F59,0))))</f>
        <v>363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83">
        <f>J57+1</f>
        <v>6</v>
      </c>
      <c r="K59" s="3382" t="s">
        <v>1370</v>
      </c>
      <c r="L59" s="2309" t="s">
        <v>1366</v>
      </c>
      <c r="M59" s="2323"/>
      <c r="N59" s="2324">
        <f ca="1">M49-N57</f>
        <v>16154</v>
      </c>
      <c r="O59" s="2325"/>
    </row>
    <row r="60" spans="1:35" ht="12" customHeight="1">
      <c r="A60" s="1670"/>
      <c r="B60" s="645"/>
      <c r="C60" s="645"/>
      <c r="D60" s="645"/>
      <c r="E60" s="1465"/>
      <c r="F60" s="1669"/>
      <c r="G60" s="1669"/>
      <c r="H60" s="150"/>
      <c r="I60" s="120"/>
      <c r="J60" s="3384"/>
      <c r="K60" s="3382"/>
      <c r="L60" s="2316" t="s">
        <v>1368</v>
      </c>
      <c r="M60" s="2320"/>
      <c r="N60" s="2321" t="str">
        <f ca="1">NUMBERSTRING(INT(N59*10000),2)&amp;"元整"</f>
        <v>壹亿陆仟壹佰伍拾肆万元整</v>
      </c>
      <c r="O60" s="2322"/>
    </row>
    <row r="61" spans="1:35" ht="13.8" thickBot="1">
      <c r="A61" s="3330" t="s">
        <v>1371</v>
      </c>
      <c r="B61" s="3330"/>
      <c r="C61" s="3330"/>
      <c r="D61" s="3330"/>
      <c r="E61" s="3330"/>
      <c r="F61" s="1669"/>
      <c r="G61" s="1669"/>
      <c r="H61" s="150"/>
      <c r="I61" s="120"/>
      <c r="J61" s="2309">
        <f>J59+1</f>
        <v>7</v>
      </c>
      <c r="K61" s="3382" t="s">
        <v>1372</v>
      </c>
      <c r="L61" s="3382"/>
      <c r="M61" s="2326"/>
      <c r="N61" s="2327">
        <f ca="1">ROUND(N59*10000/'数据-汇总表'!E3,0)</f>
        <v>913</v>
      </c>
      <c r="O61" s="2328"/>
    </row>
    <row r="62" spans="1:35" ht="13.2">
      <c r="A62" s="3348" t="s">
        <v>1373</v>
      </c>
      <c r="B62" s="3349"/>
      <c r="C62" s="1864"/>
      <c r="D62" s="1864" t="s">
        <v>1374</v>
      </c>
      <c r="E62" s="157" t="s">
        <v>1375</v>
      </c>
      <c r="F62" s="1669"/>
      <c r="G62" s="1669"/>
      <c r="H62" s="150"/>
      <c r="I62" s="120"/>
    </row>
    <row r="63" spans="1:35" ht="13.2">
      <c r="A63" s="164" t="s">
        <v>330</v>
      </c>
      <c r="B63" s="158" t="s">
        <v>1376</v>
      </c>
      <c r="C63" s="2349">
        <f ca="1">ROUND((C64+C65)/(1+'数据-取费表'!C42),0)</f>
        <v>36288</v>
      </c>
      <c r="D63" s="158"/>
      <c r="E63" s="159"/>
      <c r="F63" s="1669"/>
      <c r="G63" s="1669"/>
      <c r="H63" s="150"/>
      <c r="I63" s="120"/>
      <c r="J63" s="3407" t="s">
        <v>1377</v>
      </c>
      <c r="K63" s="1244" t="s">
        <v>1378</v>
      </c>
      <c r="L63" s="1244">
        <f ca="1">IF(M49&gt;10000,M49*0.5%,IF(AND(M49&gt;1000,M49&lt;=10000),M49*1%,IF(AND(M49&gt;100,M49&lt;=1000),M49*3%,IF(AND(M49&gt;10,M49&lt;=100),M49*5%,M49*8%))))</f>
        <v>190.51</v>
      </c>
      <c r="M63" s="293">
        <f ca="1">ROUND(L63,1)</f>
        <v>190.5</v>
      </c>
      <c r="N63" s="2329"/>
      <c r="Z63" s="1622"/>
      <c r="AI63" s="1560"/>
    </row>
    <row r="64" spans="1:35" ht="14.25" customHeight="1">
      <c r="A64" s="160" t="s">
        <v>325</v>
      </c>
      <c r="B64" s="161" t="s">
        <v>1379</v>
      </c>
      <c r="C64" s="2350">
        <f ca="1">D45</f>
        <v>38102</v>
      </c>
      <c r="D64" s="161" t="s">
        <v>26</v>
      </c>
      <c r="E64" s="163"/>
      <c r="F64" s="1669"/>
      <c r="G64" s="1669"/>
      <c r="H64" s="150"/>
      <c r="I64" s="120"/>
      <c r="J64" s="3407"/>
      <c r="K64" s="1244" t="s">
        <v>1380</v>
      </c>
      <c r="L64" s="1244">
        <f ca="1">IF(M49&gt;2000,M49*0.5%,IF(AND(M49&gt;1000,M49&lt;=2000),M49*0.6%,IF(AND(M49&gt;500,M49&lt;=1000),M49*0.7%,IF(AND(M49&gt;200,M49&lt;=500),M49*0.8%,IF(AND(M49&gt;100,M49&lt;=200),M49*0.9%,IF(AND(M49&gt;50,M49&lt;=100),M49*1%,IF(AND(M49&gt;20,M49&lt;=50),M49*1.5%,IF(AND(M49&gt;10,M49&lt;=20),M49*2%,IF(AND(M49&gt;1,M49&lt;=10),M49*2.5%)))))))))</f>
        <v>190.51</v>
      </c>
      <c r="M64" s="293">
        <f t="shared" ref="M64:M65" ca="1" si="1">ROUND(L64,1)</f>
        <v>190.5</v>
      </c>
      <c r="N64" s="2330" t="s">
        <v>1381</v>
      </c>
      <c r="Z64" s="1622"/>
      <c r="AI64" s="1560"/>
    </row>
    <row r="65" spans="1:35" ht="14.25" customHeight="1">
      <c r="A65" s="160" t="s">
        <v>326</v>
      </c>
      <c r="B65" s="161" t="s">
        <v>1382</v>
      </c>
      <c r="C65" s="2351"/>
      <c r="D65" s="161"/>
      <c r="E65" s="163"/>
      <c r="F65" s="1669"/>
      <c r="G65" s="1669"/>
      <c r="H65" s="150"/>
      <c r="I65" s="120"/>
      <c r="J65" s="3407"/>
      <c r="K65" s="1244" t="s">
        <v>1383</v>
      </c>
      <c r="L65" s="1244">
        <f ca="1">IF(M49&gt;1000,M49*0.1%,IF(AND(M49&gt;500,M49&lt;=1000),M49*0.5%,IF(AND(M49&gt;50,M49&lt;=500),M49*1%,IF(AND(M49&gt;1,M49&lt;=50),M49*1.5%))))</f>
        <v>38.102000000000004</v>
      </c>
      <c r="M65" s="293">
        <f t="shared" ca="1" si="1"/>
        <v>38.1</v>
      </c>
      <c r="N65" s="2330" t="s">
        <v>1381</v>
      </c>
      <c r="Z65" s="1622"/>
      <c r="AI65" s="1560"/>
    </row>
    <row r="66" spans="1:35" ht="14.25" customHeight="1">
      <c r="A66" s="164" t="s">
        <v>327</v>
      </c>
      <c r="B66" s="165" t="s">
        <v>1384</v>
      </c>
      <c r="C66" s="2352"/>
      <c r="D66" s="165" t="s">
        <v>26</v>
      </c>
      <c r="E66" s="1250" t="s">
        <v>671</v>
      </c>
      <c r="F66" s="1669"/>
      <c r="G66" s="1669"/>
      <c r="H66" s="150"/>
      <c r="I66" s="120"/>
      <c r="J66" s="3407"/>
      <c r="K66" s="1244" t="s">
        <v>1385</v>
      </c>
      <c r="L66" s="1244">
        <f ca="1">M49*0.5%</f>
        <v>190.51</v>
      </c>
      <c r="M66" s="293">
        <f ca="1">IF(L66&gt;0.5,0.5,ROUND(L66,0))</f>
        <v>0.5</v>
      </c>
      <c r="N66" s="2330" t="s">
        <v>1386</v>
      </c>
      <c r="Z66" s="1622"/>
      <c r="AI66" s="1560"/>
    </row>
    <row r="67" spans="1:35" ht="14.25" customHeight="1">
      <c r="A67" s="164" t="s">
        <v>328</v>
      </c>
      <c r="B67" s="165" t="s">
        <v>1387</v>
      </c>
      <c r="C67" s="2353">
        <f ca="1">C63-C66</f>
        <v>36288</v>
      </c>
      <c r="D67" s="161" t="s">
        <v>26</v>
      </c>
      <c r="E67" s="163"/>
      <c r="F67" s="1669"/>
      <c r="G67" s="1669"/>
      <c r="H67" s="150"/>
      <c r="I67" s="120"/>
      <c r="J67" s="3407"/>
      <c r="K67" s="1244" t="s">
        <v>1388</v>
      </c>
      <c r="L67" s="1244">
        <f ca="1">IF(M49&gt;=10000,(8.25+(M49-10000)*0.01%),IF(AND(M49&gt;=8000,M49&lt;10000),(7.85+(M49-8000)*0.02%),IF(AND(M49&gt;=5000,M49&lt;8000),(6.65+(M49-5000)*0.04%),IF(AND(M49&gt;=2000,M49&lt;5000),(4.25+(PM49-2000)*0.08%),IF(AND(M49&gt;=1000,M49&lt;2000),(2.75+(M49-1000)*0.15%),IF(AND(M49&gt;=100,M49&lt;1000),(0.5+(M49-100)*0.25%),IF(AND(M49&gt;0,M49&lt;100),M49*0.5%)))))))</f>
        <v>11.0602</v>
      </c>
      <c r="M67" s="293">
        <f ca="1">ROUND(L67*0.9,1)</f>
        <v>10</v>
      </c>
      <c r="N67" s="2329"/>
      <c r="Z67" s="1622"/>
      <c r="AI67" s="1560"/>
    </row>
    <row r="68" spans="1:35" ht="14.25" customHeight="1" thickBot="1">
      <c r="A68" s="167" t="s">
        <v>329</v>
      </c>
      <c r="B68" s="168" t="s">
        <v>1389</v>
      </c>
      <c r="C68" s="2354">
        <f ca="1">IF(C67&lt;=0,0,ROUND(C67*D68,0))</f>
        <v>2032</v>
      </c>
      <c r="D68" s="2355">
        <f>'数据-取费表'!B41</f>
        <v>5.6000000000000001E-2</v>
      </c>
      <c r="E68" s="169"/>
      <c r="F68" s="1669"/>
      <c r="G68" s="1669"/>
      <c r="H68" s="150"/>
      <c r="I68" s="120"/>
      <c r="J68" s="3407"/>
      <c r="K68" s="1244" t="s">
        <v>1390</v>
      </c>
      <c r="L68" s="1244">
        <f ca="1">IF(M49&gt;10000,M49*0.5%,IF(AND(M49&gt;5000,M49&lt;=10000),M49*1%,IF(AND(M49&gt;1000,M49&lt;=5000),M49*2%,IF(AND(M49&gt;200,M49&lt;=1000),M49*3%,M49*5%))))</f>
        <v>190.51</v>
      </c>
      <c r="M68" s="293">
        <f ca="1">ROUND(L68,1)</f>
        <v>190.5</v>
      </c>
      <c r="N68" s="2329"/>
      <c r="Z68" s="1622"/>
      <c r="AI68" s="1560"/>
    </row>
    <row r="69" spans="1:35" ht="16.5" customHeight="1">
      <c r="A69" s="1671"/>
      <c r="B69" s="1672"/>
      <c r="C69" s="1673"/>
      <c r="D69" s="1674"/>
      <c r="E69" s="1675"/>
      <c r="F69" s="1465"/>
      <c r="G69" s="1465"/>
      <c r="H69" s="1466"/>
      <c r="I69" s="645"/>
      <c r="J69" s="3407"/>
      <c r="K69" s="1244" t="s">
        <v>1391</v>
      </c>
      <c r="L69" s="1244"/>
      <c r="M69" s="293">
        <f ca="1">ROUND(SUM(M63:M68),0)</f>
        <v>620</v>
      </c>
      <c r="N69" s="2331">
        <f ca="1">M69/M49</f>
        <v>1.627211170017322E-2</v>
      </c>
      <c r="Z69" s="1622"/>
      <c r="AI69" s="1560"/>
    </row>
    <row r="70" spans="1:35" s="641" customFormat="1" ht="14.4" thickBot="1">
      <c r="A70" s="3369" t="s">
        <v>1392</v>
      </c>
      <c r="B70" s="3370"/>
      <c r="C70" s="3370"/>
      <c r="D70" s="3370"/>
      <c r="E70" s="3370"/>
      <c r="F70" s="3370"/>
      <c r="G70" s="3370"/>
      <c r="H70" s="337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48" t="s">
        <v>1373</v>
      </c>
      <c r="B71" s="3349"/>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36288</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218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43" t="s">
        <v>1400</v>
      </c>
      <c r="F76" s="3317"/>
      <c r="G76" s="3317"/>
      <c r="H76" s="336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218</v>
      </c>
      <c r="D78" s="2362">
        <f>'数据-取费表'!B43</f>
        <v>6.000000000000001E-3</v>
      </c>
      <c r="E78" s="3327" t="s">
        <v>1404</v>
      </c>
      <c r="F78" s="3328"/>
      <c r="G78" s="3328"/>
      <c r="H78" s="333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328</v>
      </c>
      <c r="B79" s="165" t="s">
        <v>1405</v>
      </c>
      <c r="C79" s="2353">
        <f ca="1">C72-C73</f>
        <v>36070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165.45871559633028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21566</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69" t="s">
        <v>1408</v>
      </c>
      <c r="B83" s="3370"/>
      <c r="C83" s="3370"/>
      <c r="D83" s="3370"/>
      <c r="E83" s="3370"/>
      <c r="F83" s="3370"/>
      <c r="G83" s="3370"/>
      <c r="H83" s="337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48" t="s">
        <v>1373</v>
      </c>
      <c r="B84" s="3349"/>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36288</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218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1410</v>
      </c>
      <c r="C88" s="2367"/>
      <c r="D88" s="2362"/>
      <c r="E88" s="184" t="s">
        <v>1411</v>
      </c>
      <c r="F88" s="2147"/>
      <c r="G88" s="185" t="s">
        <v>1412</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409" t="s">
        <v>2127</v>
      </c>
      <c r="H90" s="3410"/>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327" t="s">
        <v>1417</v>
      </c>
      <c r="F91" s="3328"/>
      <c r="G91" s="332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327" t="s">
        <v>1420</v>
      </c>
      <c r="F92" s="3328"/>
      <c r="G92" s="3328"/>
      <c r="H92" s="3337"/>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218</v>
      </c>
      <c r="D93" s="2362">
        <f>'数据-取费表'!B43</f>
        <v>6.000000000000001E-3</v>
      </c>
      <c r="E93" s="3327" t="s">
        <v>1404</v>
      </c>
      <c r="F93" s="3328"/>
      <c r="G93" s="3328"/>
      <c r="H93" s="333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338" t="s">
        <v>1424</v>
      </c>
      <c r="F94" s="3339"/>
      <c r="G94" s="3339"/>
      <c r="H94" s="334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328</v>
      </c>
      <c r="B95" s="165" t="s">
        <v>1405</v>
      </c>
      <c r="C95" s="2353">
        <f ca="1">ROUND(C85-C86,0)</f>
        <v>36070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165.45871559633028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21566</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1" t="s">
        <v>1426</v>
      </c>
      <c r="B100" s="3312"/>
      <c r="C100" s="3312"/>
      <c r="D100" s="3329"/>
      <c r="E100" s="3312" t="s">
        <v>1427</v>
      </c>
      <c r="F100" s="3312"/>
      <c r="G100" s="3312"/>
      <c r="H100" s="3329"/>
      <c r="I100" s="120"/>
    </row>
    <row r="101" spans="1:35" ht="18.75" customHeight="1">
      <c r="A101" s="3390" t="s">
        <v>1428</v>
      </c>
      <c r="B101" s="3391"/>
      <c r="C101" s="2370" t="str">
        <f>C4</f>
        <v>成本法</v>
      </c>
      <c r="D101" s="2371" t="str">
        <f>D4</f>
        <v>收益法地下</v>
      </c>
      <c r="E101" s="3404" t="s">
        <v>1429</v>
      </c>
      <c r="F101" s="3361"/>
      <c r="G101" s="1686" t="s">
        <v>1430</v>
      </c>
      <c r="H101" s="2380">
        <f ca="1">H118</f>
        <v>38102</v>
      </c>
      <c r="I101" s="120"/>
    </row>
    <row r="102" spans="1:35" ht="18.75" customHeight="1">
      <c r="A102" s="3363" t="s">
        <v>1431</v>
      </c>
      <c r="B102" s="2369" t="s">
        <v>1430</v>
      </c>
      <c r="C102" s="2370">
        <f ca="1">IF(D32="楼面单价",ROUND(C19,0),C19)</f>
        <v>47907</v>
      </c>
      <c r="D102" s="2371">
        <f ca="1">IF(D32="楼面单价",ROUND(D19,0),D19)</f>
        <v>31566</v>
      </c>
      <c r="E102" s="3404"/>
      <c r="F102" s="3361"/>
      <c r="G102" s="1686" t="s">
        <v>1432</v>
      </c>
      <c r="H102" s="2340">
        <f ca="1">I118</f>
        <v>6551</v>
      </c>
      <c r="I102" s="120"/>
    </row>
    <row r="103" spans="1:35" ht="42.75" customHeight="1">
      <c r="A103" s="3363"/>
      <c r="B103" s="2369" t="s">
        <v>1432</v>
      </c>
      <c r="C103" s="2372">
        <f ca="1">C20</f>
        <v>8237</v>
      </c>
      <c r="D103" s="2373">
        <f ca="1">D20</f>
        <v>5427</v>
      </c>
      <c r="E103" s="3398" t="s">
        <v>1433</v>
      </c>
      <c r="F103" s="3399"/>
      <c r="G103" s="1687" t="s">
        <v>1434</v>
      </c>
      <c r="H103" s="2380">
        <f>IF(D36="正常操作",H104+H105+H106,H105+H106)</f>
        <v>0</v>
      </c>
      <c r="I103" s="120"/>
    </row>
    <row r="104" spans="1:35" ht="18.75" customHeight="1">
      <c r="A104" s="3363" t="s">
        <v>1435</v>
      </c>
      <c r="B104" s="2374" t="s">
        <v>1430</v>
      </c>
      <c r="C104" s="2375">
        <f ca="1">H118</f>
        <v>38102</v>
      </c>
      <c r="D104" s="2376"/>
      <c r="E104" s="1554" t="s">
        <v>1436</v>
      </c>
      <c r="F104" s="1547"/>
      <c r="G104" s="1687" t="s">
        <v>1434</v>
      </c>
      <c r="H104" s="2381">
        <f>IF(D36="同一抵押权人同一抵押物续贷",C36&amp;"（续贷，未扣减，详见特别提示）",C36)</f>
        <v>0</v>
      </c>
      <c r="I104" s="120"/>
    </row>
    <row r="105" spans="1:35" ht="18.75" customHeight="1" thickBot="1">
      <c r="A105" s="3364"/>
      <c r="B105" s="2377" t="s">
        <v>1432</v>
      </c>
      <c r="C105" s="2378">
        <f ca="1">I118</f>
        <v>6551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0" t="str">
        <f>IF(项目基本情况!E8="已注销","——","3.房地产抵押价值")</f>
        <v>3.房地产抵押价值</v>
      </c>
      <c r="F107" s="3361"/>
      <c r="G107" s="1686" t="s">
        <v>1430</v>
      </c>
      <c r="H107" s="2380">
        <f ca="1">IF(E107="——","——",H101-H103)</f>
        <v>38102</v>
      </c>
      <c r="I107" s="120"/>
    </row>
    <row r="108" spans="1:35" ht="18.75" customHeight="1">
      <c r="A108" s="120"/>
      <c r="B108" s="120"/>
      <c r="C108" s="120"/>
      <c r="D108" s="120"/>
      <c r="E108" s="3360"/>
      <c r="F108" s="3361"/>
      <c r="G108" s="1686" t="s">
        <v>1432</v>
      </c>
      <c r="H108" s="2340">
        <f ca="1">IF(H107=H101,H102,ROUND(H107*10000/'数据-汇总表'!E3,0))</f>
        <v>6551</v>
      </c>
      <c r="I108" s="120"/>
    </row>
    <row r="109" spans="1:35" ht="18.75" customHeight="1">
      <c r="A109" s="120"/>
      <c r="B109" s="120"/>
      <c r="C109" s="120"/>
      <c r="D109" s="120"/>
      <c r="E109" s="3360" t="str">
        <f>IF(项目基本情况!E8="已注销及未注销","4.抵押担保权已注销时的房地产抵押价值",IF(项目基本情况!E8="已注销","3.抵押担保权已注销时的房地产抵押价值","——"))</f>
        <v>——</v>
      </c>
      <c r="F109" s="3361"/>
      <c r="G109" s="1686" t="s">
        <v>1430</v>
      </c>
      <c r="H109" s="2383" t="str">
        <f>IF(E109="——","——",H101-H105-H106)</f>
        <v>——</v>
      </c>
      <c r="I109" s="120"/>
    </row>
    <row r="110" spans="1:35" ht="18.75" customHeight="1">
      <c r="A110" s="120"/>
      <c r="B110" s="120"/>
      <c r="C110" s="120"/>
      <c r="D110" s="120"/>
      <c r="E110" s="3360"/>
      <c r="F110" s="3361"/>
      <c r="G110" s="1686" t="s">
        <v>1432</v>
      </c>
      <c r="H110" s="2340" t="str">
        <f>IF(H109="——","——",ROUND(H109*10000/'数据-汇总表'!E3,0))</f>
        <v>——</v>
      </c>
      <c r="I110" s="120"/>
    </row>
    <row r="111" spans="1:35" ht="18.75" customHeight="1">
      <c r="A111" s="120"/>
      <c r="B111" s="120"/>
      <c r="C111" s="120"/>
      <c r="D111" s="120"/>
      <c r="E111" s="3392" t="str">
        <f>IF(项目基本情况!E9="抵押净值",IF(OR(项目基本情况!E8="已注销",项目基本情况!E8="房地产抵押价值"),"4.抵押净值","5.抵押净值"),"——")</f>
        <v>4.抵押净值</v>
      </c>
      <c r="F111" s="3362"/>
      <c r="G111" s="1686" t="s">
        <v>1430</v>
      </c>
      <c r="H111" s="2380">
        <f ca="1">IF(E111="——","——",N59)</f>
        <v>16154</v>
      </c>
      <c r="I111" s="120"/>
    </row>
    <row r="112" spans="1:35" ht="18.75" customHeight="1" thickBot="1">
      <c r="A112" s="120"/>
      <c r="B112" s="120"/>
      <c r="C112" s="120"/>
      <c r="D112" s="120"/>
      <c r="E112" s="3393"/>
      <c r="F112" s="3394"/>
      <c r="G112" s="1689" t="s">
        <v>1432</v>
      </c>
      <c r="H112" s="2384">
        <f ca="1">IF(E111="——","——",N61)</f>
        <v>913</v>
      </c>
      <c r="I112" s="120"/>
    </row>
    <row r="113" spans="1:27" ht="18.75" customHeight="1">
      <c r="A113" s="120"/>
      <c r="B113" s="120"/>
      <c r="C113" s="120"/>
      <c r="D113" s="120"/>
      <c r="E113" s="3365" t="s">
        <v>1438</v>
      </c>
      <c r="F113" s="3365"/>
      <c r="G113" s="3365"/>
      <c r="H113" s="3365"/>
      <c r="I113" s="120"/>
    </row>
    <row r="114" spans="1:27" ht="3.75" customHeight="1">
      <c r="A114" s="645"/>
      <c r="B114" s="645"/>
      <c r="C114" s="645"/>
      <c r="D114" s="645"/>
      <c r="E114" s="1670"/>
      <c r="F114" s="1670"/>
      <c r="G114" s="1670"/>
      <c r="H114" s="1670"/>
      <c r="I114" s="645"/>
    </row>
    <row r="115" spans="1:27" ht="18.75" customHeight="1">
      <c r="A115" s="3375" t="s">
        <v>1440</v>
      </c>
      <c r="B115" s="3376"/>
      <c r="C115" s="3376"/>
      <c r="D115" s="3376"/>
      <c r="E115" s="3376"/>
      <c r="F115" s="3376"/>
      <c r="G115" s="3376"/>
      <c r="H115" s="3376"/>
      <c r="I115" s="3377"/>
    </row>
    <row r="116" spans="1:27" ht="27" customHeight="1">
      <c r="A116" s="3331" t="s">
        <v>1441</v>
      </c>
      <c r="B116" s="3366" t="s">
        <v>1442</v>
      </c>
      <c r="C116" s="3366" t="s">
        <v>1443</v>
      </c>
      <c r="D116" s="3379" t="s">
        <v>1444</v>
      </c>
      <c r="E116" s="3380"/>
      <c r="F116" s="3374" t="s">
        <v>1445</v>
      </c>
      <c r="G116" s="3374"/>
      <c r="H116" s="3331" t="s">
        <v>1446</v>
      </c>
      <c r="I116" s="3331"/>
    </row>
    <row r="117" spans="1:27" ht="18.75" customHeight="1">
      <c r="A117" s="3331"/>
      <c r="B117" s="3367"/>
      <c r="C117" s="3367"/>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58162.89</v>
      </c>
      <c r="C118" s="2149">
        <f>M19</f>
        <v>16225.21</v>
      </c>
      <c r="D118" s="2149">
        <f ca="1">ROUND(IF(D32="总价",C34,E118*B118/10000),0)</f>
        <v>-24957</v>
      </c>
      <c r="E118" s="2149">
        <f ca="1">ROUND(IF(C33="自定义",IF(D32="楼面单价",C34,D118*10000/B118),I118-G118),0)</f>
        <v>-4291</v>
      </c>
      <c r="F118" s="2149">
        <f ca="1">ROUND(IF(D32="总价",C35,G118*B118/10000),0)</f>
        <v>63059</v>
      </c>
      <c r="G118" s="2149">
        <f ca="1">ROUND(IF(D32="楼面单价",C35,F118*10000/B118),0)</f>
        <v>10842</v>
      </c>
      <c r="H118" s="2149">
        <f ca="1">ROUND(IF(D32="总价",C32,I118*B118/10000),0)</f>
        <v>38102</v>
      </c>
      <c r="I118" s="2149">
        <f ca="1">ROUND(IF(D32="楼面单价",C32,H118*10000/B118),0)</f>
        <v>6551</v>
      </c>
    </row>
    <row r="119" spans="1:27" ht="18.75" customHeight="1">
      <c r="A119" s="3331" t="s">
        <v>1450</v>
      </c>
      <c r="B119" s="3331"/>
      <c r="C119" s="3331"/>
      <c r="D119" s="3371" t="e">
        <f ca="1">NUMBERSTRING(INT(D118*10000),2)&amp;"元整"</f>
        <v>#NUM!</v>
      </c>
      <c r="E119" s="3373"/>
      <c r="F119" s="3371" t="str">
        <f ca="1">NUMBERSTRING(INT(F118*10000),2)&amp;"元整"</f>
        <v>陆亿叁仟零伍拾玖万元整</v>
      </c>
      <c r="G119" s="3373"/>
      <c r="H119" s="3371" t="str">
        <f ca="1">NUMBERSTRING(INT(H118*10000),2)&amp;"元整"</f>
        <v>叁亿捌仟壹佰零贰万元整</v>
      </c>
      <c r="I119" s="3373"/>
    </row>
    <row r="120" spans="1:27" ht="18.75" customHeight="1">
      <c r="A120" s="3395" t="str">
        <f>IF(项目基本情况!B9="房地产市场价值","",MID(E103,3,LEN(E103)-2))</f>
        <v>估价师知悉的法定优先受偿款</v>
      </c>
      <c r="B120" s="3396"/>
      <c r="C120" s="3397"/>
      <c r="D120" s="3395">
        <f>H103</f>
        <v>0</v>
      </c>
      <c r="E120" s="3396"/>
      <c r="F120" s="3396"/>
      <c r="G120" s="3396"/>
      <c r="H120" s="3396"/>
      <c r="I120" s="339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1" t="s">
        <v>1450</v>
      </c>
      <c r="B121" s="3372"/>
      <c r="C121" s="3373"/>
      <c r="D121" s="3371" t="str">
        <f>IF(D120=0,"零元整",NUMBERSTRING(INT(D120*10000),2)&amp;"元整")</f>
        <v>零元整</v>
      </c>
      <c r="E121" s="3372"/>
      <c r="F121" s="3372"/>
      <c r="G121" s="3372"/>
      <c r="H121" s="3372"/>
      <c r="I121" s="3373"/>
      <c r="AA121" s="683"/>
    </row>
    <row r="122" spans="1:27" ht="18.75" customHeight="1">
      <c r="A122" s="3362" t="str">
        <f>IF(项目基本情况!B9="房地产市场价值","",MID(E107,3,LEN(E107)-2))</f>
        <v>房地产抵押价值</v>
      </c>
      <c r="B122" s="3362"/>
      <c r="C122" s="3362"/>
      <c r="D122" s="3395">
        <f ca="1">H107</f>
        <v>38102</v>
      </c>
      <c r="E122" s="3396"/>
      <c r="F122" s="3396"/>
      <c r="G122" s="3396"/>
      <c r="H122" s="3396"/>
      <c r="I122" s="3397"/>
      <c r="AA122" s="683"/>
    </row>
    <row r="123" spans="1:27" ht="18.75" customHeight="1">
      <c r="A123" s="3331" t="s">
        <v>1450</v>
      </c>
      <c r="B123" s="3331"/>
      <c r="C123" s="3331"/>
      <c r="D123" s="3371" t="str">
        <f ca="1">NUMBERSTRING(INT(D122*10000),2)&amp;"元整"</f>
        <v>叁亿捌仟壹佰零贰万元整</v>
      </c>
      <c r="E123" s="3372"/>
      <c r="F123" s="3372"/>
      <c r="G123" s="3372"/>
      <c r="H123" s="3372"/>
      <c r="I123" s="3373"/>
      <c r="AA123" s="683"/>
    </row>
    <row r="124" spans="1:27" ht="18.75" customHeight="1">
      <c r="A124" s="3362" t="str">
        <f>IF(项目基本情况!B9="房地产市场价值","",MID(E109,3,LEN(E109)-2))</f>
        <v/>
      </c>
      <c r="B124" s="3362"/>
      <c r="C124" s="3362"/>
      <c r="D124" s="3395" t="str">
        <f>H109</f>
        <v>——</v>
      </c>
      <c r="E124" s="3396"/>
      <c r="F124" s="3396"/>
      <c r="G124" s="3396"/>
      <c r="H124" s="3396"/>
      <c r="I124" s="3397"/>
      <c r="AA124" s="683"/>
    </row>
    <row r="125" spans="1:27" ht="18.75" customHeight="1">
      <c r="A125" s="3331" t="s">
        <v>1450</v>
      </c>
      <c r="B125" s="3331"/>
      <c r="C125" s="3331"/>
      <c r="D125" s="3371" t="e">
        <f>NUMBERSTRING(INT(D124*10000),2)&amp;"元整"</f>
        <v>#VALUE!</v>
      </c>
      <c r="E125" s="3372"/>
      <c r="F125" s="3372"/>
      <c r="G125" s="3372"/>
      <c r="H125" s="3372"/>
      <c r="I125" s="3373"/>
      <c r="AA125" s="683"/>
    </row>
    <row r="126" spans="1:27" ht="18.75" customHeight="1">
      <c r="A126" s="3362" t="str">
        <f>IF(项目基本情况!B9="房地产市场价值","",MID(E111,3,LEN(E111)-2))</f>
        <v>抵押净值</v>
      </c>
      <c r="B126" s="3362"/>
      <c r="C126" s="3362"/>
      <c r="D126" s="3395">
        <f ca="1">H111</f>
        <v>16154</v>
      </c>
      <c r="E126" s="3396"/>
      <c r="F126" s="3396"/>
      <c r="G126" s="3396"/>
      <c r="H126" s="3396"/>
      <c r="I126" s="3397"/>
      <c r="AA126" s="683"/>
    </row>
    <row r="127" spans="1:27" ht="18.75" customHeight="1">
      <c r="A127" s="3331" t="s">
        <v>1450</v>
      </c>
      <c r="B127" s="3331"/>
      <c r="C127" s="3331"/>
      <c r="D127" s="3371" t="str">
        <f ca="1">NUMBERSTRING(INT(D126*10000),2)&amp;"元整"</f>
        <v>壹亿陆仟壹佰伍拾肆万元整</v>
      </c>
      <c r="E127" s="3372"/>
      <c r="F127" s="3372"/>
      <c r="G127" s="3372"/>
      <c r="H127" s="3372"/>
      <c r="I127" s="3373"/>
      <c r="AA127" s="683"/>
    </row>
    <row r="128" spans="1:27" ht="21.75" customHeight="1">
      <c r="A128" s="3378" t="s">
        <v>1451</v>
      </c>
      <c r="B128" s="3378"/>
      <c r="C128" s="3378"/>
      <c r="D128" s="3378"/>
      <c r="E128" s="3378"/>
      <c r="F128" s="3378"/>
      <c r="G128" s="3378"/>
      <c r="H128" s="3378"/>
      <c r="I128" s="3378"/>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6" stopIfTrue="1" operator="equal">
      <formula>25</formula>
    </cfRule>
  </conditionalFormatting>
  <conditionalFormatting sqref="C8:D13">
    <cfRule type="cellIs" dxfId="119" priority="5" stopIfTrue="1" operator="equal">
      <formula>15</formula>
    </cfRule>
  </conditionalFormatting>
  <conditionalFormatting sqref="C14:D16">
    <cfRule type="cellIs" dxfId="118" priority="4"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8" zoomScaleNormal="80" zoomScaleSheetLayoutView="100" workbookViewId="0">
      <selection activeCell="D33" sqref="D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1924</v>
      </c>
      <c r="B1" s="188"/>
      <c r="C1" s="192" t="s">
        <v>1925</v>
      </c>
      <c r="D1" s="332">
        <f>SUM(D33:D34,D37:D42)</f>
        <v>49555.729999999996</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2" t="s">
        <v>1932</v>
      </c>
      <c r="B2" s="195">
        <f>C30</f>
        <v>7704</v>
      </c>
      <c r="C2" s="1845" t="s">
        <v>1933</v>
      </c>
      <c r="D2" s="161" t="s">
        <v>1934</v>
      </c>
      <c r="E2" s="3120" t="s">
        <v>3405</v>
      </c>
      <c r="F2" s="161" t="s">
        <v>1935</v>
      </c>
      <c r="G2" s="162" t="str">
        <f>IF(E2="商业",项目基本情况!B37,IF(E2="办公",项目基本情况!C37,IF(E2="住宅",项目基本情况!D37,IF(E2="工业",项目基本情况!E37,项目基本情况!F37))))</f>
        <v>五级</v>
      </c>
      <c r="H2" s="161" t="s">
        <v>1936</v>
      </c>
      <c r="I2" s="162" t="str">
        <f>IF(E2="商业",项目基本情况!B38,IF(E2="办公",项目基本情况!C38,IF(E2="住宅",项目基本情况!D38,IF(E2="工业",项目基本情况!E38,项目基本情况!F38))))</f>
        <v>Ⅴ-17</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10734</v>
      </c>
      <c r="U2" s="1129"/>
      <c r="V2" s="3063">
        <f>ROUND(T2*U2/10000,0)</f>
        <v>0</v>
      </c>
      <c r="W2" s="1132"/>
      <c r="X2" s="1132"/>
      <c r="Y2" s="1132"/>
      <c r="Z2" s="1132"/>
      <c r="AA2" s="1132"/>
      <c r="AB2" s="1132"/>
      <c r="AC2" s="1133"/>
      <c r="AD2" s="1134"/>
      <c r="AE2" s="1134"/>
      <c r="AF2" s="1134"/>
      <c r="AG2" s="1134"/>
      <c r="AH2" s="1134"/>
      <c r="AI2" s="1134"/>
      <c r="AJ2" s="1135"/>
    </row>
    <row r="3" spans="1:36" ht="15.6">
      <c r="A3" s="194" t="s">
        <v>1938</v>
      </c>
      <c r="B3" s="195">
        <f>ROUND(B2*10000/D1,0)</f>
        <v>1555</v>
      </c>
      <c r="C3" s="1845" t="s">
        <v>1939</v>
      </c>
      <c r="D3" s="161" t="s">
        <v>1940</v>
      </c>
      <c r="E3" s="3118" t="s">
        <v>2456</v>
      </c>
      <c r="F3" s="1847" t="s">
        <v>3818</v>
      </c>
      <c r="G3" s="707">
        <f>IF(F3="宗地容积率",'数据-汇总表'!I4,IF(F3="估价对象容积率",'数据-汇总表'!I6,'数据-汇总表'!I7))</f>
        <v>2.41</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8461</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74"/>
      <c r="B4" s="3475"/>
      <c r="C4" s="3475"/>
      <c r="D4" s="3476"/>
      <c r="E4" s="3476"/>
      <c r="F4" s="3476"/>
      <c r="G4" s="3476"/>
      <c r="H4" s="3476"/>
      <c r="I4" s="3476"/>
      <c r="J4" s="3477"/>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7151</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f>ROUND(IF(E2="商业",C6*C7*C17+C20,(IF(E2="住宅",C6*C13*C17+C20,IF(E2="办公",C6*C12*C17+C20,C6+C20)))),0)</f>
        <v>9577</v>
      </c>
      <c r="D5" s="1251">
        <f>ROUND(C6*C17+C20,0)</f>
        <v>9577</v>
      </c>
      <c r="E5" s="1251"/>
      <c r="F5" s="1850"/>
      <c r="G5" s="1851"/>
      <c r="H5" s="1851"/>
      <c r="I5" s="1851"/>
      <c r="J5" s="1852"/>
      <c r="K5" s="1853"/>
      <c r="L5" s="1846" t="s">
        <v>1946</v>
      </c>
      <c r="M5" s="810">
        <f>SUMPRODUCT((区片价!B87:B126=I2)*(区片价!C3:G3=E2)*(区片价!C87:G126))</f>
        <v>9610</v>
      </c>
      <c r="N5" s="812">
        <f>SUMPRODUCT((因素修正幅度!B87:B126=I2)*(因素修正幅度!C3:G3=E2)*(因素修正幅度!C87:G126))</f>
        <v>0.1</v>
      </c>
      <c r="O5" s="1055"/>
      <c r="P5" s="1055"/>
      <c r="Q5" s="1055"/>
      <c r="R5" s="1128">
        <v>4</v>
      </c>
      <c r="S5" s="3063">
        <f>ROUND(SUMPRODUCT((B106:B110=R5)*(C105:N105=G2)*(C106:N110)),4)</f>
        <v>0.88239999999999996</v>
      </c>
      <c r="T5" s="3063">
        <f t="shared" si="0"/>
        <v>6307</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9610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6061</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3235</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1953</v>
      </c>
      <c r="X7" s="1130" t="str">
        <f>G2</f>
        <v>五级</v>
      </c>
      <c r="Y7" s="1130" t="s">
        <v>1954</v>
      </c>
      <c r="Z7" s="1131">
        <f>G3</f>
        <v>2.41</v>
      </c>
      <c r="AA7" s="1132"/>
      <c r="AB7" s="1132"/>
      <c r="AC7" s="1133"/>
      <c r="AD7" s="1134"/>
      <c r="AE7" s="1134"/>
      <c r="AF7" s="1134"/>
      <c r="AG7" s="1134"/>
      <c r="AH7" s="1134"/>
      <c r="AI7" s="1134"/>
      <c r="AJ7" s="1135"/>
    </row>
    <row r="8" spans="1:36" ht="26.4">
      <c r="A8" s="3009"/>
      <c r="B8" s="161" t="s">
        <v>1955</v>
      </c>
      <c r="C8" s="1869" t="s">
        <v>3819</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1" t="s">
        <v>1958</v>
      </c>
      <c r="X8" s="3472"/>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SUMIF(修正!C71:C138,C8,修正!E71:E138)</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SUMIF(修正!C71:C138,C8,修正!F71:F138)</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3236</v>
      </c>
      <c r="B12" s="3013" t="s">
        <v>3237</v>
      </c>
      <c r="C12" s="3014">
        <v>1</v>
      </c>
      <c r="D12" s="3015" t="s">
        <v>3238</v>
      </c>
      <c r="E12" s="3016" t="s">
        <v>3239</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3240</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1983</v>
      </c>
      <c r="C14" s="1883" t="s">
        <v>1984</v>
      </c>
      <c r="D14" s="1260" t="s">
        <v>1985</v>
      </c>
      <c r="E14" s="27" t="s">
        <v>1986</v>
      </c>
      <c r="F14" s="3020" t="s">
        <v>3241</v>
      </c>
      <c r="G14" s="3020" t="s">
        <v>3241</v>
      </c>
      <c r="H14" s="3020" t="s">
        <v>3241</v>
      </c>
      <c r="I14" s="3020" t="s">
        <v>3241</v>
      </c>
      <c r="J14" s="3020" t="s">
        <v>3241</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3242</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3246</v>
      </c>
      <c r="E18" s="2356"/>
      <c r="F18" s="3030" t="s">
        <v>3249</v>
      </c>
      <c r="G18" s="3034">
        <f>ROUND(1-(1/(POWER(1+G24,E18))),4)</f>
        <v>0</v>
      </c>
      <c r="H18" s="3030" t="s">
        <v>3251</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3247</v>
      </c>
      <c r="E19" s="3043"/>
      <c r="F19" s="3044" t="s">
        <v>3250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3.8">
      <c r="A20" s="3478" t="s">
        <v>3252</v>
      </c>
      <c r="B20" s="158" t="s">
        <v>1992</v>
      </c>
      <c r="C20" s="3031">
        <f>ROUND(IF(F21="与级别开发程度一致",0,(G21-E21)/C21),0)</f>
        <v>-33</v>
      </c>
      <c r="D20" s="3046" t="s">
        <v>1996</v>
      </c>
      <c r="E20" s="3047"/>
      <c r="F20" s="3484" t="s">
        <v>1993</v>
      </c>
      <c r="G20" s="3485"/>
      <c r="H20" s="3032" t="s">
        <v>3820</v>
      </c>
      <c r="I20" s="3032" t="s">
        <v>3821</v>
      </c>
      <c r="J20" s="3033" t="s">
        <v>3822</v>
      </c>
      <c r="K20" s="1888" t="s">
        <v>3823</v>
      </c>
      <c r="L20" s="1888" t="s">
        <v>3824</v>
      </c>
      <c r="M20" s="1888" t="s">
        <v>3825</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79"/>
      <c r="B21" s="2001" t="s">
        <v>1995</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t="s">
        <v>3826</v>
      </c>
      <c r="G21" s="1994">
        <f>SUM(H21:O21)</f>
        <v>250</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1998</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2000</v>
      </c>
      <c r="E23" s="716">
        <v>44197</v>
      </c>
      <c r="F23" s="1895" t="s">
        <v>2001</v>
      </c>
      <c r="G23" s="717">
        <f>'数据-取费表'!B2</f>
        <v>45749</v>
      </c>
      <c r="H23" s="3048" t="s">
        <v>3254</v>
      </c>
      <c r="I23" s="3049" t="str">
        <f>IF(H23="季度增幅（自定义）",SUMIF(N25:N28,E2,O25:O28),"")</f>
        <v/>
      </c>
      <c r="J23" s="3141" t="s">
        <v>3253</v>
      </c>
      <c r="K23" s="1060"/>
      <c r="L23" s="1896" t="s">
        <v>2002</v>
      </c>
      <c r="M23" s="1240">
        <f>ROUND(SUMIF(地价!B2:G2,E2,地价!B16:G16),0)</f>
        <v>0</v>
      </c>
      <c r="N23" s="1897" t="s">
        <v>2003</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f>ROUND(POWER(1+G24,J24-I24)*(POWER(1+G24,I24)-1)/(POWER(1+G24,J24)-1),4)</f>
        <v>0.89749999999999996</v>
      </c>
      <c r="D24" s="1901" t="s">
        <v>2005</v>
      </c>
      <c r="E24" s="1247">
        <f>存贷款利率!E27/100</f>
        <v>4.3499999999999997E-2</v>
      </c>
      <c r="F24" s="1901" t="s">
        <v>1997</v>
      </c>
      <c r="G24" s="723">
        <f>SUMIF(M30:Q30,E2,M33:Q33)</f>
        <v>0.05</v>
      </c>
      <c r="H24" s="1901" t="s">
        <v>2006</v>
      </c>
      <c r="I24" s="724">
        <f>SUMIF('数据-取费表'!C6:C15,E2,'数据-取费表'!F6:F15)/COUNTIF('数据-取费表'!C6:C15,E2)</f>
        <v>35.06</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3333</v>
      </c>
      <c r="C25" s="460">
        <f>IF(B25="容积率修正",IF(G3&lt;10,D26,J26),C27)</f>
        <v>0.95889999999999997</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3255</v>
      </c>
      <c r="D26" s="1262">
        <f>IF(E26=G26,F26,IF(G3&lt;10,ROUND(F26+(H26-F26)*(G3-E26)/(G26-E26),4),"——"))</f>
        <v>0.95889999999999997</v>
      </c>
      <c r="E26" s="707">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07">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911" t="s">
        <v>3256</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1.0485</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f>IF(B25="容积率修正",E33+SUM(E37:E42),SUM(V2:V16)+SUM(E37:E42))</f>
        <v>7704</v>
      </c>
      <c r="D30" s="1924"/>
      <c r="E30" s="1841"/>
      <c r="F30" s="1925"/>
      <c r="G30" s="1841"/>
      <c r="H30" s="1841"/>
      <c r="I30" s="1841"/>
      <c r="J30" s="1926"/>
      <c r="K30" s="1055"/>
      <c r="L30" s="3055" t="s">
        <v>1934</v>
      </c>
      <c r="M30" s="3056" t="s">
        <v>1988</v>
      </c>
      <c r="N30" s="3056" t="s">
        <v>1989</v>
      </c>
      <c r="O30" s="3056" t="s">
        <v>1990</v>
      </c>
      <c r="P30" s="3056" t="s">
        <v>1991</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f>E34+SUM(I37:I42)</f>
        <v>1927</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6">
        <f>ROUND(C5*C22*C23*C24*C25*C28,0)</f>
        <v>6853</v>
      </c>
      <c r="D33" s="1939"/>
      <c r="E33" s="726">
        <f>ROUND(C33*D33/10000,0)</f>
        <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8">
        <f>ROUND(IF(E2="工业",C33*M42,IF(B25="楼层修正",SUM(V2:V16)*M41*10000/D34,C33*M41)),0)</f>
        <v>1713</v>
      </c>
      <c r="D34" s="1944"/>
      <c r="E34" s="726">
        <f>ROUND(IF(B25="楼层修正",SUM(V2:V16)*M40,C34*D34/10000),0)</f>
        <v>0</v>
      </c>
      <c r="F34" s="1945" t="s">
        <v>2030</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3259</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2025</v>
      </c>
      <c r="D36" s="432" t="s">
        <v>2026</v>
      </c>
      <c r="E36" s="432" t="s">
        <v>2027</v>
      </c>
      <c r="F36" s="332" t="s">
        <v>2033</v>
      </c>
      <c r="G36" s="1953" t="s">
        <v>2025</v>
      </c>
      <c r="H36" s="1953" t="s">
        <v>2026</v>
      </c>
      <c r="I36" s="1953" t="s">
        <v>2027</v>
      </c>
      <c r="J36" s="234"/>
      <c r="K36" s="1963"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2"/>
      <c r="B37" s="1954" t="s">
        <v>2034</v>
      </c>
      <c r="C37" s="166">
        <f>ROUND(D5*C22*C23*C24*C28*F37,0)</f>
        <v>4288</v>
      </c>
      <c r="D37" s="1939"/>
      <c r="E37" s="162">
        <f>ROUND(C37*D37/10000,0)</f>
        <v>0</v>
      </c>
      <c r="F37" s="162">
        <f>SUMIF(修正!A57:A68,G2,修正!B57:B68)</f>
        <v>0.6</v>
      </c>
      <c r="G37" s="162">
        <f>ROUND(IF(E2="工业",C37*$M$42,C37*$M$41),0)</f>
        <v>1072</v>
      </c>
      <c r="H37" s="162">
        <f>D37</f>
        <v>0</v>
      </c>
      <c r="I37" s="162">
        <f>ROUND(G37*H37/10000,0)</f>
        <v>0</v>
      </c>
      <c r="J37" s="2754"/>
      <c r="K37" s="3061" t="s">
        <v>3264</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3"/>
      <c r="B38" s="1883" t="s">
        <v>2035</v>
      </c>
      <c r="C38" s="166">
        <f>ROUND(D5*C22*C23*C24*C28*F38,0)</f>
        <v>2144</v>
      </c>
      <c r="D38" s="1939"/>
      <c r="E38" s="162">
        <f t="shared" ref="E38:E42" si="4">ROUND(C38*D38/10000,0)</f>
        <v>0</v>
      </c>
      <c r="F38" s="162">
        <f>SUMIF(修正!A57:A68,G2,修正!C57:C68)</f>
        <v>0.3</v>
      </c>
      <c r="G38" s="162">
        <f>ROUND(IF(E2="工业",C38*$M$42,C38*$M$41),0)</f>
        <v>536</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3"/>
      <c r="B39" s="1883" t="s">
        <v>3257</v>
      </c>
      <c r="C39" s="166">
        <f>ROUND(D5*C22*C23*C24*C28*F39,0)</f>
        <v>1787</v>
      </c>
      <c r="D39" s="1939"/>
      <c r="E39" s="162">
        <f t="shared" si="4"/>
        <v>0</v>
      </c>
      <c r="F39" s="162">
        <f>SUMIF(修正!A57:A68,G2,修正!D57:D68)</f>
        <v>0.25</v>
      </c>
      <c r="G39" s="162">
        <f>ROUND(IF(E2="工业",C39*$M$42,C39*$M$41),0)</f>
        <v>447</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f>ROUND(D5*C22*C23*C24*C28*F40,0)</f>
        <v>1787</v>
      </c>
      <c r="D40" s="3225">
        <f>面积清单!F61</f>
        <v>28902.46</v>
      </c>
      <c r="E40" s="162">
        <f t="shared" si="4"/>
        <v>5165</v>
      </c>
      <c r="F40" s="166">
        <f>SUMIF(修正!A57:A68,G2,修正!E57:E68)</f>
        <v>0.25</v>
      </c>
      <c r="G40" s="162">
        <f>ROUND(IF(E2="工业",C40*$M$42,C40*$M$41),0)</f>
        <v>447</v>
      </c>
      <c r="H40" s="162">
        <f t="shared" si="5"/>
        <v>28902.46</v>
      </c>
      <c r="I40" s="162">
        <f t="shared" si="6"/>
        <v>1292</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f>ROUND(D5*C22*C23*C44*C28*F41,0)</f>
        <v>1787</v>
      </c>
      <c r="D41" s="3225">
        <f>面积清单!F65</f>
        <v>4548.1000000000004</v>
      </c>
      <c r="E41" s="162">
        <f t="shared" si="4"/>
        <v>813</v>
      </c>
      <c r="F41" s="166">
        <f>SUMIF(修正!A57:A68,G2,修正!F57:F68)</f>
        <v>0.25</v>
      </c>
      <c r="G41" s="162">
        <f>ROUND(IF(E2="工业",C41*$M$42,C41*$M$41),0)</f>
        <v>447</v>
      </c>
      <c r="H41" s="162">
        <f t="shared" si="5"/>
        <v>4548.1000000000004</v>
      </c>
      <c r="I41" s="162">
        <f t="shared" si="6"/>
        <v>203</v>
      </c>
      <c r="J41" s="938"/>
      <c r="L41" s="3062" t="s">
        <v>3265</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8">
        <f>ROUND(D5*C22*C23*C44*C28*F42,0)</f>
        <v>1072</v>
      </c>
      <c r="D42" s="3226">
        <f>面积清单!F64</f>
        <v>16105.17</v>
      </c>
      <c r="E42" s="178">
        <f t="shared" si="4"/>
        <v>1726</v>
      </c>
      <c r="F42" s="722">
        <f>SUMIF(修正!A57:A68,G2,修正!G57:G68)</f>
        <v>0.15</v>
      </c>
      <c r="G42" s="178">
        <f>ROUND(IF(E2="工业",C42*$M$42,C42*$M$41),0)</f>
        <v>268</v>
      </c>
      <c r="H42" s="178">
        <f t="shared" si="5"/>
        <v>16105.17</v>
      </c>
      <c r="I42" s="178">
        <f t="shared" si="6"/>
        <v>432</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2">
        <f>ROUND(POWER(1+E44,H44-G44)*(POWER(1+E44,G44)-1)/(POWER(1+E44,H44)-1),4)</f>
        <v>0.89749999999999996</v>
      </c>
      <c r="D44" s="162" t="s">
        <v>1997</v>
      </c>
      <c r="E44" s="1990">
        <f>G24</f>
        <v>0.05</v>
      </c>
      <c r="F44" s="162" t="s">
        <v>2006</v>
      </c>
      <c r="G44" s="174">
        <f>项目基本情况!F15</f>
        <v>35.06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9.6" hidden="1">
      <c r="A50" s="1969" t="s">
        <v>2050</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9" t="s">
        <v>2051</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hidden="1">
      <c r="A56" s="1975" t="s">
        <v>2057</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5" t="s">
        <v>2058</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hidden="1" thickBot="1">
      <c r="A58" s="1976" t="s">
        <v>2059</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hidden="1">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hidden="1">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9.6" hidden="1">
      <c r="A61" s="1969" t="s">
        <v>2062</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hidden="1">
      <c r="A62" s="1969" t="s">
        <v>2051</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hidden="1">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hidden="1">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hidden="1">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hidden="1">
      <c r="A67" s="1969" t="s">
        <v>2057</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hidden="1">
      <c r="A68" s="1969" t="s">
        <v>2058</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hidden="1" thickBot="1">
      <c r="A69" s="1976" t="s">
        <v>2059</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hidden="1">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hidden="1">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52.8" hidden="1">
      <c r="A72" s="1969" t="s">
        <v>2064</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hidden="1">
      <c r="A73" s="1969" t="s">
        <v>2051</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hidden="1">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hidden="1">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hidden="1">
      <c r="A76" s="1969" t="s">
        <v>2057</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6.4" hidden="1">
      <c r="A77" s="1969" t="s">
        <v>2058</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hidden="1">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9.6" hidden="1">
      <c r="A79" s="1969" t="s">
        <v>2059</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hidden="1"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hidden="1">
      <c r="A81" s="1966" t="s">
        <v>2067</v>
      </c>
      <c r="B81" s="1967">
        <f>1+E83</f>
        <v>1</v>
      </c>
      <c r="C81" s="698"/>
      <c r="D81" s="698"/>
      <c r="E81" s="699"/>
      <c r="F81" s="1968"/>
      <c r="G81" s="3"/>
      <c r="H81" s="3"/>
      <c r="I81" s="3"/>
      <c r="J81" s="4"/>
      <c r="K81" s="4"/>
      <c r="L81" s="4"/>
      <c r="M81" s="4"/>
      <c r="N81" s="4"/>
      <c r="Z81" s="1844"/>
      <c r="AA81" s="1894"/>
      <c r="AG81" s="1057"/>
      <c r="AK81" s="1894"/>
    </row>
    <row r="82" spans="1:37" ht="25.2" hidden="1">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39.6" hidden="1">
      <c r="A83" s="1969" t="s">
        <v>2068</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hidden="1">
      <c r="A84" s="1969" t="s">
        <v>2051</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hidden="1">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hidden="1">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4" hidden="1">
      <c r="A87" s="1969" t="s">
        <v>2057</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4" hidden="1">
      <c r="A88" s="1969" t="s">
        <v>2058</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hidden="1">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40.200000000000003" hidden="1" thickBot="1">
      <c r="A90" s="1976" t="s">
        <v>2070</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2610</v>
      </c>
      <c r="B91" s="3079">
        <f>1+E93</f>
        <v>1.0485</v>
      </c>
      <c r="C91" s="3072"/>
      <c r="D91" s="3073"/>
      <c r="E91" s="1674"/>
      <c r="F91" s="1674"/>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t="s">
        <v>3766</v>
      </c>
      <c r="D93" s="2309">
        <f>SUMIF($J$92:$N$92,C93,J93:N93)</f>
        <v>1.2500000000000001E-2</v>
      </c>
      <c r="E93" s="3083">
        <f>ROUND(SUM(D93:D101),4)</f>
        <v>4.8500000000000001E-2</v>
      </c>
      <c r="F93" s="1674">
        <f>IF(E2="公共服务",SUMIF(L1:L12,G2,N1:N12),"——")</f>
        <v>0.1</v>
      </c>
      <c r="G93" s="3074">
        <v>1.2500000000000001E-2</v>
      </c>
      <c r="H93" s="3119">
        <f>IFERROR(ROUNDDOWN($F$93*I93/2,4),"——")</f>
        <v>1.2500000000000001E-2</v>
      </c>
      <c r="I93" s="3068">
        <v>0.25</v>
      </c>
      <c r="J93" s="1911">
        <f t="shared" ref="J93:J101" si="27">K93+$G93</f>
        <v>2.5000000000000001E-2</v>
      </c>
      <c r="K93" s="1911">
        <f t="shared" ref="K93:K101" si="28">$L93+$G93</f>
        <v>1.2500000000000001E-2</v>
      </c>
      <c r="L93" s="1911">
        <v>0</v>
      </c>
      <c r="M93" s="1911">
        <f t="shared" ref="M93:N101" si="29">L93-$G93</f>
        <v>-1.2500000000000001E-2</v>
      </c>
      <c r="N93" s="1911">
        <f t="shared" si="29"/>
        <v>-2.5000000000000001E-2</v>
      </c>
    </row>
    <row r="94" spans="1:37" ht="52.8">
      <c r="A94" s="3080" t="s">
        <v>3271</v>
      </c>
      <c r="B94" s="3071" t="str">
        <f>估价对象房地状况!C18</f>
        <v>估价对象周边道路状况、公共交通通达情况、停车便捷程度，综合评价交通便捷度较好</v>
      </c>
      <c r="C94" s="1886" t="s">
        <v>3766</v>
      </c>
      <c r="D94" s="2309">
        <f t="shared" ref="D94:D101" si="30">SUMIF($J$60:$N$60,C94,J94:N94)</f>
        <v>1.2999999999999999E-2</v>
      </c>
      <c r="E94" s="3084"/>
      <c r="F94" s="1674"/>
      <c r="G94" s="3074">
        <v>1.2999999999999999E-2</v>
      </c>
      <c r="H94" s="3119">
        <f>IFERROR(ROUNDDOWN($F$93*I94/2,4),"——")</f>
        <v>1.2999999999999999E-2</v>
      </c>
      <c r="I94" s="3068">
        <v>0.26</v>
      </c>
      <c r="J94" s="1911">
        <f t="shared" si="27"/>
        <v>2.5999999999999999E-2</v>
      </c>
      <c r="K94" s="1911">
        <f t="shared" si="28"/>
        <v>1.2999999999999999E-2</v>
      </c>
      <c r="L94" s="1911">
        <v>0</v>
      </c>
      <c r="M94" s="1911">
        <f t="shared" si="29"/>
        <v>-1.2999999999999999E-2</v>
      </c>
      <c r="N94" s="1911">
        <f t="shared" si="29"/>
        <v>-2.5999999999999999E-2</v>
      </c>
    </row>
    <row r="95" spans="1:37" ht="48">
      <c r="A95" s="3070" t="s">
        <v>3267</v>
      </c>
      <c r="B95" s="3071">
        <f>估价对象房地状况!C19</f>
        <v>0</v>
      </c>
      <c r="C95" s="1886" t="s">
        <v>3766</v>
      </c>
      <c r="D95" s="2309">
        <f t="shared" si="30"/>
        <v>5.4999999999999997E-3</v>
      </c>
      <c r="E95" s="3084"/>
      <c r="F95" s="1674"/>
      <c r="G95" s="3074">
        <v>5.4999999999999997E-3</v>
      </c>
      <c r="H95" s="3119">
        <f t="shared" ref="H95:H101" si="31">IFERROR(ROUNDDOWN($F$93*I95/2,4),"——")</f>
        <v>5.4999999999999997E-3</v>
      </c>
      <c r="I95" s="3068">
        <v>0.11</v>
      </c>
      <c r="J95" s="1911">
        <f t="shared" si="27"/>
        <v>1.0999999999999999E-2</v>
      </c>
      <c r="K95" s="1911">
        <f t="shared" si="28"/>
        <v>5.4999999999999997E-3</v>
      </c>
      <c r="L95" s="1911">
        <v>0</v>
      </c>
      <c r="M95" s="1911">
        <f t="shared" si="29"/>
        <v>-5.4999999999999997E-3</v>
      </c>
      <c r="N95" s="1911">
        <f t="shared" si="29"/>
        <v>-1.0999999999999999E-2</v>
      </c>
    </row>
    <row r="96" spans="1:37" ht="37.200000000000003">
      <c r="A96" s="3080" t="s">
        <v>3272</v>
      </c>
      <c r="B96" s="3086" t="s">
        <v>3283</v>
      </c>
      <c r="C96" s="1886" t="s">
        <v>3766</v>
      </c>
      <c r="D96" s="2309">
        <f t="shared" si="30"/>
        <v>2.5000000000000001E-3</v>
      </c>
      <c r="E96" s="3084"/>
      <c r="F96" s="1674"/>
      <c r="G96" s="3074">
        <v>2.5000000000000001E-3</v>
      </c>
      <c r="H96" s="3119">
        <f t="shared" si="31"/>
        <v>2.5000000000000001E-3</v>
      </c>
      <c r="I96" s="3068">
        <v>0.05</v>
      </c>
      <c r="J96" s="1911">
        <f t="shared" si="27"/>
        <v>5.0000000000000001E-3</v>
      </c>
      <c r="K96" s="1911">
        <f t="shared" si="28"/>
        <v>2.5000000000000001E-3</v>
      </c>
      <c r="L96" s="1911">
        <v>0</v>
      </c>
      <c r="M96" s="1911">
        <f t="shared" si="29"/>
        <v>-2.5000000000000001E-3</v>
      </c>
      <c r="N96" s="1911">
        <f t="shared" si="29"/>
        <v>-5.0000000000000001E-3</v>
      </c>
    </row>
    <row r="97" spans="1:14" ht="24">
      <c r="A97" s="3080" t="s">
        <v>3273</v>
      </c>
      <c r="B97" s="3071">
        <f>估价对象房地状况!C24</f>
        <v>0</v>
      </c>
      <c r="C97" s="1886" t="s">
        <v>3768</v>
      </c>
      <c r="D97" s="2309">
        <f t="shared" si="30"/>
        <v>0</v>
      </c>
      <c r="E97" s="3084"/>
      <c r="F97" s="1674"/>
      <c r="G97" s="3074">
        <v>2.5000000000000001E-3</v>
      </c>
      <c r="H97" s="3119">
        <f t="shared" si="31"/>
        <v>2.5000000000000001E-3</v>
      </c>
      <c r="I97" s="3068">
        <v>0.05</v>
      </c>
      <c r="J97" s="1911">
        <f t="shared" si="27"/>
        <v>5.0000000000000001E-3</v>
      </c>
      <c r="K97" s="1911">
        <f t="shared" si="28"/>
        <v>2.5000000000000001E-3</v>
      </c>
      <c r="L97" s="1911">
        <v>0</v>
      </c>
      <c r="M97" s="1911">
        <f t="shared" si="29"/>
        <v>-2.5000000000000001E-3</v>
      </c>
      <c r="N97" s="1911">
        <f t="shared" si="29"/>
        <v>-5.0000000000000001E-3</v>
      </c>
    </row>
    <row r="98" spans="1:14" ht="36">
      <c r="A98" s="3080" t="s">
        <v>3274</v>
      </c>
      <c r="B98" s="3087" t="s">
        <v>3284</v>
      </c>
      <c r="C98" s="1886" t="s">
        <v>3766</v>
      </c>
      <c r="D98" s="2309">
        <f t="shared" si="30"/>
        <v>3.0000000000000001E-3</v>
      </c>
      <c r="E98" s="3084"/>
      <c r="F98" s="1674"/>
      <c r="G98" s="3074">
        <v>3.0000000000000001E-3</v>
      </c>
      <c r="H98" s="3119">
        <f t="shared" si="31"/>
        <v>3.0000000000000001E-3</v>
      </c>
      <c r="I98" s="3068">
        <v>0.06</v>
      </c>
      <c r="J98" s="1911">
        <f t="shared" si="27"/>
        <v>6.0000000000000001E-3</v>
      </c>
      <c r="K98" s="1911">
        <f t="shared" si="28"/>
        <v>3.0000000000000001E-3</v>
      </c>
      <c r="L98" s="1911">
        <v>0</v>
      </c>
      <c r="M98" s="1911">
        <f t="shared" si="29"/>
        <v>-3.0000000000000001E-3</v>
      </c>
      <c r="N98" s="1911">
        <f t="shared" si="29"/>
        <v>-6.0000000000000001E-3</v>
      </c>
    </row>
    <row r="99" spans="1:14" ht="26.4">
      <c r="A99" s="3080" t="s">
        <v>3275</v>
      </c>
      <c r="B99" s="3071" t="str">
        <f>估价对象房地状况!C21</f>
        <v>估价对象所在区域公共配套设施齐备情况</v>
      </c>
      <c r="C99" s="1886" t="s">
        <v>3766</v>
      </c>
      <c r="D99" s="2309">
        <f t="shared" si="30"/>
        <v>3.0000000000000001E-3</v>
      </c>
      <c r="E99" s="3084"/>
      <c r="F99" s="1674"/>
      <c r="G99" s="3074">
        <v>3.0000000000000001E-3</v>
      </c>
      <c r="H99" s="3119">
        <f t="shared" si="31"/>
        <v>3.0000000000000001E-3</v>
      </c>
      <c r="I99" s="3068">
        <v>0.06</v>
      </c>
      <c r="J99" s="1911">
        <f t="shared" si="27"/>
        <v>6.0000000000000001E-3</v>
      </c>
      <c r="K99" s="1911">
        <f t="shared" si="28"/>
        <v>3.0000000000000001E-3</v>
      </c>
      <c r="L99" s="1911">
        <v>0</v>
      </c>
      <c r="M99" s="1911">
        <f t="shared" si="29"/>
        <v>-3.0000000000000001E-3</v>
      </c>
      <c r="N99" s="1911">
        <f t="shared" si="29"/>
        <v>-6.0000000000000001E-3</v>
      </c>
    </row>
    <row r="100" spans="1:14" ht="26.4">
      <c r="A100" s="3080" t="s">
        <v>3276</v>
      </c>
      <c r="B100" s="3071" t="str">
        <f>估价对象房地状况!C22</f>
        <v>估价对象所在区域基础设施水平</v>
      </c>
      <c r="C100" s="1886" t="s">
        <v>3827</v>
      </c>
      <c r="D100" s="2309">
        <f t="shared" si="30"/>
        <v>8.9999999999999993E-3</v>
      </c>
      <c r="E100" s="3084"/>
      <c r="F100" s="1674"/>
      <c r="G100" s="3074">
        <v>4.4999999999999997E-3</v>
      </c>
      <c r="H100" s="3119">
        <f t="shared" si="31"/>
        <v>4.4999999999999997E-3</v>
      </c>
      <c r="I100" s="3068">
        <v>0.09</v>
      </c>
      <c r="J100" s="1911">
        <f t="shared" si="27"/>
        <v>8.9999999999999993E-3</v>
      </c>
      <c r="K100" s="1911">
        <f t="shared" si="28"/>
        <v>4.4999999999999997E-3</v>
      </c>
      <c r="L100" s="1911">
        <v>0</v>
      </c>
      <c r="M100" s="1911">
        <f t="shared" si="29"/>
        <v>-4.4999999999999997E-3</v>
      </c>
      <c r="N100" s="1911">
        <f t="shared" si="29"/>
        <v>-8.9999999999999993E-3</v>
      </c>
    </row>
    <row r="101" spans="1:14" ht="40.200000000000003" thickBot="1">
      <c r="A101" s="3081" t="s">
        <v>3277</v>
      </c>
      <c r="B101" s="3088" t="str">
        <f>估价对象房地状况!C20</f>
        <v>区域自然环境：；人文环境；综合评价环境状况一般</v>
      </c>
      <c r="C101" s="1886" t="s">
        <v>3768</v>
      </c>
      <c r="D101" s="2309">
        <f t="shared" si="30"/>
        <v>0</v>
      </c>
      <c r="E101" s="3085"/>
      <c r="F101" s="1674"/>
      <c r="G101" s="3074">
        <v>3.5000000000000001E-3</v>
      </c>
      <c r="H101" s="3119">
        <f t="shared" si="31"/>
        <v>3.5000000000000001E-3</v>
      </c>
      <c r="I101" s="3069">
        <v>7.0000000000000007E-2</v>
      </c>
      <c r="J101" s="1911">
        <f t="shared" si="27"/>
        <v>7.0000000000000001E-3</v>
      </c>
      <c r="K101" s="1911">
        <f t="shared" si="28"/>
        <v>3.5000000000000001E-3</v>
      </c>
      <c r="L101" s="1911">
        <v>0</v>
      </c>
      <c r="M101" s="1911">
        <f t="shared" si="29"/>
        <v>-3.5000000000000001E-3</v>
      </c>
      <c r="N101" s="1911">
        <f t="shared" si="29"/>
        <v>-7.0000000000000001E-3</v>
      </c>
    </row>
    <row r="103" spans="1:14">
      <c r="A103" s="3480" t="s">
        <v>3292</v>
      </c>
      <c r="B103" s="3480"/>
      <c r="C103" s="3480"/>
      <c r="D103" s="3480"/>
      <c r="E103" s="3480"/>
      <c r="F103" s="3480"/>
      <c r="G103" s="3480"/>
      <c r="H103" s="3480"/>
      <c r="I103" s="3480"/>
      <c r="J103" s="3480"/>
      <c r="K103" s="1666"/>
      <c r="L103" s="1666"/>
      <c r="M103" s="1666"/>
      <c r="N103" s="1666"/>
    </row>
    <row r="104" spans="1:14">
      <c r="A104" s="3481" t="s">
        <v>3293</v>
      </c>
      <c r="B104" s="3481" t="s">
        <v>3294</v>
      </c>
      <c r="C104" s="3090" t="s">
        <v>3295</v>
      </c>
      <c r="D104" s="3091"/>
      <c r="E104" s="3091"/>
      <c r="F104" s="3091"/>
      <c r="G104" s="3091"/>
      <c r="H104" s="3091"/>
      <c r="I104" s="3091"/>
      <c r="J104" s="3092"/>
      <c r="K104" s="3093"/>
      <c r="L104" s="3093"/>
      <c r="M104" s="3093"/>
      <c r="N104" s="3093"/>
    </row>
    <row r="105" spans="1:14">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3310</v>
      </c>
      <c r="B116" s="3114">
        <f>G3</f>
        <v>2.41</v>
      </c>
      <c r="C116" s="3099" t="s">
        <v>3311</v>
      </c>
      <c r="D116" s="3100">
        <f>SUMPRODUCT((A118:A122=F116)*(B117:M117=H116)*B118:M122)</f>
        <v>0.86299999999999999</v>
      </c>
      <c r="E116" s="161" t="s">
        <v>3312</v>
      </c>
      <c r="F116" s="3101" t="str">
        <f>E2</f>
        <v>公共服务</v>
      </c>
      <c r="G116" s="161" t="s">
        <v>3313</v>
      </c>
      <c r="H116" s="3101" t="str">
        <f>G2</f>
        <v>五级</v>
      </c>
      <c r="I116" s="161"/>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0.97030000000000005</v>
      </c>
      <c r="C118" s="3089">
        <f>B118</f>
        <v>0.97030000000000005</v>
      </c>
      <c r="D118" s="3089">
        <f>ROUND(0.949-0.014*B116,4)</f>
        <v>0.9153</v>
      </c>
      <c r="E118" s="3089">
        <f>D118</f>
        <v>0.9153</v>
      </c>
      <c r="F118" s="3089">
        <f>E118</f>
        <v>0.9153</v>
      </c>
      <c r="G118" s="3089">
        <f>F118</f>
        <v>0.9153</v>
      </c>
      <c r="H118" s="3089">
        <f>G118</f>
        <v>0.9153</v>
      </c>
      <c r="I118" s="3089">
        <f>ROUND(0.8486-0.018*B116,4)</f>
        <v>0.80520000000000003</v>
      </c>
      <c r="J118" s="3089">
        <f t="shared" ref="J118:M122" si="35">I118</f>
        <v>0.80520000000000003</v>
      </c>
      <c r="K118" s="3089">
        <f t="shared" si="35"/>
        <v>0.80520000000000003</v>
      </c>
      <c r="L118" s="3089">
        <f t="shared" si="35"/>
        <v>0.80520000000000003</v>
      </c>
      <c r="M118" s="3109">
        <f t="shared" si="35"/>
        <v>0.80520000000000003</v>
      </c>
      <c r="N118" s="3097"/>
    </row>
    <row r="119" spans="1:14">
      <c r="A119" s="3057" t="s">
        <v>3327</v>
      </c>
      <c r="B119" s="3089">
        <f>ROUND(0.993-0.0112*B116,4)</f>
        <v>0.96599999999999997</v>
      </c>
      <c r="C119" s="3089">
        <f>B119</f>
        <v>0.96599999999999997</v>
      </c>
      <c r="D119" s="3089">
        <f>ROUND(0.9415-0.0142*B116,4)</f>
        <v>0.9073</v>
      </c>
      <c r="E119" s="3089">
        <f t="shared" ref="E119:H120" si="36">D119</f>
        <v>0.9073</v>
      </c>
      <c r="F119" s="3089">
        <f t="shared" si="36"/>
        <v>0.9073</v>
      </c>
      <c r="G119" s="3089">
        <f t="shared" si="36"/>
        <v>0.9073</v>
      </c>
      <c r="H119" s="3089">
        <f t="shared" si="36"/>
        <v>0.9073</v>
      </c>
      <c r="I119" s="3089">
        <f>ROUND(0.838-0.0182*B116,4)</f>
        <v>0.79410000000000003</v>
      </c>
      <c r="J119" s="3089">
        <f t="shared" si="35"/>
        <v>0.79410000000000003</v>
      </c>
      <c r="K119" s="3089">
        <f t="shared" si="35"/>
        <v>0.79410000000000003</v>
      </c>
      <c r="L119" s="3089">
        <f t="shared" si="35"/>
        <v>0.79410000000000003</v>
      </c>
      <c r="M119" s="3109">
        <f t="shared" si="35"/>
        <v>0.79410000000000003</v>
      </c>
      <c r="N119" s="3097"/>
    </row>
    <row r="120" spans="1:14">
      <c r="A120" s="3057" t="s">
        <v>3328</v>
      </c>
      <c r="B120" s="3089">
        <f>ROUND(0.9448-0.0115*B116,4)</f>
        <v>0.91710000000000003</v>
      </c>
      <c r="C120" s="3089">
        <f>B120</f>
        <v>0.91710000000000003</v>
      </c>
      <c r="D120" s="3089">
        <f>ROUND(0.937-0.0145*B116,4)</f>
        <v>0.90210000000000001</v>
      </c>
      <c r="E120" s="3089">
        <f t="shared" si="36"/>
        <v>0.90210000000000001</v>
      </c>
      <c r="F120" s="3089">
        <f t="shared" si="36"/>
        <v>0.90210000000000001</v>
      </c>
      <c r="G120" s="3089">
        <f t="shared" si="36"/>
        <v>0.90210000000000001</v>
      </c>
      <c r="H120" s="3089">
        <f t="shared" si="36"/>
        <v>0.90210000000000001</v>
      </c>
      <c r="I120" s="3089">
        <f>ROUND(0.7965-0.0185*B116,4)</f>
        <v>0.75190000000000001</v>
      </c>
      <c r="J120" s="3089">
        <f t="shared" si="35"/>
        <v>0.75190000000000001</v>
      </c>
      <c r="K120" s="3089">
        <f t="shared" si="35"/>
        <v>0.75190000000000001</v>
      </c>
      <c r="L120" s="3089">
        <f t="shared" si="35"/>
        <v>0.75190000000000001</v>
      </c>
      <c r="M120" s="3109">
        <f t="shared" si="35"/>
        <v>0.75190000000000001</v>
      </c>
      <c r="N120" s="3097"/>
    </row>
    <row r="121" spans="1:14" ht="13.8" thickBot="1">
      <c r="A121" s="3110" t="s">
        <v>3329</v>
      </c>
      <c r="B121" s="3111">
        <f>ROUND(0.7836-0.012*B116,4)</f>
        <v>0.75470000000000004</v>
      </c>
      <c r="C121" s="3111">
        <f>B121</f>
        <v>0.75470000000000004</v>
      </c>
      <c r="D121" s="3111">
        <f>ROUND(0.753-0.015*B116,4)</f>
        <v>0.71689999999999998</v>
      </c>
      <c r="E121" s="3111">
        <f>D121</f>
        <v>0.71689999999999998</v>
      </c>
      <c r="F121" s="3111">
        <f>E121</f>
        <v>0.71689999999999998</v>
      </c>
      <c r="G121" s="3111">
        <f>ROUND(0.6612-0.018*B116,4)</f>
        <v>0.61780000000000002</v>
      </c>
      <c r="H121" s="3111">
        <f>G121</f>
        <v>0.61780000000000002</v>
      </c>
      <c r="I121" s="3111">
        <f>ROUND(0.5905-0.019*B116,4)</f>
        <v>0.54469999999999996</v>
      </c>
      <c r="J121" s="3111">
        <f t="shared" si="35"/>
        <v>0.54469999999999996</v>
      </c>
      <c r="K121" s="3111">
        <f t="shared" si="35"/>
        <v>0.54469999999999996</v>
      </c>
      <c r="L121" s="3111">
        <f t="shared" si="35"/>
        <v>0.54469999999999996</v>
      </c>
      <c r="M121" s="3112">
        <f t="shared" si="35"/>
        <v>0.54469999999999996</v>
      </c>
      <c r="N121" s="3097"/>
    </row>
    <row r="122" spans="1:14">
      <c r="A122" s="3113" t="s">
        <v>2610</v>
      </c>
      <c r="B122" s="3089">
        <f>ROUND(0.9404-0.0106*B116,4)</f>
        <v>0.91490000000000005</v>
      </c>
      <c r="C122" s="3089">
        <f>B122</f>
        <v>0.91490000000000005</v>
      </c>
      <c r="D122" s="3089">
        <f>ROUND(0.8955-0.0135*B116,4)</f>
        <v>0.86299999999999999</v>
      </c>
      <c r="E122" s="3089">
        <f t="shared" ref="E122:H122" si="37">D122</f>
        <v>0.86299999999999999</v>
      </c>
      <c r="F122" s="3089">
        <f t="shared" si="37"/>
        <v>0.86299999999999999</v>
      </c>
      <c r="G122" s="3089">
        <f t="shared" si="37"/>
        <v>0.86299999999999999</v>
      </c>
      <c r="H122" s="3089">
        <f t="shared" si="37"/>
        <v>0.86299999999999999</v>
      </c>
      <c r="I122" s="3089">
        <f>ROUND(0.7632-0.0166*B116,4)</f>
        <v>0.72319999999999995</v>
      </c>
      <c r="J122" s="3089">
        <f t="shared" si="35"/>
        <v>0.72319999999999995</v>
      </c>
      <c r="K122" s="3089">
        <f t="shared" si="35"/>
        <v>0.72319999999999995</v>
      </c>
      <c r="L122" s="3089">
        <f t="shared" si="35"/>
        <v>0.72319999999999995</v>
      </c>
      <c r="M122" s="3109">
        <f t="shared" si="35"/>
        <v>0.72319999999999995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1459</v>
      </c>
      <c r="B1" s="1373" t="s">
        <v>3471</v>
      </c>
      <c r="C1" s="189"/>
      <c r="D1" s="189"/>
      <c r="E1" s="189"/>
      <c r="F1" s="189"/>
      <c r="G1" s="1061">
        <f>MATCH(B1,'数据-取费表'!A6:A16,0)+5</f>
        <v>7</v>
      </c>
    </row>
    <row r="2" spans="1:9" s="191" customFormat="1" ht="18" customHeight="1">
      <c r="A2" s="192" t="s">
        <v>1460</v>
      </c>
      <c r="B2" s="193">
        <f ca="1">IF(D2="——",C52,C52-E2)</f>
        <v>47907</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8237</v>
      </c>
      <c r="C3" s="190" t="s">
        <v>1463</v>
      </c>
      <c r="D3" s="190"/>
      <c r="E3" s="190"/>
      <c r="F3" s="190"/>
      <c r="G3" s="190"/>
    </row>
    <row r="4" spans="1:9" s="199" customFormat="1" ht="16.2">
      <c r="A4" s="196" t="s">
        <v>1464</v>
      </c>
      <c r="B4" s="197"/>
      <c r="C4" s="197"/>
      <c r="D4" s="197"/>
      <c r="E4" s="197"/>
      <c r="F4" s="197"/>
      <c r="G4" s="198"/>
    </row>
    <row r="5" spans="1:9" s="205" customFormat="1" ht="13.5" customHeight="1">
      <c r="A5" s="246" t="s">
        <v>1465</v>
      </c>
      <c r="B5" s="201" t="s">
        <v>1466</v>
      </c>
      <c r="C5" s="202">
        <f ca="1">C6+C7+C8</f>
        <v>9102</v>
      </c>
      <c r="D5" s="202" t="s">
        <v>1467</v>
      </c>
      <c r="E5" s="203" t="s">
        <v>1468</v>
      </c>
      <c r="F5" s="203" t="s">
        <v>1469</v>
      </c>
      <c r="G5" s="204"/>
    </row>
    <row r="6" spans="1:9" s="205" customFormat="1" ht="13.5" customHeight="1">
      <c r="A6" s="731" t="s">
        <v>1470</v>
      </c>
      <c r="B6" s="206" t="s">
        <v>1471</v>
      </c>
      <c r="C6" s="207">
        <f>基准地价修正!B2</f>
        <v>7704</v>
      </c>
      <c r="D6" s="208"/>
      <c r="E6" s="209"/>
      <c r="F6" s="209"/>
      <c r="G6" s="210"/>
    </row>
    <row r="7" spans="1:9" s="205" customFormat="1" ht="13.5" customHeight="1">
      <c r="A7" s="731" t="s">
        <v>1472</v>
      </c>
      <c r="B7" s="206" t="s">
        <v>1473</v>
      </c>
      <c r="C7" s="211">
        <f>ROUND(C6*F7,0)</f>
        <v>235</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1163</v>
      </c>
      <c r="D8" s="213"/>
      <c r="E8" s="211"/>
      <c r="F8" s="212"/>
      <c r="G8" s="1713" t="s">
        <v>3815</v>
      </c>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t="s">
        <v>3816</v>
      </c>
      <c r="H9" s="1069"/>
      <c r="I9" s="1715" t="s">
        <v>1477</v>
      </c>
    </row>
    <row r="10" spans="1:9" s="205" customFormat="1" ht="13.5" customHeight="1">
      <c r="A10" s="732" t="s">
        <v>356</v>
      </c>
      <c r="B10" s="215" t="s">
        <v>1478</v>
      </c>
      <c r="C10" s="216">
        <f ca="1">ROUND(D10*E10/10000,0)</f>
        <v>1163</v>
      </c>
      <c r="D10" s="794">
        <f ca="1">IF(B1="",'数据-汇总表'!E6,IF(INDIRECT("'数据-取费表'!c"&amp;$G$1)="住宅",INDIRECT("'数据-取费表'!s"&amp;$G$1),INDIRECT("'数据-取费表'!k"&amp;$G$1)+INDIRECT("'数据-取费表'!s"&amp;$G$1)))</f>
        <v>58162.89</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58162.89</v>
      </c>
      <c r="E19" s="202">
        <f>'数据-取费表'!B31</f>
        <v>200</v>
      </c>
      <c r="F19" s="222"/>
      <c r="G19" s="1713" t="s">
        <v>3817</v>
      </c>
    </row>
    <row r="20" spans="1:7" s="205" customFormat="1" ht="13.5" customHeight="1">
      <c r="A20" s="246" t="s">
        <v>1491</v>
      </c>
      <c r="B20" s="201" t="s">
        <v>1492</v>
      </c>
      <c r="C20" s="223">
        <f ca="1">ROUND((C5+C19)*F20,0)</f>
        <v>273</v>
      </c>
      <c r="D20" s="223"/>
      <c r="E20" s="223"/>
      <c r="F20" s="224">
        <f>'数据-取费表'!B37</f>
        <v>0.03</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733</v>
      </c>
      <c r="D22" s="226">
        <f ca="1">C26</f>
        <v>8.0000000000000004E-4</v>
      </c>
      <c r="E22" s="227" t="s">
        <v>1496</v>
      </c>
      <c r="F22" s="228">
        <f ca="1">'数据-取费表'!B40</f>
        <v>3.1E-2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722</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11</v>
      </c>
      <c r="D25" s="229"/>
      <c r="E25" s="232"/>
      <c r="F25" s="230"/>
      <c r="G25" s="233" t="s">
        <v>1508</v>
      </c>
    </row>
    <row r="26" spans="1:7" s="205" customFormat="1">
      <c r="A26" s="733" t="s">
        <v>350</v>
      </c>
      <c r="B26" s="206" t="s">
        <v>1509</v>
      </c>
      <c r="C26" s="229">
        <f ca="1">ROUND(IF('数据-取费表'!B22&lt;=1,F21*F22*'数据-取费表'!B23/2,F21*(POWER((1+F22),'数据-取费表'!B23/2)-1)),4)</f>
        <v>8.0000000000000004E-4</v>
      </c>
      <c r="D26" s="229"/>
      <c r="E26" s="232"/>
      <c r="F26" s="230"/>
      <c r="G26" s="234"/>
    </row>
    <row r="27" spans="1:7" s="205" customFormat="1" ht="26.4">
      <c r="A27" s="246" t="s">
        <v>1510</v>
      </c>
      <c r="B27" s="235" t="s">
        <v>1511</v>
      </c>
      <c r="C27" s="236">
        <f ca="1">C28</f>
        <v>938</v>
      </c>
      <c r="D27" s="226">
        <f ca="1">C29</f>
        <v>2E-3</v>
      </c>
      <c r="E27" s="227" t="s">
        <v>1512</v>
      </c>
      <c r="F27" s="237">
        <f ca="1">IF(B1="",'数据-取费表'!Q16,INDIRECT("'数据-取费表'!q"&amp;$G$1))</f>
        <v>0.1</v>
      </c>
      <c r="G27" s="238" t="s">
        <v>1513</v>
      </c>
    </row>
    <row r="28" spans="1:7" s="205" customFormat="1" ht="13.5" customHeight="1">
      <c r="A28" s="733" t="s">
        <v>346</v>
      </c>
      <c r="B28" s="239" t="s">
        <v>1514</v>
      </c>
      <c r="C28" s="240">
        <f ca="1">ROUND((C5+C19+C20)*F27*'数据-取费表'!B21/'数据-取费表'!B20,0)</f>
        <v>938</v>
      </c>
      <c r="D28" s="226"/>
      <c r="E28" s="227"/>
      <c r="F28" s="237"/>
      <c r="G28" s="238"/>
    </row>
    <row r="29" spans="1:7" s="205" customFormat="1" ht="13.5" customHeight="1">
      <c r="A29" s="733" t="s">
        <v>347</v>
      </c>
      <c r="B29" s="239" t="s">
        <v>1515</v>
      </c>
      <c r="C29" s="229">
        <f ca="1">ROUND(C21*F27*'数据-取费表'!B21/'数据-取费表'!B20,4)</f>
        <v>2E-3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11956</v>
      </c>
      <c r="D31" s="221"/>
      <c r="E31" s="202"/>
      <c r="F31" s="241"/>
      <c r="G31" s="225" t="s">
        <v>1520</v>
      </c>
    </row>
    <row r="32" spans="1:7" s="199" customFormat="1" ht="16.2">
      <c r="A32" s="243" t="s">
        <v>1521</v>
      </c>
      <c r="B32" s="244"/>
      <c r="C32" s="244"/>
      <c r="D32" s="244"/>
      <c r="E32" s="244"/>
      <c r="F32" s="244"/>
      <c r="G32" s="245"/>
    </row>
    <row r="33" spans="1:7" s="205" customFormat="1" ht="13.5" customHeight="1">
      <c r="A33" s="246" t="s">
        <v>337</v>
      </c>
      <c r="B33" s="201" t="s">
        <v>1522</v>
      </c>
      <c r="C33" s="247">
        <f ca="1">SUM(C34:C38)</f>
        <v>35393</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31990</v>
      </c>
      <c r="D34" s="208"/>
      <c r="E34" s="211"/>
      <c r="F34" s="248">
        <f ca="1">IF('数据-取费表'!B24=0,1,IF(B1="",'数据-取费表'!N16,INDIRECT("'数据-取费表'!n"&amp;$G$1)))</f>
        <v>1</v>
      </c>
      <c r="G34" s="210" t="s">
        <v>1524</v>
      </c>
    </row>
    <row r="35" spans="1:7" ht="13.5" customHeight="1">
      <c r="A35" s="733" t="s">
        <v>351</v>
      </c>
      <c r="B35" s="206" t="s">
        <v>1525</v>
      </c>
      <c r="C35" s="211">
        <f ca="1">ROUND(C34*F35,0)</f>
        <v>1600</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1163</v>
      </c>
      <c r="D37" s="208">
        <f ca="1">D19</f>
        <v>58162.89</v>
      </c>
      <c r="E37" s="240">
        <f>'数据-取费表'!B35</f>
        <v>200</v>
      </c>
      <c r="F37" s="250"/>
      <c r="G37" s="252" t="s">
        <v>1530</v>
      </c>
    </row>
    <row r="38" spans="1:7" ht="13.5" customHeight="1">
      <c r="A38" s="733" t="s">
        <v>354</v>
      </c>
      <c r="B38" s="206" t="s">
        <v>1531</v>
      </c>
      <c r="C38" s="211">
        <f ca="1">ROUND(C34*F38,0)</f>
        <v>640</v>
      </c>
      <c r="D38" s="211"/>
      <c r="E38" s="211"/>
      <c r="F38" s="250">
        <f>'数据-取费表'!B36</f>
        <v>0.02</v>
      </c>
      <c r="G38" s="210" t="s">
        <v>1526</v>
      </c>
    </row>
    <row r="39" spans="1:7" s="205" customFormat="1" ht="13.5" customHeight="1">
      <c r="A39" s="246" t="s">
        <v>1532</v>
      </c>
      <c r="B39" s="201" t="s">
        <v>1533</v>
      </c>
      <c r="C39" s="223">
        <f ca="1">ROUND(C33*F20,0)</f>
        <v>1062</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1418</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1377</v>
      </c>
      <c r="D42" s="229"/>
      <c r="E42" s="229"/>
      <c r="F42" s="230"/>
      <c r="G42" s="3486" t="s">
        <v>1542</v>
      </c>
    </row>
    <row r="43" spans="1:7" ht="13.5" customHeight="1">
      <c r="A43" s="733" t="s">
        <v>347</v>
      </c>
      <c r="B43" s="206" t="s">
        <v>1543</v>
      </c>
      <c r="C43" s="229">
        <f ca="1">ROUND(IF('数据-取费表'!B22&lt;=1,C39*F22*'数据-取费表'!B21/2,C39*(POWER((1+F22),'数据-取费表'!B21/2)-1)),0)</f>
        <v>41</v>
      </c>
      <c r="D43" s="229"/>
      <c r="E43" s="229"/>
      <c r="F43" s="230"/>
      <c r="G43" s="3487"/>
    </row>
    <row r="44" spans="1:7" ht="13.5" customHeight="1">
      <c r="A44" s="733" t="s">
        <v>348</v>
      </c>
      <c r="B44" s="206" t="s">
        <v>1544</v>
      </c>
      <c r="C44" s="229">
        <f ca="1">ROUND(IF('数据-取费表'!B22&lt;=1,C40*F22*'数据-取费表'!B21/2,C40*(POWER((1+F22),'数据-取费表'!B21/2)-1)),4)</f>
        <v>8.0000000000000004E-4</v>
      </c>
      <c r="D44" s="229"/>
      <c r="E44" s="229"/>
      <c r="F44" s="230"/>
      <c r="G44" s="3488"/>
    </row>
    <row r="45" spans="1:7" s="205" customFormat="1" ht="13.5" customHeight="1">
      <c r="A45" s="246" t="s">
        <v>1545</v>
      </c>
      <c r="B45" s="235" t="s">
        <v>1511</v>
      </c>
      <c r="C45" s="236">
        <f ca="1">C46</f>
        <v>3646</v>
      </c>
      <c r="D45" s="226">
        <f ca="1">C47</f>
        <v>2E-3</v>
      </c>
      <c r="E45" s="227" t="s">
        <v>1537</v>
      </c>
      <c r="F45" s="237">
        <f ca="1">F27</f>
        <v>0.1</v>
      </c>
      <c r="G45" s="238" t="s">
        <v>1546</v>
      </c>
    </row>
    <row r="46" spans="1:7" s="205" customFormat="1" ht="13.5" customHeight="1">
      <c r="A46" s="733" t="s">
        <v>346</v>
      </c>
      <c r="B46" s="239" t="s">
        <v>1547</v>
      </c>
      <c r="C46" s="240">
        <f ca="1">ROUND((C33+C39)*F27,0)</f>
        <v>3646</v>
      </c>
      <c r="D46" s="254"/>
      <c r="E46" s="227"/>
      <c r="F46" s="237"/>
      <c r="G46" s="238"/>
    </row>
    <row r="47" spans="1:7" s="205" customFormat="1" ht="13.5" customHeight="1">
      <c r="A47" s="733" t="s">
        <v>347</v>
      </c>
      <c r="B47" s="239" t="s">
        <v>1548</v>
      </c>
      <c r="C47" s="229">
        <f ca="1">ROUND(C40*F27,4)</f>
        <v>2E-3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44939</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35951</v>
      </c>
      <c r="D51" s="223"/>
      <c r="E51" s="223"/>
      <c r="F51" s="255"/>
      <c r="G51" s="225" t="s">
        <v>1558</v>
      </c>
    </row>
    <row r="52" spans="1:7" s="199" customFormat="1" ht="16.8" thickBot="1">
      <c r="A52" s="256" t="s">
        <v>1559</v>
      </c>
      <c r="B52" s="257"/>
      <c r="C52" s="258">
        <f ca="1">C31+C51</f>
        <v>47907</v>
      </c>
      <c r="D52" s="257"/>
      <c r="E52" s="257"/>
      <c r="F52" s="257"/>
      <c r="G52" s="259"/>
    </row>
    <row r="55" spans="1:7" ht="15">
      <c r="B55" s="261" t="s">
        <v>1560</v>
      </c>
      <c r="C55" s="262"/>
    </row>
    <row r="56" spans="1:7">
      <c r="B56" s="264" t="s">
        <v>802</v>
      </c>
      <c r="C56" s="266">
        <f ca="1">1-C57</f>
        <v>0.25</v>
      </c>
    </row>
    <row r="57" spans="1:7">
      <c r="B57" s="264" t="s">
        <v>803</v>
      </c>
      <c r="C57" s="265">
        <f ca="1">ROUND(C51/C52,3)</f>
        <v>0.75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136379.7868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7707</v>
      </c>
      <c r="C3" s="190" t="s">
        <v>1463</v>
      </c>
      <c r="D3" s="190"/>
      <c r="E3" s="190"/>
      <c r="F3" s="190"/>
      <c r="G3" s="190"/>
    </row>
    <row r="4" spans="1:8" s="199" customFormat="1" ht="16.2">
      <c r="A4" s="196" t="s">
        <v>1464</v>
      </c>
      <c r="B4" s="197"/>
      <c r="C4" s="197"/>
      <c r="D4" s="197"/>
      <c r="E4" s="197"/>
      <c r="F4" s="197"/>
      <c r="G4" s="198"/>
    </row>
    <row r="5" spans="1:8" s="205" customFormat="1" ht="13.5" customHeight="1">
      <c r="A5" s="246" t="s">
        <v>1465</v>
      </c>
      <c r="B5" s="201" t="s">
        <v>1466</v>
      </c>
      <c r="C5" s="202">
        <f ca="1">C6+C7+C8</f>
        <v>35390956</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35390956</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35390956</v>
      </c>
      <c r="D10" s="794">
        <f ca="1">IF(B1="",'数据-汇总表'!E6,IF(INDIRECT("'数据-取费表'!c"&amp;$G$1)="住宅",INDIRECT("'数据-取费表'!s"&amp;$G$1),INDIRECT("'数据-取费表'!k"&amp;$G$1)+INDIRECT("'数据-取费表'!s"&amp;$G$1)))</f>
        <v>176954.78</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35390956</v>
      </c>
      <c r="D19" s="203">
        <f ca="1">D9+D10</f>
        <v>176954.78</v>
      </c>
      <c r="E19" s="202">
        <f>'数据-取费表'!B31</f>
        <v>200</v>
      </c>
      <c r="F19" s="222"/>
      <c r="G19" s="1713"/>
    </row>
    <row r="20" spans="1:7" s="205" customFormat="1" ht="13.5" customHeight="1">
      <c r="A20" s="246" t="s">
        <v>1572</v>
      </c>
      <c r="B20" s="201" t="s">
        <v>1573</v>
      </c>
      <c r="C20" s="223">
        <f ca="1">ROUND((C5+C19)*F20,0)</f>
        <v>2123457</v>
      </c>
      <c r="D20" s="223"/>
      <c r="E20" s="223"/>
      <c r="F20" s="224">
        <f>'数据-取费表'!B37</f>
        <v>0.03</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5696394</v>
      </c>
      <c r="D22" s="226">
        <f ca="1">C26</f>
        <v>8.0000000000000004E-4</v>
      </c>
      <c r="E22" s="227" t="s">
        <v>1577</v>
      </c>
      <c r="F22" s="228">
        <f ca="1">'数据-取费表'!B40</f>
        <v>3.1E-2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2806897</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2806897</v>
      </c>
      <c r="D24" s="229"/>
      <c r="E24" s="229"/>
      <c r="F24" s="230"/>
      <c r="G24" s="231" t="s">
        <v>1584</v>
      </c>
    </row>
    <row r="25" spans="1:7" s="205" customFormat="1" ht="24">
      <c r="A25" s="733" t="s">
        <v>1474</v>
      </c>
      <c r="B25" s="206" t="s">
        <v>1585</v>
      </c>
      <c r="C25" s="229">
        <f ca="1">ROUND(IF('数据-取费表'!B22&lt;=1,C20*F22*'数据-取费表'!B22/2,C20*(POWER((1+F22),'数据-取费表'!B22/2)-1)),0)</f>
        <v>82600</v>
      </c>
      <c r="D25" s="229"/>
      <c r="E25" s="232"/>
      <c r="F25" s="230"/>
      <c r="G25" s="233" t="s">
        <v>1586</v>
      </c>
    </row>
    <row r="26" spans="1:7" s="205" customFormat="1">
      <c r="A26" s="733" t="s">
        <v>350</v>
      </c>
      <c r="B26" s="206" t="s">
        <v>1509</v>
      </c>
      <c r="C26" s="229">
        <f ca="1">ROUND(IF('数据-取费表'!B22&lt;=1,F21*F22*'数据-取费表'!B22/2,F21*(POWER((1+F22),'数据-取费表'!B22/2)-1)),4)</f>
        <v>8.0000000000000004E-4</v>
      </c>
      <c r="D26" s="229"/>
      <c r="E26" s="232"/>
      <c r="F26" s="230"/>
      <c r="G26" s="234"/>
    </row>
    <row r="27" spans="1:7" s="205" customFormat="1" ht="26.4">
      <c r="A27" s="246" t="s">
        <v>1510</v>
      </c>
      <c r="B27" s="235" t="s">
        <v>1511</v>
      </c>
      <c r="C27" s="236">
        <f ca="1">C28</f>
        <v>14581074</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ROUND((C5+C19+C20)*F27,0)</f>
        <v>14581074</v>
      </c>
      <c r="D28" s="226"/>
      <c r="E28" s="227"/>
      <c r="F28" s="237"/>
      <c r="G28" s="238"/>
    </row>
    <row r="29" spans="1:7" s="205" customFormat="1" ht="13.5" customHeight="1">
      <c r="A29" s="733" t="s">
        <v>347</v>
      </c>
      <c r="B29" s="239" t="s">
        <v>1515</v>
      </c>
      <c r="C29" s="229">
        <f ca="1">ROUND(C21*F27,4)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101076947</v>
      </c>
      <c r="D31" s="221"/>
      <c r="E31" s="202"/>
      <c r="F31" s="241"/>
      <c r="G31" s="225" t="s">
        <v>1520</v>
      </c>
    </row>
    <row r="32" spans="1:7" s="199" customFormat="1" ht="16.2">
      <c r="A32" s="243" t="s">
        <v>1587</v>
      </c>
      <c r="B32" s="244"/>
      <c r="C32" s="244"/>
      <c r="D32" s="244"/>
      <c r="E32" s="244"/>
      <c r="F32" s="244"/>
      <c r="G32" s="245"/>
    </row>
    <row r="33" spans="1:7" s="205" customFormat="1" ht="13.5" customHeight="1">
      <c r="A33" s="246" t="s">
        <v>337</v>
      </c>
      <c r="B33" s="201" t="s">
        <v>1588</v>
      </c>
      <c r="C33" s="247">
        <f ca="1">SUM(C34:C38)</f>
        <v>1140323498</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1032647235</v>
      </c>
      <c r="D34" s="208"/>
      <c r="E34" s="211"/>
      <c r="F34" s="248"/>
      <c r="G34" s="210"/>
    </row>
    <row r="35" spans="1:7" ht="13.5" customHeight="1">
      <c r="A35" s="733" t="s">
        <v>351</v>
      </c>
      <c r="B35" s="206" t="s">
        <v>1525</v>
      </c>
      <c r="C35" s="211">
        <f ca="1">ROUND(C34*F35,0)</f>
        <v>51632362</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35390956</v>
      </c>
      <c r="D37" s="208">
        <f ca="1">D19</f>
        <v>176954.78</v>
      </c>
      <c r="E37" s="240">
        <f>'数据-取费表'!B35</f>
        <v>200</v>
      </c>
      <c r="F37" s="250"/>
      <c r="G37" s="252"/>
    </row>
    <row r="38" spans="1:7" ht="13.5" customHeight="1">
      <c r="A38" s="733" t="s">
        <v>354</v>
      </c>
      <c r="B38" s="206" t="s">
        <v>1531</v>
      </c>
      <c r="C38" s="211">
        <f ca="1">ROUND(C34*F38,0)</f>
        <v>20652945</v>
      </c>
      <c r="D38" s="211"/>
      <c r="E38" s="211"/>
      <c r="F38" s="250">
        <f>'数据-取费表'!B36</f>
        <v>0.02</v>
      </c>
      <c r="G38" s="210" t="s">
        <v>1526</v>
      </c>
    </row>
    <row r="39" spans="1:7" s="205" customFormat="1" ht="13.5" customHeight="1">
      <c r="A39" s="246" t="s">
        <v>1532</v>
      </c>
      <c r="B39" s="201" t="s">
        <v>1533</v>
      </c>
      <c r="C39" s="223">
        <f ca="1">ROUND(C33*F20,0)</f>
        <v>34209705</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45688177</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44357453</v>
      </c>
      <c r="D42" s="229"/>
      <c r="E42" s="229"/>
      <c r="F42" s="230"/>
      <c r="G42" s="3486" t="s">
        <v>1589</v>
      </c>
    </row>
    <row r="43" spans="1:7" ht="13.5" customHeight="1">
      <c r="A43" s="733" t="s">
        <v>347</v>
      </c>
      <c r="B43" s="206" t="s">
        <v>1543</v>
      </c>
      <c r="C43" s="229">
        <f ca="1">ROUND(IF('数据-取费表'!B22&lt;=1,C39*F22*'数据-取费表'!B20/2,C39*(POWER((1+F22),'数据-取费表'!B20/2)-1)),0)</f>
        <v>1330724</v>
      </c>
      <c r="D43" s="229"/>
      <c r="E43" s="229"/>
      <c r="F43" s="230"/>
      <c r="G43" s="3487"/>
    </row>
    <row r="44" spans="1:7" ht="13.5" customHeight="1">
      <c r="A44" s="733" t="s">
        <v>348</v>
      </c>
      <c r="B44" s="206" t="s">
        <v>1544</v>
      </c>
      <c r="C44" s="229">
        <f ca="1">ROUND(IF('数据-取费表'!B22&lt;=1,C40*F22*'数据-取费表'!B20/2,C40*(POWER((1+F22),'数据-取费表'!B20/2)-1)),4)</f>
        <v>8.0000000000000004E-4</v>
      </c>
      <c r="D44" s="229"/>
      <c r="E44" s="229"/>
      <c r="F44" s="230"/>
      <c r="G44" s="3488"/>
    </row>
    <row r="45" spans="1:7" s="205" customFormat="1" ht="13.5" customHeight="1">
      <c r="A45" s="246" t="s">
        <v>1545</v>
      </c>
      <c r="B45" s="235" t="s">
        <v>1511</v>
      </c>
      <c r="C45" s="236">
        <f ca="1">C46</f>
        <v>234906641</v>
      </c>
      <c r="D45" s="226">
        <f ca="1">C47</f>
        <v>4.0000000000000001E-3</v>
      </c>
      <c r="E45" s="227" t="s">
        <v>1537</v>
      </c>
      <c r="F45" s="237">
        <f ca="1">F27</f>
        <v>0.2</v>
      </c>
      <c r="G45" s="238" t="s">
        <v>1546</v>
      </c>
    </row>
    <row r="46" spans="1:7" s="205" customFormat="1" ht="13.5" customHeight="1">
      <c r="A46" s="733" t="s">
        <v>346</v>
      </c>
      <c r="B46" s="239" t="s">
        <v>1547</v>
      </c>
      <c r="C46" s="240">
        <f ca="1">ROUND((C33+C39)*F27,0)</f>
        <v>234906641</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1578401151</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1262720921</v>
      </c>
      <c r="D51" s="223"/>
      <c r="E51" s="223"/>
      <c r="F51" s="255"/>
      <c r="G51" s="225" t="s">
        <v>1558</v>
      </c>
    </row>
    <row r="52" spans="1:7" s="199" customFormat="1" ht="16.8" thickBot="1">
      <c r="A52" s="256" t="s">
        <v>1559</v>
      </c>
      <c r="B52" s="257"/>
      <c r="C52" s="258">
        <f ca="1">C31+C51</f>
        <v>1363797868</v>
      </c>
      <c r="D52" s="257"/>
      <c r="E52" s="257"/>
      <c r="F52" s="257"/>
      <c r="G52" s="259"/>
    </row>
    <row r="55" spans="1:7" ht="15">
      <c r="B55" s="261" t="s">
        <v>1560</v>
      </c>
      <c r="C55" s="262"/>
    </row>
    <row r="56" spans="1:7">
      <c r="B56" s="264" t="s">
        <v>802</v>
      </c>
      <c r="C56" s="266">
        <f ca="1">1-C57</f>
        <v>7.3999999999999955E-2</v>
      </c>
    </row>
    <row r="57" spans="1:7">
      <c r="B57" s="264" t="s">
        <v>803</v>
      </c>
      <c r="C57" s="265">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1592</v>
      </c>
      <c r="B1" s="120"/>
      <c r="C1" s="1109"/>
      <c r="D1" s="1108"/>
      <c r="E1" s="2567"/>
      <c r="F1" s="2567"/>
      <c r="G1" s="2448"/>
      <c r="H1" s="2567"/>
      <c r="I1" s="2567"/>
      <c r="J1" s="2567"/>
      <c r="K1" s="2568">
        <f>MATCH(C1,'数据-取费表'!A6:A16,0)+5</f>
        <v>8</v>
      </c>
    </row>
    <row r="2" spans="1:33" ht="18" customHeight="1">
      <c r="A2" s="192" t="s">
        <v>1460</v>
      </c>
      <c r="B2" s="195">
        <f ca="1">C32</f>
        <v>0</v>
      </c>
      <c r="C2" s="267" t="s">
        <v>1593</v>
      </c>
      <c r="D2" s="267"/>
      <c r="E2" s="2567"/>
      <c r="F2" s="2567"/>
      <c r="G2" s="2567"/>
      <c r="H2" s="2567"/>
      <c r="I2" s="2567"/>
      <c r="J2" s="2567"/>
      <c r="K2" s="2567"/>
    </row>
    <row r="3" spans="1:33" ht="18" customHeight="1" thickBot="1">
      <c r="A3" s="194" t="s">
        <v>1462</v>
      </c>
      <c r="B3" s="195">
        <f ca="1">ROUND(B2*10000/IF(C1="",'数据-汇总表'!E3,INDIRECT("'数据-取费表'!K"&amp;$K$1)),0)</f>
        <v>0</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4.4">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176954.78</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176954.78</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3539</v>
      </c>
      <c r="D20" s="795">
        <f ca="1">IF(C1="",'数据-汇总表'!E6,IF(INDIRECT("'数据-取费表'!c"&amp;$K$1)="住宅",INDIRECT("'数据-取费表'!s"&amp;$K$1),INDIRECT("'数据-取费表'!k"&amp;$K$1)+INDIRECT("'数据-取费表'!s"&amp;$K$1)))</f>
        <v>176954.78</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0.03</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0</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64" t="s">
        <v>694</v>
      </c>
      <c r="C6" s="1010">
        <f ca="1">ROUND(F6*F8*F7*(1-F9),0)</f>
        <v>0</v>
      </c>
      <c r="D6" s="146" t="s">
        <v>2104</v>
      </c>
      <c r="E6" s="293" t="s">
        <v>696</v>
      </c>
      <c r="F6" s="294">
        <f ca="1">INDIRECT("'数据-取费表'!u"&amp;$G$1)</f>
        <v>0</v>
      </c>
      <c r="G6" s="1291"/>
      <c r="H6" s="1005" t="s">
        <v>398</v>
      </c>
      <c r="I6" s="3464" t="s">
        <v>694</v>
      </c>
      <c r="J6" s="292">
        <f ca="1">ROUND(M6*M8*M7*(1-M9),0)</f>
        <v>0</v>
      </c>
      <c r="K6" s="1283" t="s">
        <v>2105</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0</v>
      </c>
      <c r="G7" s="1291"/>
      <c r="H7" s="295"/>
      <c r="I7" s="3465"/>
      <c r="J7" s="297"/>
      <c r="K7" s="298"/>
      <c r="L7" s="293" t="s">
        <v>697</v>
      </c>
      <c r="M7" s="294">
        <f ca="1">F7</f>
        <v>0</v>
      </c>
    </row>
    <row r="8" spans="1:37" ht="18" customHeight="1">
      <c r="A8" s="295"/>
      <c r="B8" s="3465"/>
      <c r="C8" s="297"/>
      <c r="D8" s="298"/>
      <c r="E8" s="293" t="s">
        <v>698</v>
      </c>
      <c r="F8" s="294">
        <f ca="1">INDIRECT("'数据-取费表'!ai"&amp;$G$1)</f>
        <v>0</v>
      </c>
      <c r="G8" s="1291"/>
      <c r="H8" s="295"/>
      <c r="I8" s="3465"/>
      <c r="J8" s="297"/>
      <c r="K8" s="298"/>
      <c r="L8" s="293" t="s">
        <v>698</v>
      </c>
      <c r="M8" s="294">
        <f ca="1">INDIRECT("'数据-取费表'!ai"&amp;$G$1)</f>
        <v>0</v>
      </c>
    </row>
    <row r="9" spans="1:37" ht="18" customHeight="1">
      <c r="A9" s="295"/>
      <c r="B9" s="3466"/>
      <c r="C9" s="297"/>
      <c r="D9" s="298"/>
      <c r="E9" s="293" t="s">
        <v>699</v>
      </c>
      <c r="F9" s="303">
        <f ca="1">INDIRECT("'数据-取费表'!w"&amp;$G$1)</f>
        <v>0</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#DIV/0!</v>
      </c>
      <c r="D45" s="3130" t="s">
        <v>3351</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62" t="s">
        <v>837</v>
      </c>
      <c r="L53" s="3463"/>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2" customHeight="1">
      <c r="A2" s="1292" t="s">
        <v>2313</v>
      </c>
      <c r="B2" s="2594" t="e">
        <f>IF(D2="——",C40,C40+E2)</f>
        <v>#DIV/0!</v>
      </c>
      <c r="C2" s="2595" t="s">
        <v>2314</v>
      </c>
      <c r="D2" s="3138" t="s">
        <v>3357</v>
      </c>
      <c r="E2" s="3139"/>
      <c r="F2" s="2597"/>
      <c r="G2" s="2598"/>
      <c r="H2" s="2599"/>
      <c r="I2" s="2600"/>
      <c r="J2" s="3495" t="s">
        <v>2315</v>
      </c>
      <c r="K2" s="3496"/>
      <c r="L2" s="2601" t="s">
        <v>2316</v>
      </c>
      <c r="M2" s="2601" t="s">
        <v>2317</v>
      </c>
      <c r="N2" s="2601" t="s">
        <v>2318</v>
      </c>
      <c r="O2" s="2601" t="s">
        <v>2319</v>
      </c>
      <c r="P2" s="2601" t="s">
        <v>2320</v>
      </c>
      <c r="Q2" s="2602" t="s">
        <v>2321</v>
      </c>
      <c r="R2" s="2603" t="s">
        <v>2322</v>
      </c>
      <c r="S2" s="2592"/>
      <c r="T2" s="2592"/>
      <c r="U2" s="2592"/>
      <c r="V2" s="2600"/>
    </row>
    <row r="3" spans="1:22" s="2604" customFormat="1" ht="13.2" customHeight="1">
      <c r="A3" s="2605" t="s">
        <v>2323</v>
      </c>
      <c r="B3" s="2606" t="e">
        <f>ROUND(B2*10000/B4,0)</f>
        <v>#DIV/0!</v>
      </c>
      <c r="C3" s="2595" t="s">
        <v>2324</v>
      </c>
      <c r="D3" s="2595"/>
      <c r="E3" s="2596"/>
      <c r="F3" s="2597"/>
      <c r="G3" s="2598"/>
      <c r="H3" s="2599"/>
      <c r="I3" s="2600"/>
      <c r="J3" s="3497" t="s">
        <v>2325</v>
      </c>
      <c r="K3" s="3498"/>
      <c r="L3" s="2607"/>
      <c r="M3" s="2607"/>
      <c r="N3" s="2607"/>
      <c r="O3" s="2607"/>
      <c r="P3" s="2607"/>
      <c r="Q3" s="2608"/>
      <c r="R3" s="2609">
        <f>SUM(L3:Q3)</f>
        <v>0</v>
      </c>
      <c r="S3" s="2592"/>
      <c r="T3" s="2592"/>
      <c r="U3" s="2592"/>
      <c r="V3" s="2600"/>
    </row>
    <row r="4" spans="1:22" s="2604" customFormat="1" ht="13.2" customHeight="1">
      <c r="A4" s="2610" t="s">
        <v>2326</v>
      </c>
      <c r="B4" s="2611"/>
      <c r="C4" s="2595"/>
      <c r="D4" s="2595"/>
      <c r="E4" s="2596"/>
      <c r="F4" s="2597"/>
      <c r="G4" s="2598"/>
      <c r="H4" s="2599"/>
      <c r="I4" s="2600"/>
      <c r="J4" s="3497" t="s">
        <v>2327</v>
      </c>
      <c r="K4" s="3498"/>
      <c r="L4" s="2612"/>
      <c r="M4" s="2612"/>
      <c r="N4" s="2612"/>
      <c r="O4" s="2612"/>
      <c r="P4" s="2612"/>
      <c r="Q4" s="2613"/>
      <c r="R4" s="2614">
        <f>SUM(L4:Q4)</f>
        <v>0</v>
      </c>
      <c r="S4" s="2592"/>
      <c r="T4" s="2592"/>
      <c r="U4" s="2592"/>
      <c r="V4" s="2600"/>
    </row>
    <row r="5" spans="1:22" s="2604" customFormat="1" ht="13.2"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2" customHeight="1" thickBot="1">
      <c r="A6" s="3503" t="s">
        <v>2331</v>
      </c>
      <c r="B6" s="3504"/>
      <c r="C6" s="3505"/>
      <c r="D6" s="2621"/>
      <c r="E6" s="2622"/>
      <c r="F6" s="2623"/>
      <c r="G6" s="2624"/>
      <c r="H6" s="2599"/>
      <c r="I6" s="2600"/>
      <c r="J6" s="3489">
        <v>1</v>
      </c>
      <c r="K6" s="3490"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2" customHeight="1">
      <c r="A7" s="2627" t="s">
        <v>2341</v>
      </c>
      <c r="B7" s="2628"/>
      <c r="C7" s="2629"/>
      <c r="D7" s="2630">
        <f>SUM(D9,D10,D11,D17,0)</f>
        <v>0</v>
      </c>
      <c r="E7" s="2631" t="e">
        <f>E9+E10+E11+E17</f>
        <v>#DIV/0!</v>
      </c>
      <c r="F7" s="2632"/>
      <c r="G7" s="2633"/>
      <c r="H7" s="2599"/>
      <c r="I7" s="2600"/>
      <c r="J7" s="3489"/>
      <c r="K7" s="3491"/>
      <c r="L7" s="2634" t="s">
        <v>2342</v>
      </c>
      <c r="M7" s="2635"/>
      <c r="N7" s="2611"/>
      <c r="O7" s="2636"/>
      <c r="P7" s="2636"/>
      <c r="Q7" s="2637">
        <v>365</v>
      </c>
      <c r="R7" s="2638">
        <f>ROUND(M7*N7*O7*P7*Q7/10000,0)</f>
        <v>0</v>
      </c>
      <c r="S7" s="2592"/>
      <c r="T7" s="2592" t="s">
        <v>2343</v>
      </c>
      <c r="U7" s="2592"/>
      <c r="V7" s="2600"/>
    </row>
    <row r="8" spans="1:22" s="2604" customFormat="1" ht="13.2" customHeight="1">
      <c r="A8" s="2639" t="s">
        <v>2344</v>
      </c>
      <c r="B8" s="3506" t="s">
        <v>2345</v>
      </c>
      <c r="C8" s="3507"/>
      <c r="D8" s="2640" t="s">
        <v>2346</v>
      </c>
      <c r="E8" s="2641" t="s">
        <v>2347</v>
      </c>
      <c r="F8" s="2642" t="s">
        <v>2348</v>
      </c>
      <c r="G8" s="2643"/>
      <c r="H8" s="2599"/>
      <c r="I8" s="2600"/>
      <c r="J8" s="3489"/>
      <c r="K8" s="3491"/>
      <c r="L8" s="2634" t="s">
        <v>2349</v>
      </c>
      <c r="M8" s="2635"/>
      <c r="N8" s="2611"/>
      <c r="O8" s="2636"/>
      <c r="P8" s="2636"/>
      <c r="Q8" s="2637">
        <v>365</v>
      </c>
      <c r="R8" s="2638">
        <f t="shared" ref="R8:R13" si="0">ROUND(M8*N8*O8*P8*Q8/10000,0)</f>
        <v>0</v>
      </c>
      <c r="S8" s="2592"/>
      <c r="T8" s="2592" t="s">
        <v>2350</v>
      </c>
      <c r="U8" s="2592"/>
      <c r="V8" s="2600"/>
    </row>
    <row r="9" spans="1:22" s="2604" customFormat="1" ht="13.2" customHeight="1">
      <c r="A9" s="2639">
        <v>1</v>
      </c>
      <c r="B9" s="3506" t="s">
        <v>2351</v>
      </c>
      <c r="C9" s="3507"/>
      <c r="D9" s="2640">
        <f>ROUND(D6*E9,0)</f>
        <v>0</v>
      </c>
      <c r="E9" s="2644"/>
      <c r="F9" s="2645" t="s">
        <v>2352</v>
      </c>
      <c r="G9" s="2624"/>
      <c r="H9" s="2599"/>
      <c r="I9" s="2600"/>
      <c r="J9" s="3489"/>
      <c r="K9" s="3491"/>
      <c r="L9" s="2634" t="s">
        <v>2353</v>
      </c>
      <c r="M9" s="2635"/>
      <c r="N9" s="2611"/>
      <c r="O9" s="2636"/>
      <c r="P9" s="2636"/>
      <c r="Q9" s="2637">
        <v>365</v>
      </c>
      <c r="R9" s="2638">
        <f t="shared" si="0"/>
        <v>0</v>
      </c>
      <c r="S9" s="2592"/>
      <c r="T9" s="2592"/>
      <c r="U9" s="2592"/>
      <c r="V9" s="2600"/>
    </row>
    <row r="10" spans="1:22" s="2604" customFormat="1" ht="13.2" customHeight="1">
      <c r="A10" s="2639">
        <v>2</v>
      </c>
      <c r="B10" s="3506" t="s">
        <v>2354</v>
      </c>
      <c r="C10" s="3507"/>
      <c r="D10" s="2640">
        <f>ROUND(D6*E10,0)</f>
        <v>0</v>
      </c>
      <c r="E10" s="2644"/>
      <c r="F10" s="2645" t="s">
        <v>2355</v>
      </c>
      <c r="G10" s="2624"/>
      <c r="H10" s="2599"/>
      <c r="I10" s="2600"/>
      <c r="J10" s="3489"/>
      <c r="K10" s="3491"/>
      <c r="L10" s="2634" t="s">
        <v>2356</v>
      </c>
      <c r="M10" s="2635"/>
      <c r="N10" s="2611"/>
      <c r="O10" s="2636"/>
      <c r="P10" s="2636"/>
      <c r="Q10" s="2637">
        <v>365</v>
      </c>
      <c r="R10" s="2638">
        <f t="shared" si="0"/>
        <v>0</v>
      </c>
      <c r="S10" s="2592"/>
      <c r="T10" s="2592"/>
      <c r="U10" s="2592"/>
      <c r="V10" s="2600"/>
    </row>
    <row r="11" spans="1:22" s="2604" customFormat="1" ht="13.2" customHeight="1">
      <c r="A11" s="2639">
        <v>3</v>
      </c>
      <c r="B11" s="3506" t="s">
        <v>2357</v>
      </c>
      <c r="C11" s="3507"/>
      <c r="D11" s="2640">
        <f>D12+D14+D15+D16</f>
        <v>0</v>
      </c>
      <c r="E11" s="2646" t="e">
        <f>D11/D6</f>
        <v>#DIV/0!</v>
      </c>
      <c r="F11" s="2642"/>
      <c r="G11" s="2643"/>
      <c r="H11" s="2599"/>
      <c r="I11" s="2600"/>
      <c r="J11" s="3489"/>
      <c r="K11" s="3491"/>
      <c r="L11" s="2634" t="s">
        <v>2358</v>
      </c>
      <c r="M11" s="2635"/>
      <c r="N11" s="2611"/>
      <c r="O11" s="2636"/>
      <c r="P11" s="2636"/>
      <c r="Q11" s="2637">
        <v>365</v>
      </c>
      <c r="R11" s="2638">
        <f t="shared" si="0"/>
        <v>0</v>
      </c>
      <c r="S11" s="2592"/>
      <c r="T11" s="2592"/>
      <c r="U11" s="2592"/>
      <c r="V11" s="2600"/>
    </row>
    <row r="12" spans="1:22" s="2604" customFormat="1" ht="13.2" customHeight="1">
      <c r="A12" s="2647" t="s">
        <v>2359</v>
      </c>
      <c r="B12" s="3499" t="s">
        <v>2360</v>
      </c>
      <c r="C12" s="3500"/>
      <c r="D12" s="2648">
        <f>ROUND(D13*1.2%*(1-30%),0)</f>
        <v>0</v>
      </c>
      <c r="E12" s="2649">
        <v>1.2E-2</v>
      </c>
      <c r="F12" s="2642" t="s">
        <v>2361</v>
      </c>
      <c r="G12" s="2643"/>
      <c r="H12" s="2599"/>
      <c r="I12" s="2600"/>
      <c r="J12" s="3489"/>
      <c r="K12" s="3491"/>
      <c r="L12" s="2634" t="s">
        <v>2362</v>
      </c>
      <c r="M12" s="2635"/>
      <c r="N12" s="2611"/>
      <c r="O12" s="2636"/>
      <c r="P12" s="2636"/>
      <c r="Q12" s="2637">
        <v>365</v>
      </c>
      <c r="R12" s="2638">
        <f t="shared" si="0"/>
        <v>0</v>
      </c>
      <c r="S12" s="2592"/>
      <c r="T12" s="2592"/>
      <c r="U12" s="2592"/>
      <c r="V12" s="2600"/>
    </row>
    <row r="13" spans="1:22" s="2604" customFormat="1" ht="13.2" customHeight="1">
      <c r="A13" s="2647"/>
      <c r="B13" s="2650"/>
      <c r="C13" s="2651" t="s">
        <v>2363</v>
      </c>
      <c r="D13" s="2652"/>
      <c r="E13" s="2653"/>
      <c r="F13" s="2642"/>
      <c r="G13" s="2643"/>
      <c r="H13" s="2599"/>
      <c r="I13" s="2600"/>
      <c r="J13" s="3489"/>
      <c r="K13" s="3491"/>
      <c r="L13" s="2634" t="s">
        <v>2364</v>
      </c>
      <c r="M13" s="2635"/>
      <c r="N13" s="2611"/>
      <c r="O13" s="2636"/>
      <c r="P13" s="2636"/>
      <c r="Q13" s="2637">
        <v>365</v>
      </c>
      <c r="R13" s="2638">
        <f t="shared" si="0"/>
        <v>0</v>
      </c>
      <c r="S13" s="2592"/>
      <c r="T13" s="2592"/>
      <c r="U13" s="2592"/>
      <c r="V13" s="2600"/>
    </row>
    <row r="14" spans="1:22" s="2604" customFormat="1" ht="13.2" customHeight="1">
      <c r="A14" s="2647" t="s">
        <v>2365</v>
      </c>
      <c r="B14" s="3499" t="s">
        <v>2366</v>
      </c>
      <c r="C14" s="3500"/>
      <c r="D14" s="2648">
        <f>ROUND(E14*B5/10000,0)</f>
        <v>0</v>
      </c>
      <c r="E14" s="2637"/>
      <c r="F14" s="2642" t="s">
        <v>2367</v>
      </c>
      <c r="G14" s="2643"/>
      <c r="H14" s="2599"/>
      <c r="I14" s="2600"/>
      <c r="J14" s="3489"/>
      <c r="K14" s="3492"/>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2369</v>
      </c>
      <c r="B15" s="3499" t="s">
        <v>2370</v>
      </c>
      <c r="C15" s="3500"/>
      <c r="D15" s="2648">
        <f>ROUND(D6*E15,0)</f>
        <v>0</v>
      </c>
      <c r="E15" s="2649">
        <v>5.5E-2</v>
      </c>
      <c r="F15" s="2642" t="s">
        <v>2371</v>
      </c>
      <c r="G15" s="2624"/>
      <c r="H15" s="2599"/>
      <c r="I15" s="2600"/>
      <c r="J15" s="3489">
        <v>2</v>
      </c>
      <c r="K15" s="3490"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2" customHeight="1">
      <c r="A16" s="2647" t="s">
        <v>2378</v>
      </c>
      <c r="B16" s="3499" t="s">
        <v>2379</v>
      </c>
      <c r="C16" s="3500"/>
      <c r="D16" s="2659">
        <f>D6*E16</f>
        <v>0</v>
      </c>
      <c r="E16" s="2660"/>
      <c r="F16" s="2645" t="s">
        <v>2380</v>
      </c>
      <c r="G16" s="2624"/>
      <c r="H16" s="2599"/>
      <c r="I16" s="2600"/>
      <c r="J16" s="3489"/>
      <c r="K16" s="3491"/>
      <c r="L16" s="2634" t="s">
        <v>2381</v>
      </c>
      <c r="M16" s="2635"/>
      <c r="N16" s="2635"/>
      <c r="O16" s="2636"/>
      <c r="P16" s="2637">
        <v>365</v>
      </c>
      <c r="Q16" s="2611"/>
      <c r="R16" s="2658">
        <f>ROUND(M16*N16*O16*P16/10000,0)</f>
        <v>0</v>
      </c>
      <c r="S16" s="2592"/>
      <c r="T16" s="2592"/>
      <c r="U16" s="2592"/>
      <c r="V16" s="2600"/>
    </row>
    <row r="17" spans="1:22" s="2604" customFormat="1" ht="13.2" customHeight="1" thickBot="1">
      <c r="A17" s="2661">
        <v>4</v>
      </c>
      <c r="B17" s="3501" t="s">
        <v>2382</v>
      </c>
      <c r="C17" s="3502"/>
      <c r="D17" s="2662">
        <f>ROUND(D6*E17,0)</f>
        <v>0</v>
      </c>
      <c r="E17" s="2663"/>
      <c r="F17" s="2664" t="s">
        <v>2383</v>
      </c>
      <c r="G17" s="2624"/>
      <c r="H17" s="2599"/>
      <c r="I17" s="2600"/>
      <c r="J17" s="3489"/>
      <c r="K17" s="3491"/>
      <c r="L17" s="2634" t="s">
        <v>2384</v>
      </c>
      <c r="M17" s="2635"/>
      <c r="N17" s="2635"/>
      <c r="O17" s="2636"/>
      <c r="P17" s="2637">
        <v>365</v>
      </c>
      <c r="Q17" s="2611"/>
      <c r="R17" s="2658">
        <f>ROUND(M17*N17*O17*P17/10000,0)</f>
        <v>0</v>
      </c>
      <c r="S17" s="2592"/>
      <c r="T17" s="2592"/>
      <c r="U17" s="2592"/>
      <c r="V17" s="2600"/>
    </row>
    <row r="18" spans="1:22" s="2604" customFormat="1" ht="13.2" customHeight="1" thickBot="1">
      <c r="A18" s="2627" t="s">
        <v>2385</v>
      </c>
      <c r="B18" s="2628"/>
      <c r="C18" s="2628"/>
      <c r="D18" s="2665">
        <f>ROUND(D6*E18,0)</f>
        <v>0</v>
      </c>
      <c r="E18" s="2666"/>
      <c r="F18" s="2667" t="s">
        <v>2386</v>
      </c>
      <c r="G18" s="2624"/>
      <c r="H18" s="2599"/>
      <c r="I18" s="2600"/>
      <c r="J18" s="3489"/>
      <c r="K18" s="3491"/>
      <c r="L18" s="2634" t="s">
        <v>2387</v>
      </c>
      <c r="M18" s="2635"/>
      <c r="N18" s="2635"/>
      <c r="O18" s="2636"/>
      <c r="P18" s="2637">
        <v>365</v>
      </c>
      <c r="Q18" s="2611"/>
      <c r="R18" s="2658">
        <f>ROUND(M18*N18*O18*P18/10000,0)</f>
        <v>0</v>
      </c>
      <c r="S18" s="2592"/>
      <c r="T18" s="2592"/>
      <c r="U18" s="2592"/>
      <c r="V18" s="2600"/>
    </row>
    <row r="19" spans="1:22" s="2604" customFormat="1" ht="13.2" customHeight="1" thickBot="1">
      <c r="A19" s="2668" t="s">
        <v>2388</v>
      </c>
      <c r="B19" s="2622"/>
      <c r="C19" s="2622"/>
      <c r="D19" s="2622"/>
      <c r="E19" s="2622"/>
      <c r="F19" s="2623"/>
      <c r="G19" s="2643"/>
      <c r="H19" s="2599"/>
      <c r="I19" s="2600"/>
      <c r="J19" s="3489"/>
      <c r="K19" s="3492"/>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89">
        <v>3</v>
      </c>
      <c r="K20" s="3490"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2" customHeight="1">
      <c r="A21" s="2627"/>
      <c r="B21" s="2628"/>
      <c r="C21" s="2673" t="s">
        <v>2397</v>
      </c>
      <c r="D21" s="2674" t="s">
        <v>2398</v>
      </c>
      <c r="E21" s="2675" t="s">
        <v>2399</v>
      </c>
      <c r="F21" s="2671"/>
      <c r="G21" s="2643"/>
      <c r="H21" s="2599"/>
      <c r="I21" s="2600"/>
      <c r="J21" s="3489"/>
      <c r="K21" s="3491"/>
      <c r="L21" s="2634" t="s">
        <v>2400</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2401</v>
      </c>
      <c r="D22" s="2678" t="s">
        <v>2402</v>
      </c>
      <c r="E22" s="2679" t="s">
        <v>2403</v>
      </c>
      <c r="F22" s="2671"/>
      <c r="G22" s="2592"/>
      <c r="H22" s="2599"/>
      <c r="I22" s="2600"/>
      <c r="J22" s="3489"/>
      <c r="K22" s="3491"/>
      <c r="L22" s="2634" t="s">
        <v>2404</v>
      </c>
      <c r="M22" s="2635"/>
      <c r="N22" s="2635"/>
      <c r="O22" s="2636"/>
      <c r="P22" s="2637">
        <v>365</v>
      </c>
      <c r="Q22" s="2611"/>
      <c r="R22" s="2676">
        <f>ROUND(M22*N22*O22*P22/10000,0)</f>
        <v>0</v>
      </c>
      <c r="S22" s="2592"/>
      <c r="T22" s="2592"/>
      <c r="U22" s="2592"/>
      <c r="V22" s="2600"/>
    </row>
    <row r="23" spans="1:22" s="2604" customFormat="1" ht="13.2" customHeight="1">
      <c r="A23" s="2680">
        <v>1</v>
      </c>
      <c r="B23" s="2681" t="s">
        <v>2405</v>
      </c>
      <c r="C23" s="2682">
        <f>D6</f>
        <v>0</v>
      </c>
      <c r="D23" s="2683">
        <f>C23*(1+D24)</f>
        <v>0</v>
      </c>
      <c r="E23" s="2684">
        <f>D23*(1+E24)</f>
        <v>0</v>
      </c>
      <c r="F23" s="2685"/>
      <c r="G23" s="2686"/>
      <c r="H23" s="2599"/>
      <c r="I23" s="2600"/>
      <c r="J23" s="3489"/>
      <c r="K23" s="3491"/>
      <c r="L23" s="2634" t="s">
        <v>2406</v>
      </c>
      <c r="M23" s="2635"/>
      <c r="N23" s="2635"/>
      <c r="O23" s="2636"/>
      <c r="P23" s="2637">
        <v>365</v>
      </c>
      <c r="Q23" s="2611"/>
      <c r="R23" s="2676">
        <f>ROUND(M23*N23*O23*P23/10000,0)</f>
        <v>0</v>
      </c>
      <c r="S23" s="2592"/>
      <c r="T23" s="2592"/>
      <c r="U23" s="2592"/>
      <c r="V23" s="2600"/>
    </row>
    <row r="24" spans="1:22" s="2604" customFormat="1" ht="13.2" customHeight="1">
      <c r="A24" s="2687"/>
      <c r="B24" s="2688" t="s">
        <v>2407</v>
      </c>
      <c r="C24" s="2689"/>
      <c r="D24" s="2690"/>
      <c r="E24" s="2691"/>
      <c r="F24" s="2692"/>
      <c r="G24" s="2686"/>
      <c r="H24" s="2599"/>
      <c r="I24" s="2600"/>
      <c r="J24" s="3489"/>
      <c r="K24" s="3492"/>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2" customHeight="1">
      <c r="A26" s="2680">
        <v>2</v>
      </c>
      <c r="B26" s="2681" t="s">
        <v>2409</v>
      </c>
      <c r="C26" s="2682">
        <f>D7</f>
        <v>0</v>
      </c>
      <c r="D26" s="2683">
        <f>D23*D27</f>
        <v>0</v>
      </c>
      <c r="E26" s="2684">
        <f>E23*E27</f>
        <v>0</v>
      </c>
      <c r="F26" s="2685"/>
      <c r="G26" s="2686"/>
      <c r="H26" s="2599"/>
      <c r="I26" s="2600"/>
      <c r="J26" s="3493">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2" customHeight="1">
      <c r="A27" s="2687"/>
      <c r="B27" s="2688" t="s">
        <v>2415</v>
      </c>
      <c r="C27" s="2705" t="e">
        <f>E7</f>
        <v>#DIV/0!</v>
      </c>
      <c r="D27" s="2690"/>
      <c r="E27" s="2691"/>
      <c r="F27" s="2692"/>
      <c r="G27" s="2686"/>
      <c r="H27" s="2706"/>
      <c r="I27" s="2698"/>
      <c r="J27" s="3494"/>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2"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2" customHeight="1">
      <c r="A32" s="2680">
        <v>4</v>
      </c>
      <c r="B32" s="2681" t="s">
        <v>2423</v>
      </c>
      <c r="C32" s="2682">
        <f>C23-C26-C29</f>
        <v>0</v>
      </c>
      <c r="D32" s="2683">
        <f>D23-D26-D29</f>
        <v>0</v>
      </c>
      <c r="E32" s="2684">
        <f>E23-E26-E29</f>
        <v>0</v>
      </c>
      <c r="F32" s="2685"/>
      <c r="G32" s="2592"/>
      <c r="H32" s="2599"/>
      <c r="I32" s="2600"/>
      <c r="J32" s="3495" t="s">
        <v>2315</v>
      </c>
      <c r="K32" s="3496"/>
      <c r="L32" s="2601" t="s">
        <v>2316</v>
      </c>
      <c r="M32" s="2601" t="s">
        <v>2317</v>
      </c>
      <c r="N32" s="2601" t="s">
        <v>2318</v>
      </c>
      <c r="O32" s="2601" t="s">
        <v>2319</v>
      </c>
      <c r="P32" s="2601" t="s">
        <v>2320</v>
      </c>
      <c r="Q32" s="2602" t="s">
        <v>2321</v>
      </c>
      <c r="R32" s="2721" t="s">
        <v>2322</v>
      </c>
      <c r="S32" s="2592"/>
      <c r="T32" s="2592"/>
      <c r="U32" s="2592"/>
      <c r="V32" s="2698"/>
    </row>
    <row r="33" spans="1:23" s="2604" customFormat="1" ht="13.2" customHeight="1">
      <c r="A33" s="2680"/>
      <c r="B33" s="2681"/>
      <c r="C33" s="2682"/>
      <c r="D33" s="2722"/>
      <c r="E33" s="2723"/>
      <c r="F33" s="2685"/>
      <c r="G33" s="2592"/>
      <c r="H33" s="2706"/>
      <c r="I33" s="2698"/>
      <c r="J33" s="3497" t="s">
        <v>2325</v>
      </c>
      <c r="K33" s="3498"/>
      <c r="L33" s="2607"/>
      <c r="M33" s="2607"/>
      <c r="N33" s="2607"/>
      <c r="O33" s="2607"/>
      <c r="P33" s="2607"/>
      <c r="Q33" s="2608"/>
      <c r="R33" s="2724">
        <f>SUM(L33:Q33)</f>
        <v>0</v>
      </c>
      <c r="S33" s="2592"/>
      <c r="T33" s="2592"/>
      <c r="U33" s="2592"/>
      <c r="V33" s="2600"/>
    </row>
    <row r="34" spans="1:23" s="2604" customFormat="1" ht="13.2" customHeight="1">
      <c r="A34" s="2680">
        <v>5</v>
      </c>
      <c r="B34" s="2681" t="s">
        <v>2424</v>
      </c>
      <c r="C34" s="2725"/>
      <c r="D34" s="2726"/>
      <c r="E34" s="2727"/>
      <c r="F34" s="2685"/>
      <c r="G34" s="2592"/>
      <c r="H34" s="2706"/>
      <c r="I34" s="2698"/>
      <c r="J34" s="3497" t="s">
        <v>2327</v>
      </c>
      <c r="K34" s="349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2" customHeight="1" thickBot="1">
      <c r="A36" s="2680">
        <v>7</v>
      </c>
      <c r="B36" s="2734" t="s">
        <v>2426</v>
      </c>
      <c r="C36" s="2735"/>
      <c r="D36" s="2736"/>
      <c r="E36" s="2737"/>
      <c r="F36" s="2738">
        <f>C36+D36+E36</f>
        <v>0</v>
      </c>
      <c r="G36" s="2592"/>
      <c r="H36" s="2599"/>
      <c r="I36" s="2600"/>
      <c r="J36" s="3489">
        <v>1</v>
      </c>
      <c r="K36" s="3490" t="s">
        <v>2427</v>
      </c>
      <c r="L36" s="2625"/>
      <c r="M36" s="2626"/>
      <c r="N36" s="2626"/>
      <c r="O36" s="2626"/>
      <c r="P36" s="2626"/>
      <c r="Q36" s="2626"/>
      <c r="R36" s="2609" t="s">
        <v>2339</v>
      </c>
      <c r="S36" s="2592"/>
      <c r="T36" s="2592" t="s">
        <v>2340</v>
      </c>
      <c r="U36" s="2592"/>
      <c r="V36" s="2600"/>
    </row>
    <row r="37" spans="1:23" s="2604" customFormat="1" ht="13.2" customHeight="1">
      <c r="A37" s="2680"/>
      <c r="B37" s="2681"/>
      <c r="C37" s="2681"/>
      <c r="D37" s="2681"/>
      <c r="E37" s="2681"/>
      <c r="F37" s="2685"/>
      <c r="G37" s="2592"/>
      <c r="H37" s="2599"/>
      <c r="I37" s="2600"/>
      <c r="J37" s="3489"/>
      <c r="K37" s="3491"/>
      <c r="L37" s="2634"/>
      <c r="M37" s="2635"/>
      <c r="N37" s="2611"/>
      <c r="O37" s="2636"/>
      <c r="P37" s="2636"/>
      <c r="Q37" s="2637"/>
      <c r="R37" s="2638"/>
      <c r="S37" s="2592"/>
      <c r="T37" s="2592" t="s">
        <v>2343</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89"/>
      <c r="K38" s="3491"/>
      <c r="L38" s="2634"/>
      <c r="M38" s="2635"/>
      <c r="N38" s="2611"/>
      <c r="O38" s="2636"/>
      <c r="P38" s="2636"/>
      <c r="Q38" s="2637"/>
      <c r="R38" s="2638"/>
      <c r="S38" s="2592"/>
      <c r="T38" s="2592" t="s">
        <v>2350</v>
      </c>
      <c r="U38" s="2592"/>
      <c r="V38" s="2600"/>
    </row>
    <row r="39" spans="1:23" s="2604" customFormat="1" ht="13.2" customHeight="1">
      <c r="A39" s="2680">
        <v>9</v>
      </c>
      <c r="B39" s="2681" t="s">
        <v>2428</v>
      </c>
      <c r="C39" s="2648" t="e">
        <f>C38</f>
        <v>#DIV/0!</v>
      </c>
      <c r="D39" s="2681">
        <f>D38/(1+D34)^C36</f>
        <v>0</v>
      </c>
      <c r="E39" s="2681">
        <f>E38/(1+E34)^(C36+D36)</f>
        <v>0</v>
      </c>
      <c r="F39" s="2685"/>
      <c r="G39" s="2600"/>
      <c r="H39" s="2599"/>
      <c r="I39" s="2600"/>
      <c r="J39" s="3489"/>
      <c r="K39" s="3491"/>
      <c r="L39" s="2634"/>
      <c r="M39" s="2635"/>
      <c r="N39" s="2611"/>
      <c r="O39" s="2636"/>
      <c r="P39" s="2636"/>
      <c r="Q39" s="2637"/>
      <c r="R39" s="2638"/>
      <c r="S39" s="2592"/>
      <c r="T39" s="2592"/>
      <c r="U39" s="2592"/>
      <c r="V39" s="2600"/>
    </row>
    <row r="40" spans="1:23" s="2604" customFormat="1" ht="13.2" customHeight="1">
      <c r="A40" s="2739">
        <v>10</v>
      </c>
      <c r="B40" s="2681" t="s">
        <v>2429</v>
      </c>
      <c r="C40" s="2740" t="e">
        <f>C39+D39+E39</f>
        <v>#DIV/0!</v>
      </c>
      <c r="D40" s="2741"/>
      <c r="E40" s="2741"/>
      <c r="F40" s="2742"/>
      <c r="G40" s="2592"/>
      <c r="H40" s="2599"/>
      <c r="I40" s="2600"/>
      <c r="J40" s="3489"/>
      <c r="K40" s="3492"/>
      <c r="L40" s="2654" t="s">
        <v>2368</v>
      </c>
      <c r="M40" s="2655"/>
      <c r="N40" s="2655"/>
      <c r="O40" s="2656"/>
      <c r="P40" s="2656"/>
      <c r="Q40" s="2657"/>
      <c r="R40" s="2603">
        <f>SUM(R37:R39)</f>
        <v>0</v>
      </c>
      <c r="S40" s="2592"/>
      <c r="T40" s="2592"/>
      <c r="U40" s="2592"/>
      <c r="V40" s="2600"/>
    </row>
    <row r="41" spans="1:23" s="2604" customFormat="1" ht="13.2"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2" customHeight="1">
      <c r="G42" s="2599"/>
      <c r="H42" s="2599"/>
      <c r="I42" s="2600"/>
      <c r="J42" s="3493">
        <v>3</v>
      </c>
      <c r="K42" s="2700" t="s">
        <v>2410</v>
      </c>
      <c r="L42" s="2701"/>
      <c r="M42" s="2702"/>
      <c r="N42" s="2703" t="s">
        <v>2411</v>
      </c>
      <c r="O42" s="2703" t="s">
        <v>2412</v>
      </c>
      <c r="P42" s="2704" t="s">
        <v>2413</v>
      </c>
      <c r="Q42" s="2704" t="s">
        <v>2414</v>
      </c>
      <c r="R42" s="2609" t="s">
        <v>2339</v>
      </c>
      <c r="S42" s="2643"/>
      <c r="T42" s="2643"/>
      <c r="U42" s="2592"/>
      <c r="V42" s="2600"/>
    </row>
    <row r="43" spans="1:23" ht="13.2" customHeight="1">
      <c r="A43" s="2604"/>
      <c r="B43" s="2604"/>
      <c r="C43" s="2604"/>
      <c r="D43" s="2604"/>
      <c r="E43" s="2604"/>
      <c r="F43" s="2604"/>
      <c r="I43" s="2587"/>
      <c r="J43" s="3494"/>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估价对象为北京市房地产，为所有。根据《国有土地使用证》[]，估价对象（分摊）出让国有建设用地使用权面积为49363.59平方米，建筑面积为176954.78平方米。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估价对象为北京市房地产,属开发建设的，该项目尚在开发建设中。根据《国有土地使用证》[]，估价对象（分摊）出让国有建设用地使用权面积为49363.59平方米，规划建筑面积为176954.78平方米。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1656</v>
      </c>
      <c r="B1" s="1725"/>
      <c r="C1" s="1725"/>
      <c r="D1" s="1725"/>
      <c r="E1" s="1726"/>
      <c r="F1" s="2479"/>
      <c r="G1" s="458"/>
      <c r="H1" s="458"/>
      <c r="I1" s="458"/>
      <c r="J1" s="458"/>
      <c r="K1" s="458"/>
      <c r="L1" s="458"/>
      <c r="M1" s="458"/>
      <c r="N1" s="458"/>
      <c r="O1" s="458"/>
      <c r="P1" s="458"/>
      <c r="Q1" s="458"/>
      <c r="R1" s="458"/>
      <c r="S1" s="458"/>
    </row>
    <row r="2" spans="1:22" ht="15.6">
      <c r="A2" s="1727" t="s">
        <v>1460</v>
      </c>
      <c r="B2" s="810">
        <f ca="1">SUMIF(B6:B13,"&lt;&gt;#ref!",B6:B13)</f>
        <v>360119</v>
      </c>
      <c r="C2" s="1728" t="s">
        <v>1649</v>
      </c>
      <c r="D2" s="1729" t="s">
        <v>1650</v>
      </c>
      <c r="E2" s="2392">
        <f>SUM(E6:E13)</f>
        <v>176954.78</v>
      </c>
      <c r="F2" s="2479"/>
      <c r="G2" s="458"/>
      <c r="H2" s="458"/>
      <c r="I2" s="458"/>
      <c r="J2" s="458"/>
      <c r="K2" s="458"/>
      <c r="L2" s="458"/>
      <c r="M2" s="458"/>
      <c r="N2" s="458"/>
      <c r="O2" s="458"/>
      <c r="P2" s="458"/>
      <c r="Q2" s="458"/>
      <c r="R2" s="458"/>
      <c r="S2" s="458"/>
    </row>
    <row r="3" spans="1:22" ht="15.6">
      <c r="A3" s="1727" t="s">
        <v>686</v>
      </c>
      <c r="B3" s="2386">
        <f ca="1">ROUND(B2*10000/E2,0)</f>
        <v>20351</v>
      </c>
      <c r="C3" s="1728" t="s">
        <v>1657</v>
      </c>
      <c r="D3" s="2479"/>
      <c r="E3" s="2482"/>
      <c r="F3" s="2479"/>
      <c r="G3" s="458"/>
      <c r="H3" s="458"/>
      <c r="I3" s="458"/>
      <c r="J3" s="458"/>
      <c r="K3" s="458"/>
      <c r="L3" s="458"/>
      <c r="M3" s="458"/>
      <c r="N3" s="458"/>
      <c r="O3" s="458"/>
      <c r="P3" s="458"/>
      <c r="Q3" s="458"/>
      <c r="R3" s="458"/>
      <c r="S3" s="458"/>
    </row>
    <row r="4" spans="1:22" ht="15.6">
      <c r="A4" s="2483"/>
      <c r="B4" s="2479"/>
      <c r="C4" s="2479"/>
      <c r="D4" s="2479"/>
      <c r="E4" s="2482"/>
      <c r="F4" s="2479"/>
      <c r="G4" s="458"/>
      <c r="H4" s="458"/>
      <c r="I4" s="458"/>
      <c r="J4" s="458"/>
      <c r="K4" s="458"/>
      <c r="L4" s="458"/>
      <c r="M4" s="458"/>
      <c r="N4" s="458"/>
      <c r="O4" s="458"/>
      <c r="P4" s="458"/>
      <c r="Q4" s="458"/>
      <c r="R4" s="458"/>
      <c r="S4" s="458"/>
    </row>
    <row r="5" spans="1:22" ht="14.4">
      <c r="A5" s="2388" t="s">
        <v>1651</v>
      </c>
      <c r="B5" s="3508" t="s">
        <v>1652</v>
      </c>
      <c r="C5" s="3509"/>
      <c r="D5" s="2480"/>
      <c r="E5" s="1730" t="s">
        <v>1653</v>
      </c>
      <c r="F5" s="128" t="s">
        <v>1654</v>
      </c>
      <c r="G5" s="458"/>
      <c r="H5" s="458"/>
      <c r="I5" s="458"/>
      <c r="J5" s="458"/>
      <c r="K5" s="458"/>
      <c r="L5" s="458"/>
      <c r="M5" s="458"/>
      <c r="N5" s="458"/>
      <c r="O5" s="458"/>
      <c r="P5" s="458"/>
      <c r="Q5" s="458"/>
      <c r="R5" s="458"/>
      <c r="S5" s="458"/>
    </row>
    <row r="6" spans="1:22" ht="14.4">
      <c r="A6" s="2389" t="str">
        <f>'数据-取费表'!AN6</f>
        <v>收益法</v>
      </c>
      <c r="B6" s="2387">
        <f ca="1">IF(F6="是",'数据-取费表'!AO6,0)</f>
        <v>328553</v>
      </c>
      <c r="C6" s="1728" t="s">
        <v>1649</v>
      </c>
      <c r="D6" s="2479"/>
      <c r="E6" s="2391">
        <f>IF(OR(A6=0,F6="否"),0,'数据-取费表'!K6+'数据-取费表'!S6)</f>
        <v>118791.89</v>
      </c>
      <c r="F6" s="1731" t="s">
        <v>1655</v>
      </c>
      <c r="G6" s="458"/>
      <c r="H6" s="458"/>
      <c r="I6" s="458"/>
      <c r="J6" s="458"/>
      <c r="K6" s="458"/>
      <c r="L6" s="458"/>
      <c r="M6" s="458"/>
      <c r="N6" s="458"/>
      <c r="O6" s="458"/>
      <c r="P6" s="458"/>
      <c r="Q6" s="458"/>
      <c r="R6" s="458"/>
      <c r="S6" s="458"/>
    </row>
    <row r="7" spans="1:22" ht="14.4">
      <c r="A7" s="2389" t="str">
        <f>'数据-取费表'!AN7</f>
        <v>收益法地下</v>
      </c>
      <c r="B7" s="2387">
        <f ca="1">IF(F7="是",'数据-取费表'!AO7,0)</f>
        <v>31566</v>
      </c>
      <c r="C7" s="1728" t="s">
        <v>1649</v>
      </c>
      <c r="D7" s="2479"/>
      <c r="E7" s="2391">
        <f>IF(OR(A7=0,F7="否"),0,'数据-取费表'!K7+'数据-取费表'!S7)</f>
        <v>58162.89</v>
      </c>
      <c r="F7" s="1731" t="s">
        <v>1655</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176954.78</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4" t="s">
        <v>1664</v>
      </c>
      <c r="B4" s="345"/>
      <c r="C4" s="3429" t="s">
        <v>1665</v>
      </c>
      <c r="D4" s="3430"/>
      <c r="E4" s="3431" t="s">
        <v>1666</v>
      </c>
      <c r="F4" s="3432"/>
      <c r="G4" s="3429" t="s">
        <v>1667</v>
      </c>
      <c r="H4" s="3430"/>
      <c r="I4" s="3429" t="s">
        <v>1668</v>
      </c>
      <c r="J4" s="3430"/>
      <c r="K4" s="1743" t="s">
        <v>1669</v>
      </c>
      <c r="L4" s="2486"/>
      <c r="M4" s="2487"/>
      <c r="N4" s="2487"/>
      <c r="O4" s="2487"/>
      <c r="P4" s="3514" t="s">
        <v>1670</v>
      </c>
      <c r="Q4" s="3515"/>
      <c r="R4" s="3518" t="s">
        <v>1666</v>
      </c>
      <c r="S4" s="3519"/>
      <c r="T4" s="3518" t="s">
        <v>1667</v>
      </c>
      <c r="U4" s="3519"/>
      <c r="V4" s="3413" t="s">
        <v>1668</v>
      </c>
      <c r="W4" s="3413"/>
      <c r="X4" s="1264"/>
      <c r="Y4" s="3518" t="s">
        <v>1670</v>
      </c>
      <c r="Z4" s="3519"/>
      <c r="AA4" s="3513" t="s">
        <v>1666</v>
      </c>
      <c r="AB4" s="3513" t="s">
        <v>1667</v>
      </c>
      <c r="AC4" s="3513" t="s">
        <v>1668</v>
      </c>
    </row>
    <row r="5" spans="1:29">
      <c r="A5" s="347"/>
      <c r="B5" s="348"/>
      <c r="C5" s="3448" t="s">
        <v>1671</v>
      </c>
      <c r="D5" s="3449"/>
      <c r="E5" s="3460" t="s">
        <v>1672</v>
      </c>
      <c r="F5" s="3461"/>
      <c r="G5" s="3448" t="s">
        <v>1673</v>
      </c>
      <c r="H5" s="3449"/>
      <c r="I5" s="3448" t="s">
        <v>1674</v>
      </c>
      <c r="J5" s="3449"/>
      <c r="K5" s="1744"/>
      <c r="L5" s="2486"/>
      <c r="M5" s="2487"/>
      <c r="N5" s="2487"/>
      <c r="O5" s="2487"/>
      <c r="P5" s="3516"/>
      <c r="Q5" s="3436"/>
      <c r="R5" s="3441"/>
      <c r="S5" s="3442"/>
      <c r="T5" s="3441"/>
      <c r="U5" s="3442"/>
      <c r="V5" s="3413"/>
      <c r="W5" s="3413"/>
      <c r="X5" s="1264"/>
      <c r="Y5" s="3441"/>
      <c r="Z5" s="3442"/>
      <c r="AA5" s="3458"/>
      <c r="AB5" s="3458"/>
      <c r="AC5" s="3458"/>
    </row>
    <row r="6" spans="1:29" ht="15" thickBot="1">
      <c r="A6" s="349"/>
      <c r="B6" s="350"/>
      <c r="C6" s="3446" t="s">
        <v>1675</v>
      </c>
      <c r="D6" s="3447"/>
      <c r="E6" s="3455" t="s">
        <v>1675</v>
      </c>
      <c r="F6" s="3456"/>
      <c r="G6" s="3446" t="s">
        <v>1675</v>
      </c>
      <c r="H6" s="3447"/>
      <c r="I6" s="3446" t="s">
        <v>1675</v>
      </c>
      <c r="J6" s="3447"/>
      <c r="K6" s="1744" t="s">
        <v>1676</v>
      </c>
      <c r="L6" s="2486"/>
      <c r="M6" s="2487"/>
      <c r="N6" s="2487"/>
      <c r="O6" s="2487"/>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52" t="s">
        <v>1678</v>
      </c>
      <c r="Q7" s="3453"/>
      <c r="R7" s="663" t="s">
        <v>20</v>
      </c>
      <c r="S7" s="664">
        <f t="shared" ref="S7:S15" si="0">F7</f>
        <v>0</v>
      </c>
      <c r="T7" s="663" t="s">
        <v>20</v>
      </c>
      <c r="U7" s="664">
        <f t="shared" ref="U7:U15" si="1">H7</f>
        <v>0</v>
      </c>
      <c r="V7" s="663" t="s">
        <v>20</v>
      </c>
      <c r="W7" s="664">
        <f t="shared" ref="W7:W15" si="2">J7</f>
        <v>0</v>
      </c>
      <c r="X7" s="665"/>
      <c r="Y7" s="3452" t="s">
        <v>1678</v>
      </c>
      <c r="Z7" s="3451"/>
      <c r="AA7" s="50" t="e">
        <f>D7/F7</f>
        <v>#DIV/0!</v>
      </c>
      <c r="AB7" s="50" t="e">
        <f>D7/H7</f>
        <v>#DIV/0!</v>
      </c>
      <c r="AC7" s="50" t="e">
        <f>D7/J7</f>
        <v>#DIV/0!</v>
      </c>
    </row>
    <row r="8" spans="1:29" s="102" customFormat="1" ht="1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52" t="s">
        <v>1681</v>
      </c>
      <c r="Q8" s="3451"/>
      <c r="R8" s="663" t="s">
        <v>20</v>
      </c>
      <c r="S8" s="664">
        <f t="shared" si="0"/>
        <v>100</v>
      </c>
      <c r="T8" s="663" t="s">
        <v>20</v>
      </c>
      <c r="U8" s="664">
        <f t="shared" si="1"/>
        <v>100</v>
      </c>
      <c r="V8" s="663" t="s">
        <v>20</v>
      </c>
      <c r="W8" s="664">
        <f t="shared" si="2"/>
        <v>100</v>
      </c>
      <c r="X8" s="665"/>
      <c r="Y8" s="3452" t="s">
        <v>1681</v>
      </c>
      <c r="Z8" s="3451"/>
      <c r="AA8" s="50">
        <f t="shared" ref="AA8:AA19" si="3">D8/F8</f>
        <v>1</v>
      </c>
      <c r="AB8" s="50">
        <f t="shared" ref="AB8:AB19" si="4">D8/H8</f>
        <v>1</v>
      </c>
      <c r="AC8" s="50">
        <f t="shared" ref="AC8:AC19" si="5">D8/J8</f>
        <v>1</v>
      </c>
    </row>
    <row r="9" spans="1:29" s="102" customFormat="1" ht="14.4">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11"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11"/>
      <c r="Q10" s="529"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11"/>
      <c r="Q11" s="529" t="str">
        <f t="shared" si="6"/>
        <v>容积率</v>
      </c>
      <c r="R11" s="663" t="s">
        <v>18</v>
      </c>
      <c r="S11" s="664" t="e">
        <f t="shared" si="0"/>
        <v>#N/A</v>
      </c>
      <c r="T11" s="663" t="s">
        <v>18</v>
      </c>
      <c r="U11" s="664" t="e">
        <f t="shared" si="1"/>
        <v>#N/A</v>
      </c>
      <c r="V11" s="663" t="s">
        <v>18</v>
      </c>
      <c r="W11" s="664" t="e">
        <f t="shared" si="2"/>
        <v>#N/A</v>
      </c>
      <c r="X11" s="665"/>
      <c r="Y11" s="331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11"/>
      <c r="Q12" s="529">
        <f t="shared" si="6"/>
        <v>111</v>
      </c>
      <c r="R12" s="663" t="s">
        <v>18</v>
      </c>
      <c r="S12" s="664">
        <f t="shared" si="0"/>
        <v>100</v>
      </c>
      <c r="T12" s="663" t="s">
        <v>18</v>
      </c>
      <c r="U12" s="664">
        <f t="shared" si="1"/>
        <v>100</v>
      </c>
      <c r="V12" s="663" t="s">
        <v>18</v>
      </c>
      <c r="W12" s="664">
        <f t="shared" si="2"/>
        <v>100</v>
      </c>
      <c r="X12" s="665"/>
      <c r="Y12" s="331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11"/>
      <c r="Q13" s="529">
        <f t="shared" si="6"/>
        <v>111</v>
      </c>
      <c r="R13" s="663" t="s">
        <v>18</v>
      </c>
      <c r="S13" s="664">
        <f t="shared" si="0"/>
        <v>100</v>
      </c>
      <c r="T13" s="663" t="s">
        <v>18</v>
      </c>
      <c r="U13" s="664">
        <f t="shared" si="1"/>
        <v>100</v>
      </c>
      <c r="V13" s="663" t="s">
        <v>18</v>
      </c>
      <c r="W13" s="664">
        <f t="shared" si="2"/>
        <v>100</v>
      </c>
      <c r="X13" s="665"/>
      <c r="Y13" s="3318"/>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11"/>
      <c r="Q14" s="529">
        <f t="shared" si="6"/>
        <v>111</v>
      </c>
      <c r="R14" s="663" t="s">
        <v>18</v>
      </c>
      <c r="S14" s="664">
        <f t="shared" si="0"/>
        <v>100</v>
      </c>
      <c r="T14" s="663" t="s">
        <v>18</v>
      </c>
      <c r="U14" s="664">
        <f t="shared" si="1"/>
        <v>100</v>
      </c>
      <c r="V14" s="663" t="s">
        <v>18</v>
      </c>
      <c r="W14" s="664">
        <f t="shared" si="2"/>
        <v>100</v>
      </c>
      <c r="X14" s="665"/>
      <c r="Y14" s="3318"/>
      <c r="Z14" s="50">
        <f t="shared" si="7"/>
        <v>111</v>
      </c>
      <c r="AA14" s="50">
        <f t="shared" si="3"/>
        <v>1</v>
      </c>
      <c r="AB14" s="50">
        <f t="shared" si="4"/>
        <v>1</v>
      </c>
      <c r="AC14" s="50">
        <f t="shared" si="5"/>
        <v>1</v>
      </c>
    </row>
    <row r="15" spans="1:29" ht="96.6">
      <c r="A15" s="378" t="s">
        <v>1688</v>
      </c>
      <c r="B15" s="58" t="s">
        <v>1255</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7" t="s">
        <v>1689</v>
      </c>
      <c r="Q15" s="1262" t="str">
        <f t="shared" si="6"/>
        <v>居住社区成熟度</v>
      </c>
      <c r="R15" s="666" t="s">
        <v>18</v>
      </c>
      <c r="S15" s="667">
        <f t="shared" si="0"/>
        <v>100</v>
      </c>
      <c r="T15" s="666" t="s">
        <v>18</v>
      </c>
      <c r="U15" s="667">
        <f t="shared" si="1"/>
        <v>100</v>
      </c>
      <c r="V15" s="666" t="s">
        <v>18</v>
      </c>
      <c r="W15" s="667">
        <f t="shared" si="2"/>
        <v>100</v>
      </c>
      <c r="X15" s="1264"/>
      <c r="Y15" s="3419"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8"/>
      <c r="Q16" s="1262"/>
      <c r="R16" s="666"/>
      <c r="S16" s="667"/>
      <c r="T16" s="666"/>
      <c r="U16" s="667"/>
      <c r="V16" s="666"/>
      <c r="W16" s="667"/>
      <c r="X16" s="1264"/>
      <c r="Y16" s="3420"/>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8"/>
      <c r="Q17" s="1262" t="str">
        <f>B17</f>
        <v>交通便捷度</v>
      </c>
      <c r="R17" s="666" t="s">
        <v>18</v>
      </c>
      <c r="S17" s="667">
        <f>F17</f>
        <v>100</v>
      </c>
      <c r="T17" s="666" t="s">
        <v>18</v>
      </c>
      <c r="U17" s="667">
        <f>H17</f>
        <v>100</v>
      </c>
      <c r="V17" s="666" t="s">
        <v>18</v>
      </c>
      <c r="W17" s="667">
        <f>J17</f>
        <v>100</v>
      </c>
      <c r="X17" s="1264"/>
      <c r="Y17" s="342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8"/>
      <c r="Q18" s="1262"/>
      <c r="R18" s="666"/>
      <c r="S18" s="667"/>
      <c r="T18" s="666"/>
      <c r="U18" s="667"/>
      <c r="V18" s="666"/>
      <c r="W18" s="667"/>
      <c r="X18" s="1264"/>
      <c r="Y18" s="3420"/>
      <c r="Z18" s="1263"/>
      <c r="AA18" s="1263">
        <v>1</v>
      </c>
      <c r="AB18" s="1263">
        <v>1</v>
      </c>
      <c r="AC18" s="1263">
        <v>1</v>
      </c>
    </row>
    <row r="19" spans="1:29" ht="41.4">
      <c r="A19" s="366"/>
      <c r="B19" s="389" t="s">
        <v>1256</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8"/>
      <c r="Q19" s="1262" t="str">
        <f>B19</f>
        <v>公共配套设施</v>
      </c>
      <c r="R19" s="666" t="s">
        <v>18</v>
      </c>
      <c r="S19" s="667">
        <f>F19</f>
        <v>100</v>
      </c>
      <c r="T19" s="666" t="s">
        <v>18</v>
      </c>
      <c r="U19" s="667">
        <f>H19</f>
        <v>100</v>
      </c>
      <c r="V19" s="666" t="s">
        <v>18</v>
      </c>
      <c r="W19" s="667">
        <f>J19</f>
        <v>100</v>
      </c>
      <c r="X19" s="1264"/>
      <c r="Y19" s="342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8"/>
      <c r="Q20" s="1262"/>
      <c r="R20" s="666"/>
      <c r="S20" s="667"/>
      <c r="T20" s="666"/>
      <c r="U20" s="667"/>
      <c r="V20" s="666"/>
      <c r="W20" s="667"/>
      <c r="X20" s="1264"/>
      <c r="Y20" s="3420"/>
      <c r="Z20" s="1263"/>
      <c r="AA20" s="1263">
        <v>1</v>
      </c>
      <c r="AB20" s="1263">
        <v>1</v>
      </c>
      <c r="AC20" s="1263">
        <v>1</v>
      </c>
    </row>
    <row r="21" spans="1:29" ht="27.6">
      <c r="A21" s="366"/>
      <c r="B21" s="585" t="s">
        <v>1258</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8"/>
      <c r="Q21" s="1262" t="str">
        <f>B21</f>
        <v>基础设施水平</v>
      </c>
      <c r="R21" s="666" t="s">
        <v>14</v>
      </c>
      <c r="S21" s="667">
        <f>F21</f>
        <v>100</v>
      </c>
      <c r="T21" s="666" t="s">
        <v>14</v>
      </c>
      <c r="U21" s="667">
        <f>H21</f>
        <v>100</v>
      </c>
      <c r="V21" s="666" t="s">
        <v>14</v>
      </c>
      <c r="W21" s="667">
        <f>J21</f>
        <v>100</v>
      </c>
      <c r="X21" s="1264"/>
      <c r="Y21" s="342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8"/>
      <c r="Q22" s="1262"/>
      <c r="R22" s="666"/>
      <c r="S22" s="667"/>
      <c r="T22" s="666"/>
      <c r="U22" s="667"/>
      <c r="V22" s="666"/>
      <c r="W22" s="667"/>
      <c r="X22" s="1264"/>
      <c r="Y22" s="3420"/>
      <c r="Z22" s="1263"/>
      <c r="AA22" s="1263">
        <v>1</v>
      </c>
      <c r="AB22" s="1263">
        <v>1</v>
      </c>
      <c r="AC22" s="1263">
        <v>1</v>
      </c>
    </row>
    <row r="23" spans="1:29" ht="55.2">
      <c r="A23" s="366"/>
      <c r="B23" s="389" t="s">
        <v>1259</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8"/>
      <c r="Q23" s="1262" t="str">
        <f>B23</f>
        <v>自然及人文环境</v>
      </c>
      <c r="R23" s="666" t="s">
        <v>18</v>
      </c>
      <c r="S23" s="667">
        <f>F23</f>
        <v>100</v>
      </c>
      <c r="T23" s="666" t="s">
        <v>18</v>
      </c>
      <c r="U23" s="667">
        <f>H23</f>
        <v>100</v>
      </c>
      <c r="V23" s="666" t="s">
        <v>18</v>
      </c>
      <c r="W23" s="667">
        <f>J23</f>
        <v>100</v>
      </c>
      <c r="X23" s="1264"/>
      <c r="Y23" s="342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8"/>
      <c r="Q24" s="1262"/>
      <c r="R24" s="666"/>
      <c r="S24" s="667"/>
      <c r="T24" s="666"/>
      <c r="U24" s="667"/>
      <c r="V24" s="666"/>
      <c r="W24" s="667"/>
      <c r="X24" s="1264"/>
      <c r="Y24" s="3420"/>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8"/>
      <c r="Q26" s="1262" t="str">
        <f t="shared" si="11"/>
        <v>朝向</v>
      </c>
      <c r="R26" s="666" t="s">
        <v>18</v>
      </c>
      <c r="S26" s="667">
        <f t="shared" si="12"/>
        <v>100</v>
      </c>
      <c r="T26" s="666" t="s">
        <v>18</v>
      </c>
      <c r="U26" s="667">
        <f t="shared" si="13"/>
        <v>100</v>
      </c>
      <c r="V26" s="666" t="s">
        <v>18</v>
      </c>
      <c r="W26" s="667">
        <f t="shared" si="14"/>
        <v>100</v>
      </c>
      <c r="X26" s="1264"/>
      <c r="Y26" s="3420"/>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8"/>
      <c r="Q27" s="529">
        <f t="shared" si="11"/>
        <v>111</v>
      </c>
      <c r="R27" s="663" t="s">
        <v>18</v>
      </c>
      <c r="S27" s="664">
        <f t="shared" si="12"/>
        <v>100</v>
      </c>
      <c r="T27" s="663" t="s">
        <v>18</v>
      </c>
      <c r="U27" s="664">
        <f t="shared" si="13"/>
        <v>100</v>
      </c>
      <c r="V27" s="663" t="s">
        <v>18</v>
      </c>
      <c r="W27" s="664">
        <f t="shared" si="14"/>
        <v>100</v>
      </c>
      <c r="X27" s="665"/>
      <c r="Y27" s="3420"/>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8"/>
      <c r="Q28" s="1262">
        <f t="shared" si="11"/>
        <v>111</v>
      </c>
      <c r="R28" s="666" t="s">
        <v>18</v>
      </c>
      <c r="S28" s="667">
        <f t="shared" si="12"/>
        <v>100</v>
      </c>
      <c r="T28" s="666" t="s">
        <v>18</v>
      </c>
      <c r="U28" s="667">
        <f t="shared" si="13"/>
        <v>100</v>
      </c>
      <c r="V28" s="666" t="s">
        <v>18</v>
      </c>
      <c r="W28" s="667">
        <f t="shared" si="14"/>
        <v>100</v>
      </c>
      <c r="X28" s="1264"/>
      <c r="Y28" s="342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8"/>
      <c r="Q29" s="1262">
        <f t="shared" si="11"/>
        <v>111</v>
      </c>
      <c r="R29" s="666" t="s">
        <v>18</v>
      </c>
      <c r="S29" s="667">
        <f t="shared" si="12"/>
        <v>100</v>
      </c>
      <c r="T29" s="666" t="s">
        <v>18</v>
      </c>
      <c r="U29" s="667">
        <f t="shared" si="13"/>
        <v>100</v>
      </c>
      <c r="V29" s="666" t="s">
        <v>18</v>
      </c>
      <c r="W29" s="667">
        <f t="shared" si="14"/>
        <v>100</v>
      </c>
      <c r="X29" s="1264"/>
      <c r="Y29" s="342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8"/>
      <c r="Q30" s="1262">
        <f t="shared" si="11"/>
        <v>111</v>
      </c>
      <c r="R30" s="666" t="s">
        <v>18</v>
      </c>
      <c r="S30" s="667">
        <f t="shared" si="12"/>
        <v>100</v>
      </c>
      <c r="T30" s="666" t="s">
        <v>18</v>
      </c>
      <c r="U30" s="667">
        <f t="shared" si="13"/>
        <v>100</v>
      </c>
      <c r="V30" s="666" t="s">
        <v>18</v>
      </c>
      <c r="W30" s="667">
        <f t="shared" si="14"/>
        <v>100</v>
      </c>
      <c r="X30" s="1264"/>
      <c r="Y30" s="3420"/>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8"/>
      <c r="Q31" s="1262">
        <f t="shared" si="11"/>
        <v>111</v>
      </c>
      <c r="R31" s="666" t="s">
        <v>18</v>
      </c>
      <c r="S31" s="667">
        <f t="shared" si="12"/>
        <v>100</v>
      </c>
      <c r="T31" s="666" t="s">
        <v>18</v>
      </c>
      <c r="U31" s="667">
        <f t="shared" si="13"/>
        <v>100</v>
      </c>
      <c r="V31" s="666" t="s">
        <v>18</v>
      </c>
      <c r="W31" s="667">
        <f t="shared" si="14"/>
        <v>100</v>
      </c>
      <c r="X31" s="1264"/>
      <c r="Y31" s="3420"/>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21" t="s">
        <v>1694</v>
      </c>
      <c r="Q32" s="1262" t="str">
        <f t="shared" si="11"/>
        <v>建筑类型</v>
      </c>
      <c r="R32" s="666" t="s">
        <v>18</v>
      </c>
      <c r="S32" s="667">
        <f t="shared" si="12"/>
        <v>100</v>
      </c>
      <c r="T32" s="666" t="s">
        <v>18</v>
      </c>
      <c r="U32" s="667">
        <f t="shared" si="13"/>
        <v>100</v>
      </c>
      <c r="V32" s="666" t="s">
        <v>18</v>
      </c>
      <c r="W32" s="667">
        <f t="shared" si="14"/>
        <v>100</v>
      </c>
      <c r="X32" s="1264"/>
      <c r="Y32" s="3424"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22"/>
      <c r="Q33" s="530" t="str">
        <f t="shared" si="11"/>
        <v>项目建筑规模</v>
      </c>
      <c r="R33" s="668" t="s">
        <v>18</v>
      </c>
      <c r="S33" s="669" t="e">
        <f t="shared" si="12"/>
        <v>#N/A</v>
      </c>
      <c r="T33" s="668" t="s">
        <v>18</v>
      </c>
      <c r="U33" s="669" t="e">
        <f t="shared" si="13"/>
        <v>#N/A</v>
      </c>
      <c r="V33" s="668" t="s">
        <v>18</v>
      </c>
      <c r="W33" s="669" t="e">
        <f t="shared" si="14"/>
        <v>#N/A</v>
      </c>
      <c r="X33" s="670"/>
      <c r="Y33" s="3424"/>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22"/>
      <c r="Q34" s="1262" t="str">
        <f t="shared" si="11"/>
        <v>建筑结构</v>
      </c>
      <c r="R34" s="666" t="s">
        <v>18</v>
      </c>
      <c r="S34" s="667">
        <f t="shared" si="12"/>
        <v>100</v>
      </c>
      <c r="T34" s="666" t="s">
        <v>18</v>
      </c>
      <c r="U34" s="667">
        <f t="shared" si="13"/>
        <v>100</v>
      </c>
      <c r="V34" s="666" t="s">
        <v>18</v>
      </c>
      <c r="W34" s="667">
        <f t="shared" si="14"/>
        <v>100</v>
      </c>
      <c r="X34" s="1264"/>
      <c r="Y34" s="3424"/>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22"/>
      <c r="Q35" s="1262" t="str">
        <f t="shared" si="11"/>
        <v>建筑品质</v>
      </c>
      <c r="R35" s="666" t="s">
        <v>18</v>
      </c>
      <c r="S35" s="667">
        <f t="shared" si="12"/>
        <v>100</v>
      </c>
      <c r="T35" s="666" t="s">
        <v>18</v>
      </c>
      <c r="U35" s="667">
        <f t="shared" si="13"/>
        <v>100</v>
      </c>
      <c r="V35" s="666" t="s">
        <v>18</v>
      </c>
      <c r="W35" s="667">
        <f t="shared" si="14"/>
        <v>100</v>
      </c>
      <c r="X35" s="1264"/>
      <c r="Y35" s="3424"/>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22"/>
      <c r="Q36" s="1262" t="str">
        <f t="shared" si="11"/>
        <v>公共部分装修</v>
      </c>
      <c r="R36" s="666" t="s">
        <v>18</v>
      </c>
      <c r="S36" s="667">
        <f t="shared" si="12"/>
        <v>100</v>
      </c>
      <c r="T36" s="666" t="s">
        <v>18</v>
      </c>
      <c r="U36" s="667">
        <f t="shared" si="13"/>
        <v>100</v>
      </c>
      <c r="V36" s="666" t="s">
        <v>18</v>
      </c>
      <c r="W36" s="667">
        <f t="shared" si="14"/>
        <v>100</v>
      </c>
      <c r="X36" s="1264"/>
      <c r="Y36" s="3424"/>
      <c r="Z36" s="1263" t="str">
        <f t="shared" si="18"/>
        <v>公共部分装修</v>
      </c>
      <c r="AA36" s="1263">
        <f t="shared" si="15"/>
        <v>1</v>
      </c>
      <c r="AB36" s="1263">
        <f t="shared" si="16"/>
        <v>1</v>
      </c>
      <c r="AC36" s="1263">
        <f t="shared" si="17"/>
        <v>1</v>
      </c>
    </row>
    <row r="37" spans="1:29" s="102"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22"/>
      <c r="Q37" s="529" t="str">
        <f t="shared" si="11"/>
        <v>成新度</v>
      </c>
      <c r="R37" s="663" t="s">
        <v>18</v>
      </c>
      <c r="S37" s="664" t="e">
        <f t="shared" si="12"/>
        <v>#N/A</v>
      </c>
      <c r="T37" s="663" t="s">
        <v>18</v>
      </c>
      <c r="U37" s="664" t="e">
        <f t="shared" si="13"/>
        <v>#N/A</v>
      </c>
      <c r="V37" s="663" t="s">
        <v>18</v>
      </c>
      <c r="W37" s="664" t="e">
        <f t="shared" si="14"/>
        <v>#N/A</v>
      </c>
      <c r="X37" s="665"/>
      <c r="Y37" s="3424"/>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22" t="s">
        <v>1694</v>
      </c>
      <c r="Q38" s="1262" t="str">
        <f t="shared" si="11"/>
        <v>物业管理</v>
      </c>
      <c r="R38" s="666" t="s">
        <v>18</v>
      </c>
      <c r="S38" s="667">
        <f t="shared" si="12"/>
        <v>100</v>
      </c>
      <c r="T38" s="666" t="s">
        <v>18</v>
      </c>
      <c r="U38" s="667">
        <f t="shared" si="13"/>
        <v>100</v>
      </c>
      <c r="V38" s="666" t="s">
        <v>18</v>
      </c>
      <c r="W38" s="667">
        <f t="shared" si="14"/>
        <v>100</v>
      </c>
      <c r="X38" s="1264"/>
      <c r="Y38" s="3424"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22"/>
      <c r="Q39" s="1262" t="str">
        <f t="shared" si="11"/>
        <v>市政基础设施</v>
      </c>
      <c r="R39" s="666" t="s">
        <v>18</v>
      </c>
      <c r="S39" s="667">
        <f t="shared" si="12"/>
        <v>100</v>
      </c>
      <c r="T39" s="666" t="s">
        <v>18</v>
      </c>
      <c r="U39" s="667">
        <f t="shared" si="13"/>
        <v>100</v>
      </c>
      <c r="V39" s="666" t="s">
        <v>18</v>
      </c>
      <c r="W39" s="667">
        <f t="shared" si="14"/>
        <v>100</v>
      </c>
      <c r="X39" s="1264"/>
      <c r="Y39" s="3424"/>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22"/>
      <c r="Q40" s="1262" t="str">
        <f t="shared" si="11"/>
        <v>房型</v>
      </c>
      <c r="R40" s="666" t="s">
        <v>18</v>
      </c>
      <c r="S40" s="667">
        <f t="shared" si="12"/>
        <v>100</v>
      </c>
      <c r="T40" s="666" t="s">
        <v>18</v>
      </c>
      <c r="U40" s="667">
        <f t="shared" si="13"/>
        <v>100</v>
      </c>
      <c r="V40" s="666" t="s">
        <v>18</v>
      </c>
      <c r="W40" s="667">
        <f t="shared" si="14"/>
        <v>100</v>
      </c>
      <c r="X40" s="1264"/>
      <c r="Y40" s="3424"/>
      <c r="Z40" s="1263" t="str">
        <f t="shared" si="18"/>
        <v>房型</v>
      </c>
      <c r="AA40" s="1263">
        <f t="shared" si="15"/>
        <v>1</v>
      </c>
      <c r="AB40" s="1263">
        <f t="shared" si="16"/>
        <v>1</v>
      </c>
      <c r="AC40" s="1263">
        <f t="shared" si="17"/>
        <v>1</v>
      </c>
    </row>
    <row r="41" spans="1:29" s="407" customFormat="1" ht="28.8">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22"/>
      <c r="Q41" s="530" t="str">
        <f t="shared" si="11"/>
        <v>单套/主力户型建筑面积</v>
      </c>
      <c r="R41" s="668" t="s">
        <v>18</v>
      </c>
      <c r="S41" s="669">
        <f t="shared" si="12"/>
        <v>100</v>
      </c>
      <c r="T41" s="668" t="s">
        <v>18</v>
      </c>
      <c r="U41" s="669">
        <f t="shared" si="13"/>
        <v>100</v>
      </c>
      <c r="V41" s="668" t="s">
        <v>18</v>
      </c>
      <c r="W41" s="669">
        <f t="shared" si="14"/>
        <v>100</v>
      </c>
      <c r="X41" s="670"/>
      <c r="Y41" s="3424"/>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22"/>
      <c r="Q42" s="1262" t="str">
        <f t="shared" si="11"/>
        <v>内部装修</v>
      </c>
      <c r="R42" s="666" t="s">
        <v>18</v>
      </c>
      <c r="S42" s="667">
        <f t="shared" si="12"/>
        <v>100</v>
      </c>
      <c r="T42" s="666" t="s">
        <v>18</v>
      </c>
      <c r="U42" s="667">
        <f t="shared" si="13"/>
        <v>100</v>
      </c>
      <c r="V42" s="666" t="s">
        <v>18</v>
      </c>
      <c r="W42" s="667">
        <f t="shared" si="14"/>
        <v>100</v>
      </c>
      <c r="X42" s="1264"/>
      <c r="Y42" s="3424"/>
      <c r="Z42" s="1263" t="str">
        <f t="shared" si="18"/>
        <v>内部装修</v>
      </c>
      <c r="AA42" s="1263">
        <f t="shared" si="15"/>
        <v>1</v>
      </c>
      <c r="AB42" s="1263">
        <f t="shared" si="16"/>
        <v>1</v>
      </c>
      <c r="AC42" s="1263">
        <f t="shared" si="17"/>
        <v>1</v>
      </c>
    </row>
    <row r="43" spans="1:29" ht="28.8">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22"/>
      <c r="Q43" s="1262" t="str">
        <f t="shared" si="11"/>
        <v>内部装修维护情况</v>
      </c>
      <c r="R43" s="666" t="s">
        <v>18</v>
      </c>
      <c r="S43" s="667">
        <f t="shared" si="12"/>
        <v>100</v>
      </c>
      <c r="T43" s="666" t="s">
        <v>18</v>
      </c>
      <c r="U43" s="667">
        <f t="shared" si="13"/>
        <v>100</v>
      </c>
      <c r="V43" s="666" t="s">
        <v>18</v>
      </c>
      <c r="W43" s="667">
        <f t="shared" si="14"/>
        <v>100</v>
      </c>
      <c r="X43" s="1264"/>
      <c r="Y43" s="3424"/>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22"/>
      <c r="Q44" s="529">
        <f t="shared" si="11"/>
        <v>111</v>
      </c>
      <c r="R44" s="663" t="s">
        <v>18</v>
      </c>
      <c r="S44" s="664">
        <f t="shared" si="12"/>
        <v>100</v>
      </c>
      <c r="T44" s="663" t="s">
        <v>18</v>
      </c>
      <c r="U44" s="664">
        <f t="shared" si="13"/>
        <v>100</v>
      </c>
      <c r="V44" s="663" t="s">
        <v>18</v>
      </c>
      <c r="W44" s="664">
        <f t="shared" si="14"/>
        <v>100</v>
      </c>
      <c r="X44" s="665"/>
      <c r="Y44" s="3424"/>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22"/>
      <c r="Q45" s="1262">
        <f t="shared" si="11"/>
        <v>111</v>
      </c>
      <c r="R45" s="666" t="s">
        <v>18</v>
      </c>
      <c r="S45" s="667">
        <f t="shared" si="12"/>
        <v>100</v>
      </c>
      <c r="T45" s="666" t="s">
        <v>18</v>
      </c>
      <c r="U45" s="667">
        <f t="shared" si="13"/>
        <v>100</v>
      </c>
      <c r="V45" s="666" t="s">
        <v>18</v>
      </c>
      <c r="W45" s="667">
        <f t="shared" si="14"/>
        <v>100</v>
      </c>
      <c r="X45" s="1264"/>
      <c r="Y45" s="3424"/>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23"/>
      <c r="Q46" s="1262">
        <f t="shared" si="11"/>
        <v>111</v>
      </c>
      <c r="R46" s="666" t="s">
        <v>17</v>
      </c>
      <c r="S46" s="667">
        <f t="shared" si="12"/>
        <v>100</v>
      </c>
      <c r="T46" s="666" t="s">
        <v>17</v>
      </c>
      <c r="U46" s="667">
        <f t="shared" si="13"/>
        <v>100</v>
      </c>
      <c r="V46" s="666" t="s">
        <v>17</v>
      </c>
      <c r="W46" s="667">
        <f t="shared" si="14"/>
        <v>100</v>
      </c>
      <c r="X46" s="1264"/>
      <c r="Y46" s="3425"/>
      <c r="Z46" s="1263">
        <f t="shared" si="18"/>
        <v>111</v>
      </c>
      <c r="AA46" s="1263">
        <f t="shared" si="15"/>
        <v>1</v>
      </c>
      <c r="AB46" s="1263">
        <f t="shared" si="16"/>
        <v>1</v>
      </c>
      <c r="AC46" s="1263">
        <f t="shared" si="17"/>
        <v>1</v>
      </c>
    </row>
    <row r="47" spans="1:29" ht="14.4">
      <c r="A47" s="415" t="s">
        <v>1706</v>
      </c>
      <c r="B47" s="416"/>
      <c r="C47" s="1080" t="s">
        <v>16</v>
      </c>
      <c r="D47" s="417"/>
      <c r="E47" s="418"/>
      <c r="F47" s="419"/>
      <c r="G47" s="420"/>
      <c r="H47" s="421"/>
      <c r="I47" s="418"/>
      <c r="J47" s="421"/>
      <c r="K47" s="1766"/>
      <c r="L47" s="2494"/>
      <c r="M47" s="2487"/>
      <c r="N47" s="2487"/>
      <c r="O47" s="2487"/>
      <c r="P47" s="3412" t="str">
        <f>A47</f>
        <v>成交单价（元/平方米）</v>
      </c>
      <c r="Q47" s="3412"/>
      <c r="R47" s="3413">
        <f>E47</f>
        <v>0</v>
      </c>
      <c r="S47" s="3413"/>
      <c r="T47" s="3413">
        <f>G47</f>
        <v>0</v>
      </c>
      <c r="U47" s="3413"/>
      <c r="V47" s="3413">
        <f>I47</f>
        <v>0</v>
      </c>
      <c r="W47" s="3413"/>
      <c r="X47" s="384"/>
      <c r="Y47" s="672"/>
      <c r="Z47" s="384"/>
      <c r="AA47" s="384"/>
      <c r="AB47" s="384"/>
      <c r="AC47" s="384"/>
    </row>
    <row r="48" spans="1:29" ht="1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4"/>
      <c r="Y48" s="384"/>
      <c r="Z48" s="384"/>
      <c r="AA48" s="384"/>
      <c r="AB48" s="384"/>
      <c r="AC48" s="384"/>
    </row>
    <row r="49" spans="1:29" ht="15" thickBot="1">
      <c r="A49" s="426" t="s">
        <v>1708</v>
      </c>
      <c r="B49" s="427"/>
      <c r="C49" s="1083" t="e">
        <f>R49</f>
        <v>#DIV/0!</v>
      </c>
      <c r="D49" s="350"/>
      <c r="E49" s="350"/>
      <c r="F49" s="350"/>
      <c r="G49" s="350"/>
      <c r="H49" s="350"/>
      <c r="I49" s="350"/>
      <c r="J49" s="350"/>
      <c r="K49" s="1767"/>
      <c r="L49" s="2494"/>
      <c r="M49" s="2487"/>
      <c r="N49" s="2487"/>
      <c r="O49" s="2487"/>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1712</v>
      </c>
      <c r="B57" s="384"/>
      <c r="C57" s="658"/>
      <c r="D57" s="658"/>
      <c r="E57" s="658"/>
      <c r="F57" s="659"/>
      <c r="G57" s="659"/>
      <c r="H57" s="658"/>
      <c r="I57" s="658"/>
      <c r="J57" s="658"/>
      <c r="K57" s="886"/>
      <c r="L57" s="887"/>
      <c r="M57" s="885"/>
      <c r="N57" s="885"/>
      <c r="O57" s="885"/>
      <c r="P57" s="1770"/>
      <c r="Q57" s="438"/>
    </row>
    <row r="58" spans="1:29" s="441" customFormat="1" ht="14.4">
      <c r="A58" s="439" t="s">
        <v>1713</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1714</v>
      </c>
      <c r="B60" s="449"/>
      <c r="C60" s="450"/>
      <c r="D60" s="451"/>
      <c r="E60" s="451"/>
      <c r="F60" s="451"/>
      <c r="G60" s="451"/>
      <c r="H60" s="451"/>
      <c r="I60" s="451"/>
      <c r="J60" s="451"/>
      <c r="K60" s="451"/>
      <c r="L60" s="451"/>
      <c r="M60" s="452"/>
      <c r="N60" s="451"/>
      <c r="O60" s="452"/>
      <c r="P60" s="1772"/>
      <c r="Q60" s="438"/>
    </row>
    <row r="61" spans="1:29" s="102" customFormat="1" ht="14.4">
      <c r="A61" s="454" t="s">
        <v>1715</v>
      </c>
      <c r="B61" s="443"/>
      <c r="C61" s="455" t="s">
        <v>1716</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1717</v>
      </c>
      <c r="B63" s="459" t="s">
        <v>1683</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1686</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1732</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1733</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1692</v>
      </c>
      <c r="B100" s="459" t="s">
        <v>1734</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176954.78</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514" t="s">
        <v>1773</v>
      </c>
      <c r="Q4" s="3515"/>
      <c r="R4" s="3518" t="s">
        <v>1769</v>
      </c>
      <c r="S4" s="3519"/>
      <c r="T4" s="3518" t="s">
        <v>1770</v>
      </c>
      <c r="U4" s="3519"/>
      <c r="V4" s="3413" t="s">
        <v>1771</v>
      </c>
      <c r="W4" s="3413"/>
      <c r="X4" s="1264"/>
      <c r="Y4" s="3518" t="s">
        <v>1773</v>
      </c>
      <c r="Z4" s="3519"/>
      <c r="AA4" s="3513" t="s">
        <v>1769</v>
      </c>
      <c r="AB4" s="3413" t="s">
        <v>1770</v>
      </c>
      <c r="AC4" s="3513" t="s">
        <v>1771</v>
      </c>
    </row>
    <row r="5" spans="1:29">
      <c r="A5" s="347"/>
      <c r="B5" s="348"/>
      <c r="C5" s="3448" t="s">
        <v>1671</v>
      </c>
      <c r="D5" s="3449"/>
      <c r="E5" s="3460" t="s">
        <v>1672</v>
      </c>
      <c r="F5" s="3461"/>
      <c r="G5" s="3448" t="s">
        <v>1673</v>
      </c>
      <c r="H5" s="3449"/>
      <c r="I5" s="3448" t="s">
        <v>1674</v>
      </c>
      <c r="J5" s="3449"/>
      <c r="K5" s="536"/>
      <c r="L5" s="2486"/>
      <c r="M5" s="2487"/>
      <c r="N5" s="2487"/>
      <c r="O5" s="2487"/>
      <c r="P5" s="3516"/>
      <c r="Q5" s="3436"/>
      <c r="R5" s="3441"/>
      <c r="S5" s="3442"/>
      <c r="T5" s="3441"/>
      <c r="U5" s="3442"/>
      <c r="V5" s="3413"/>
      <c r="W5" s="3413"/>
      <c r="X5" s="1264"/>
      <c r="Y5" s="3441"/>
      <c r="Z5" s="3442"/>
      <c r="AA5" s="3458"/>
      <c r="AB5" s="3413"/>
      <c r="AC5" s="3458"/>
    </row>
    <row r="6" spans="1:29" ht="15" thickBot="1">
      <c r="A6" s="349"/>
      <c r="B6" s="350"/>
      <c r="C6" s="3446" t="s">
        <v>1675</v>
      </c>
      <c r="D6" s="3447"/>
      <c r="E6" s="3455" t="s">
        <v>1675</v>
      </c>
      <c r="F6" s="3456"/>
      <c r="G6" s="3446" t="s">
        <v>1675</v>
      </c>
      <c r="H6" s="3447"/>
      <c r="I6" s="3446" t="s">
        <v>1675</v>
      </c>
      <c r="J6" s="3447"/>
      <c r="K6" s="536" t="s">
        <v>1676</v>
      </c>
      <c r="L6" s="2486"/>
      <c r="M6" s="2487"/>
      <c r="N6" s="2487"/>
      <c r="O6" s="2487"/>
      <c r="P6" s="3517"/>
      <c r="Q6" s="3438"/>
      <c r="R6" s="3441"/>
      <c r="S6" s="3442"/>
      <c r="T6" s="3443"/>
      <c r="U6" s="3444"/>
      <c r="V6" s="3413"/>
      <c r="W6" s="3413"/>
      <c r="X6" s="1264"/>
      <c r="Y6" s="3443"/>
      <c r="Z6" s="3444"/>
      <c r="AA6" s="3459"/>
      <c r="AB6" s="3413"/>
      <c r="AC6" s="3459"/>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38"/>
      <c r="L7" s="2488"/>
      <c r="M7" s="2439"/>
      <c r="N7" s="2439"/>
      <c r="O7" s="2439"/>
      <c r="P7" s="3452" t="s">
        <v>1678</v>
      </c>
      <c r="Q7" s="3453"/>
      <c r="R7" s="663" t="s">
        <v>14</v>
      </c>
      <c r="S7" s="664">
        <f t="shared" ref="S7:S15" si="0">F7</f>
        <v>0</v>
      </c>
      <c r="T7" s="663" t="s">
        <v>14</v>
      </c>
      <c r="U7" s="664">
        <f t="shared" ref="U7:U15" si="1">H7</f>
        <v>0</v>
      </c>
      <c r="V7" s="663" t="s">
        <v>14</v>
      </c>
      <c r="W7" s="664">
        <f t="shared" ref="W7:W15" si="2">J7</f>
        <v>0</v>
      </c>
      <c r="X7" s="665"/>
      <c r="Y7" s="3452" t="s">
        <v>1678</v>
      </c>
      <c r="Z7" s="3451"/>
      <c r="AA7" s="50" t="e">
        <f>D7/F7</f>
        <v>#DIV/0!</v>
      </c>
      <c r="AB7" s="50" t="e">
        <f>D7/H7</f>
        <v>#DIV/0!</v>
      </c>
      <c r="AC7" s="50" t="e">
        <f>D7/J7</f>
        <v>#DIV/0!</v>
      </c>
    </row>
    <row r="8" spans="1:29" s="102" customFormat="1" ht="1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52" t="s">
        <v>1681</v>
      </c>
      <c r="Q8" s="3451"/>
      <c r="R8" s="663" t="s">
        <v>14</v>
      </c>
      <c r="S8" s="664">
        <f t="shared" si="0"/>
        <v>100</v>
      </c>
      <c r="T8" s="663" t="s">
        <v>14</v>
      </c>
      <c r="U8" s="664">
        <f t="shared" si="1"/>
        <v>100</v>
      </c>
      <c r="V8" s="663" t="s">
        <v>14</v>
      </c>
      <c r="W8" s="664">
        <f t="shared" si="2"/>
        <v>100</v>
      </c>
      <c r="X8" s="665"/>
      <c r="Y8" s="3452" t="s">
        <v>1681</v>
      </c>
      <c r="Z8" s="3451"/>
      <c r="AA8" s="50">
        <f t="shared" ref="AA8:AA46" si="3">D8/F8</f>
        <v>1</v>
      </c>
      <c r="AB8" s="50">
        <f t="shared" ref="AB8:AB46" si="4">D8/H8</f>
        <v>1</v>
      </c>
      <c r="AC8" s="50">
        <f t="shared" ref="AC8:AC46" si="5">D8/J8</f>
        <v>1</v>
      </c>
    </row>
    <row r="9" spans="1:29" s="102" customFormat="1" ht="14.4">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11"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11"/>
      <c r="Q10" s="529"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11"/>
      <c r="Q11" s="529"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11"/>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11"/>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11"/>
      <c r="Q14" s="529">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69">
      <c r="A15" s="378" t="s">
        <v>1688</v>
      </c>
      <c r="B15" s="58" t="s">
        <v>1775</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7" t="s">
        <v>1689</v>
      </c>
      <c r="Q15" s="1262" t="str">
        <f t="shared" si="6"/>
        <v>商业繁华度</v>
      </c>
      <c r="R15" s="666" t="s">
        <v>14</v>
      </c>
      <c r="S15" s="667">
        <f t="shared" si="0"/>
        <v>100</v>
      </c>
      <c r="T15" s="666" t="s">
        <v>14</v>
      </c>
      <c r="U15" s="667">
        <f t="shared" si="1"/>
        <v>100</v>
      </c>
      <c r="V15" s="666" t="s">
        <v>14</v>
      </c>
      <c r="W15" s="667">
        <f t="shared" si="2"/>
        <v>100</v>
      </c>
      <c r="X15" s="1264"/>
      <c r="Y15" s="3419"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8"/>
      <c r="Q16" s="1262"/>
      <c r="R16" s="666"/>
      <c r="S16" s="667"/>
      <c r="T16" s="666"/>
      <c r="U16" s="667"/>
      <c r="V16" s="666"/>
      <c r="W16" s="667"/>
      <c r="X16" s="1264"/>
      <c r="Y16" s="3420"/>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18"/>
      <c r="Q17" s="1262" t="str">
        <f>B17</f>
        <v>交通便捷度</v>
      </c>
      <c r="R17" s="666" t="s">
        <v>14</v>
      </c>
      <c r="S17" s="667">
        <f>F17</f>
        <v>100</v>
      </c>
      <c r="T17" s="666" t="s">
        <v>14</v>
      </c>
      <c r="U17" s="667">
        <f>H17</f>
        <v>100</v>
      </c>
      <c r="V17" s="666" t="s">
        <v>14</v>
      </c>
      <c r="W17" s="667">
        <f>J17</f>
        <v>100</v>
      </c>
      <c r="X17" s="1264"/>
      <c r="Y17" s="342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18"/>
      <c r="Q18" s="1262"/>
      <c r="R18" s="666"/>
      <c r="S18" s="667"/>
      <c r="T18" s="666"/>
      <c r="U18" s="667"/>
      <c r="V18" s="666"/>
      <c r="W18" s="667"/>
      <c r="X18" s="1264"/>
      <c r="Y18" s="3420"/>
      <c r="Z18" s="1263"/>
      <c r="AA18" s="1263">
        <v>1</v>
      </c>
      <c r="AB18" s="1263">
        <v>1</v>
      </c>
      <c r="AC18" s="1263">
        <v>1</v>
      </c>
    </row>
    <row r="19" spans="1:29" ht="41.4">
      <c r="A19" s="366"/>
      <c r="B19" s="389" t="s">
        <v>1776</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8"/>
      <c r="Q19" s="1262" t="str">
        <f>B19</f>
        <v>公共配套设施</v>
      </c>
      <c r="R19" s="666" t="s">
        <v>14</v>
      </c>
      <c r="S19" s="667">
        <f>F19</f>
        <v>100</v>
      </c>
      <c r="T19" s="666" t="s">
        <v>14</v>
      </c>
      <c r="U19" s="667">
        <f>H19</f>
        <v>100</v>
      </c>
      <c r="V19" s="666" t="s">
        <v>14</v>
      </c>
      <c r="W19" s="667">
        <f>J19</f>
        <v>100</v>
      </c>
      <c r="X19" s="1264"/>
      <c r="Y19" s="342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8"/>
      <c r="Q20" s="1262"/>
      <c r="R20" s="666"/>
      <c r="S20" s="667"/>
      <c r="T20" s="666"/>
      <c r="U20" s="667"/>
      <c r="V20" s="666"/>
      <c r="W20" s="667"/>
      <c r="X20" s="1264"/>
      <c r="Y20" s="3420"/>
      <c r="Z20" s="1263"/>
      <c r="AA20" s="1263">
        <v>1</v>
      </c>
      <c r="AB20" s="1263">
        <v>1</v>
      </c>
      <c r="AC20" s="1263">
        <v>1</v>
      </c>
    </row>
    <row r="21" spans="1:29" ht="27.6">
      <c r="A21" s="366"/>
      <c r="B21" s="585" t="s">
        <v>1777</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8"/>
      <c r="Q21" s="1262" t="str">
        <f>B21</f>
        <v>基础设施水平</v>
      </c>
      <c r="R21" s="666" t="s">
        <v>14</v>
      </c>
      <c r="S21" s="667">
        <f>F21</f>
        <v>100</v>
      </c>
      <c r="T21" s="666" t="s">
        <v>14</v>
      </c>
      <c r="U21" s="667">
        <f>H21</f>
        <v>100</v>
      </c>
      <c r="V21" s="666" t="s">
        <v>14</v>
      </c>
      <c r="W21" s="667">
        <f>J21</f>
        <v>100</v>
      </c>
      <c r="X21" s="1264"/>
      <c r="Y21" s="342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8"/>
      <c r="Q22" s="1262"/>
      <c r="R22" s="666"/>
      <c r="S22" s="667"/>
      <c r="T22" s="666"/>
      <c r="U22" s="667"/>
      <c r="V22" s="666"/>
      <c r="W22" s="667"/>
      <c r="X22" s="1264"/>
      <c r="Y22" s="3420"/>
      <c r="Z22" s="1263"/>
      <c r="AA22" s="1263">
        <v>1</v>
      </c>
      <c r="AB22" s="1263">
        <v>1</v>
      </c>
      <c r="AC22" s="1263">
        <v>1</v>
      </c>
    </row>
    <row r="23" spans="1:29" ht="55.2">
      <c r="A23" s="366"/>
      <c r="B23" s="389" t="s">
        <v>1259</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8"/>
      <c r="Q23" s="1262" t="str">
        <f>B23</f>
        <v>自然及人文环境</v>
      </c>
      <c r="R23" s="666" t="s">
        <v>14</v>
      </c>
      <c r="S23" s="667">
        <f>F23</f>
        <v>100</v>
      </c>
      <c r="T23" s="666" t="s">
        <v>14</v>
      </c>
      <c r="U23" s="667">
        <f>H23</f>
        <v>100</v>
      </c>
      <c r="V23" s="666" t="s">
        <v>14</v>
      </c>
      <c r="W23" s="667">
        <f>J23</f>
        <v>100</v>
      </c>
      <c r="X23" s="1264"/>
      <c r="Y23" s="342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8"/>
      <c r="Q24" s="1262"/>
      <c r="R24" s="666"/>
      <c r="S24" s="667"/>
      <c r="T24" s="666"/>
      <c r="U24" s="667"/>
      <c r="V24" s="666"/>
      <c r="W24" s="667"/>
      <c r="X24" s="1264"/>
      <c r="Y24" s="3420"/>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8"/>
      <c r="Q25" s="1262" t="str">
        <f t="shared" ref="Q25:Q46" si="11">B25</f>
        <v>临街状况</v>
      </c>
      <c r="R25" s="666" t="s">
        <v>14</v>
      </c>
      <c r="S25" s="667">
        <f>F25</f>
        <v>100</v>
      </c>
      <c r="T25" s="666" t="s">
        <v>14</v>
      </c>
      <c r="U25" s="667">
        <f>H25</f>
        <v>100</v>
      </c>
      <c r="V25" s="666" t="s">
        <v>14</v>
      </c>
      <c r="W25" s="667">
        <f>J25</f>
        <v>100</v>
      </c>
      <c r="X25" s="1264"/>
      <c r="Y25" s="3420"/>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18"/>
      <c r="Q26" s="1262" t="str">
        <f t="shared" si="11"/>
        <v>平面位置/可视性</v>
      </c>
      <c r="R26" s="666" t="s">
        <v>14</v>
      </c>
      <c r="S26" s="667">
        <f>F26</f>
        <v>100</v>
      </c>
      <c r="T26" s="666" t="s">
        <v>14</v>
      </c>
      <c r="U26" s="667">
        <f>H26</f>
        <v>100</v>
      </c>
      <c r="V26" s="666" t="s">
        <v>14</v>
      </c>
      <c r="W26" s="667">
        <f>J26</f>
        <v>100</v>
      </c>
      <c r="X26" s="1264"/>
      <c r="Y26" s="3420"/>
      <c r="Z26" s="1263" t="str">
        <f>Q26</f>
        <v>平面位置/可视性</v>
      </c>
      <c r="AA26" s="1263">
        <f t="shared" si="3"/>
        <v>1</v>
      </c>
      <c r="AB26" s="1263">
        <f t="shared" si="4"/>
        <v>1</v>
      </c>
      <c r="AC26" s="1263">
        <f t="shared" si="5"/>
        <v>1</v>
      </c>
    </row>
    <row r="27" spans="1:29" s="102"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8"/>
      <c r="Q27" s="529" t="str">
        <f t="shared" si="11"/>
        <v>人流量</v>
      </c>
      <c r="R27" s="663" t="s">
        <v>14</v>
      </c>
      <c r="S27" s="664">
        <f>F27</f>
        <v>100</v>
      </c>
      <c r="T27" s="663" t="s">
        <v>14</v>
      </c>
      <c r="U27" s="664">
        <f>H27</f>
        <v>100</v>
      </c>
      <c r="V27" s="663" t="s">
        <v>14</v>
      </c>
      <c r="W27" s="664">
        <f>J27</f>
        <v>100</v>
      </c>
      <c r="X27" s="665"/>
      <c r="Y27" s="3420"/>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8"/>
      <c r="Q29" s="1262">
        <f t="shared" si="11"/>
        <v>111</v>
      </c>
      <c r="R29" s="666" t="s">
        <v>14</v>
      </c>
      <c r="S29" s="667">
        <f t="shared" si="12"/>
        <v>100</v>
      </c>
      <c r="T29" s="666" t="s">
        <v>14</v>
      </c>
      <c r="U29" s="667">
        <f t="shared" si="13"/>
        <v>100</v>
      </c>
      <c r="V29" s="666" t="s">
        <v>14</v>
      </c>
      <c r="W29" s="667">
        <f t="shared" si="14"/>
        <v>100</v>
      </c>
      <c r="X29" s="1264"/>
      <c r="Y29" s="342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8"/>
      <c r="Q30" s="1262">
        <f t="shared" si="11"/>
        <v>111</v>
      </c>
      <c r="R30" s="666" t="s">
        <v>14</v>
      </c>
      <c r="S30" s="667">
        <f t="shared" si="12"/>
        <v>100</v>
      </c>
      <c r="T30" s="666" t="s">
        <v>14</v>
      </c>
      <c r="U30" s="667">
        <f t="shared" si="13"/>
        <v>100</v>
      </c>
      <c r="V30" s="666" t="s">
        <v>14</v>
      </c>
      <c r="W30" s="667">
        <f t="shared" si="14"/>
        <v>100</v>
      </c>
      <c r="X30" s="1264"/>
      <c r="Y30" s="3420"/>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8"/>
      <c r="Q31" s="1262">
        <f t="shared" si="11"/>
        <v>111</v>
      </c>
      <c r="R31" s="666" t="s">
        <v>14</v>
      </c>
      <c r="S31" s="667">
        <f t="shared" si="12"/>
        <v>100</v>
      </c>
      <c r="T31" s="666" t="s">
        <v>14</v>
      </c>
      <c r="U31" s="667">
        <f t="shared" si="13"/>
        <v>100</v>
      </c>
      <c r="V31" s="666" t="s">
        <v>14</v>
      </c>
      <c r="W31" s="667">
        <f t="shared" si="14"/>
        <v>100</v>
      </c>
      <c r="X31" s="1264"/>
      <c r="Y31" s="3420"/>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21" t="s">
        <v>1694</v>
      </c>
      <c r="Q32" s="1262" t="str">
        <f t="shared" si="11"/>
        <v>商业类型</v>
      </c>
      <c r="R32" s="666" t="s">
        <v>14</v>
      </c>
      <c r="S32" s="667">
        <f t="shared" si="12"/>
        <v>100</v>
      </c>
      <c r="T32" s="666" t="s">
        <v>14</v>
      </c>
      <c r="U32" s="667">
        <f t="shared" si="13"/>
        <v>100</v>
      </c>
      <c r="V32" s="666" t="s">
        <v>14</v>
      </c>
      <c r="W32" s="667">
        <f t="shared" si="14"/>
        <v>100</v>
      </c>
      <c r="X32" s="1264"/>
      <c r="Y32" s="3424"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22"/>
      <c r="Q33" s="530" t="str">
        <f t="shared" si="11"/>
        <v>项目建筑规模</v>
      </c>
      <c r="R33" s="668" t="s">
        <v>14</v>
      </c>
      <c r="S33" s="669" t="e">
        <f t="shared" si="12"/>
        <v>#N/A</v>
      </c>
      <c r="T33" s="668" t="s">
        <v>14</v>
      </c>
      <c r="U33" s="669" t="e">
        <f t="shared" si="13"/>
        <v>#N/A</v>
      </c>
      <c r="V33" s="668" t="s">
        <v>14</v>
      </c>
      <c r="W33" s="669" t="e">
        <f t="shared" si="14"/>
        <v>#N/A</v>
      </c>
      <c r="X33" s="670"/>
      <c r="Y33" s="3424"/>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22"/>
      <c r="Q34" s="1262" t="str">
        <f t="shared" si="11"/>
        <v>建筑结构</v>
      </c>
      <c r="R34" s="666" t="s">
        <v>14</v>
      </c>
      <c r="S34" s="667">
        <f t="shared" si="12"/>
        <v>100</v>
      </c>
      <c r="T34" s="666" t="s">
        <v>14</v>
      </c>
      <c r="U34" s="667">
        <f t="shared" si="13"/>
        <v>100</v>
      </c>
      <c r="V34" s="666" t="s">
        <v>14</v>
      </c>
      <c r="W34" s="667">
        <f t="shared" si="14"/>
        <v>100</v>
      </c>
      <c r="X34" s="1264"/>
      <c r="Y34" s="3424"/>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22"/>
      <c r="Q35" s="1262" t="str">
        <f t="shared" si="11"/>
        <v>公共部分装修</v>
      </c>
      <c r="R35" s="666" t="s">
        <v>14</v>
      </c>
      <c r="S35" s="667">
        <f t="shared" si="12"/>
        <v>100</v>
      </c>
      <c r="T35" s="666" t="s">
        <v>14</v>
      </c>
      <c r="U35" s="667">
        <f t="shared" si="13"/>
        <v>100</v>
      </c>
      <c r="V35" s="666" t="s">
        <v>14</v>
      </c>
      <c r="W35" s="667">
        <f t="shared" si="14"/>
        <v>100</v>
      </c>
      <c r="X35" s="1264"/>
      <c r="Y35" s="3424"/>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22"/>
      <c r="Q36" s="1262" t="str">
        <f t="shared" si="11"/>
        <v>成新度</v>
      </c>
      <c r="R36" s="666" t="s">
        <v>14</v>
      </c>
      <c r="S36" s="667" t="e">
        <f t="shared" si="12"/>
        <v>#N/A</v>
      </c>
      <c r="T36" s="666" t="s">
        <v>14</v>
      </c>
      <c r="U36" s="667" t="e">
        <f t="shared" si="13"/>
        <v>#N/A</v>
      </c>
      <c r="V36" s="666" t="s">
        <v>14</v>
      </c>
      <c r="W36" s="667" t="e">
        <f t="shared" si="14"/>
        <v>#N/A</v>
      </c>
      <c r="X36" s="1264"/>
      <c r="Y36" s="3424"/>
      <c r="Z36" s="1263" t="str">
        <f t="shared" si="15"/>
        <v>成新度</v>
      </c>
      <c r="AA36" s="1263" t="e">
        <f t="shared" si="3"/>
        <v>#N/A</v>
      </c>
      <c r="AB36" s="1263" t="e">
        <f t="shared" si="4"/>
        <v>#N/A</v>
      </c>
      <c r="AC36" s="1263" t="e">
        <f t="shared" si="5"/>
        <v>#N/A</v>
      </c>
    </row>
    <row r="37" spans="1:29" s="102"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22"/>
      <c r="Q37" s="529" t="str">
        <f t="shared" si="11"/>
        <v>市政基础设施</v>
      </c>
      <c r="R37" s="663" t="s">
        <v>14</v>
      </c>
      <c r="S37" s="664">
        <f t="shared" si="12"/>
        <v>100</v>
      </c>
      <c r="T37" s="663" t="s">
        <v>14</v>
      </c>
      <c r="U37" s="664">
        <f t="shared" si="13"/>
        <v>100</v>
      </c>
      <c r="V37" s="663" t="s">
        <v>14</v>
      </c>
      <c r="W37" s="664">
        <f t="shared" si="14"/>
        <v>100</v>
      </c>
      <c r="X37" s="665"/>
      <c r="Y37" s="3424"/>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22" t="s">
        <v>1694</v>
      </c>
      <c r="Q38" s="1262" t="str">
        <f t="shared" si="11"/>
        <v>业态</v>
      </c>
      <c r="R38" s="666" t="s">
        <v>14</v>
      </c>
      <c r="S38" s="667">
        <f t="shared" si="12"/>
        <v>100</v>
      </c>
      <c r="T38" s="666" t="s">
        <v>14</v>
      </c>
      <c r="U38" s="667">
        <f t="shared" si="13"/>
        <v>100</v>
      </c>
      <c r="V38" s="666" t="s">
        <v>14</v>
      </c>
      <c r="W38" s="667">
        <f t="shared" si="14"/>
        <v>100</v>
      </c>
      <c r="X38" s="1264"/>
      <c r="Y38" s="3424"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22"/>
      <c r="Q39" s="1262" t="str">
        <f t="shared" si="11"/>
        <v>层高</v>
      </c>
      <c r="R39" s="666" t="s">
        <v>14</v>
      </c>
      <c r="S39" s="667">
        <f t="shared" si="12"/>
        <v>100</v>
      </c>
      <c r="T39" s="666" t="s">
        <v>14</v>
      </c>
      <c r="U39" s="667">
        <f t="shared" si="13"/>
        <v>100</v>
      </c>
      <c r="V39" s="666" t="s">
        <v>14</v>
      </c>
      <c r="W39" s="667">
        <f t="shared" si="14"/>
        <v>100</v>
      </c>
      <c r="X39" s="1264"/>
      <c r="Y39" s="3424"/>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22"/>
      <c r="Q40" s="1262" t="str">
        <f t="shared" si="11"/>
        <v>单套建筑面积</v>
      </c>
      <c r="R40" s="666" t="s">
        <v>14</v>
      </c>
      <c r="S40" s="667">
        <f t="shared" si="12"/>
        <v>100</v>
      </c>
      <c r="T40" s="666" t="s">
        <v>14</v>
      </c>
      <c r="U40" s="667">
        <f t="shared" si="13"/>
        <v>100</v>
      </c>
      <c r="V40" s="666" t="s">
        <v>14</v>
      </c>
      <c r="W40" s="667">
        <f t="shared" si="14"/>
        <v>100</v>
      </c>
      <c r="X40" s="1264"/>
      <c r="Y40" s="3424"/>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22"/>
      <c r="Q41" s="530" t="str">
        <f t="shared" si="11"/>
        <v>进深比</v>
      </c>
      <c r="R41" s="668" t="s">
        <v>14</v>
      </c>
      <c r="S41" s="669">
        <f t="shared" si="12"/>
        <v>100</v>
      </c>
      <c r="T41" s="668" t="s">
        <v>14</v>
      </c>
      <c r="U41" s="669">
        <f t="shared" si="13"/>
        <v>100</v>
      </c>
      <c r="V41" s="668" t="s">
        <v>14</v>
      </c>
      <c r="W41" s="669">
        <f t="shared" si="14"/>
        <v>100</v>
      </c>
      <c r="X41" s="670"/>
      <c r="Y41" s="3424"/>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22"/>
      <c r="Q42" s="1262" t="str">
        <f t="shared" si="11"/>
        <v>内部装修</v>
      </c>
      <c r="R42" s="666" t="s">
        <v>14</v>
      </c>
      <c r="S42" s="667">
        <f t="shared" si="12"/>
        <v>100</v>
      </c>
      <c r="T42" s="666" t="s">
        <v>14</v>
      </c>
      <c r="U42" s="667">
        <f t="shared" si="13"/>
        <v>100</v>
      </c>
      <c r="V42" s="666" t="s">
        <v>14</v>
      </c>
      <c r="W42" s="667">
        <f t="shared" si="14"/>
        <v>100</v>
      </c>
      <c r="X42" s="1264"/>
      <c r="Y42" s="3424"/>
      <c r="Z42" s="1263" t="str">
        <f t="shared" si="15"/>
        <v>内部装修</v>
      </c>
      <c r="AA42" s="1263">
        <f t="shared" si="3"/>
        <v>1</v>
      </c>
      <c r="AB42" s="1263">
        <f t="shared" si="4"/>
        <v>1</v>
      </c>
      <c r="AC42" s="1263">
        <f t="shared" si="5"/>
        <v>1</v>
      </c>
    </row>
    <row r="43" spans="1:29" ht="28.8">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22"/>
      <c r="Q43" s="1262" t="str">
        <f t="shared" si="11"/>
        <v>内部装修维护情况</v>
      </c>
      <c r="R43" s="666" t="s">
        <v>14</v>
      </c>
      <c r="S43" s="667">
        <f t="shared" si="12"/>
        <v>100</v>
      </c>
      <c r="T43" s="666" t="s">
        <v>14</v>
      </c>
      <c r="U43" s="667">
        <f t="shared" si="13"/>
        <v>100</v>
      </c>
      <c r="V43" s="666" t="s">
        <v>14</v>
      </c>
      <c r="W43" s="667">
        <f t="shared" si="14"/>
        <v>100</v>
      </c>
      <c r="X43" s="1264"/>
      <c r="Y43" s="3424"/>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22"/>
      <c r="Q44" s="529">
        <f t="shared" si="11"/>
        <v>111</v>
      </c>
      <c r="R44" s="663" t="s">
        <v>14</v>
      </c>
      <c r="S44" s="664">
        <f t="shared" si="12"/>
        <v>100</v>
      </c>
      <c r="T44" s="663" t="s">
        <v>14</v>
      </c>
      <c r="U44" s="664">
        <f t="shared" si="13"/>
        <v>100</v>
      </c>
      <c r="V44" s="663" t="s">
        <v>14</v>
      </c>
      <c r="W44" s="664">
        <f t="shared" si="14"/>
        <v>100</v>
      </c>
      <c r="X44" s="665"/>
      <c r="Y44" s="3424"/>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22"/>
      <c r="Q45" s="1262">
        <f t="shared" si="11"/>
        <v>111</v>
      </c>
      <c r="R45" s="666" t="s">
        <v>14</v>
      </c>
      <c r="S45" s="667">
        <f t="shared" si="12"/>
        <v>100</v>
      </c>
      <c r="T45" s="666" t="s">
        <v>14</v>
      </c>
      <c r="U45" s="667">
        <f t="shared" si="13"/>
        <v>100</v>
      </c>
      <c r="V45" s="666" t="s">
        <v>14</v>
      </c>
      <c r="W45" s="667">
        <f t="shared" si="14"/>
        <v>100</v>
      </c>
      <c r="X45" s="1264"/>
      <c r="Y45" s="3424"/>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23"/>
      <c r="Q46" s="1262">
        <f t="shared" si="11"/>
        <v>111</v>
      </c>
      <c r="R46" s="666" t="s">
        <v>14</v>
      </c>
      <c r="S46" s="667">
        <f t="shared" si="12"/>
        <v>100</v>
      </c>
      <c r="T46" s="666" t="s">
        <v>14</v>
      </c>
      <c r="U46" s="667">
        <f t="shared" si="13"/>
        <v>100</v>
      </c>
      <c r="V46" s="666" t="s">
        <v>14</v>
      </c>
      <c r="W46" s="667">
        <f t="shared" si="14"/>
        <v>100</v>
      </c>
      <c r="X46" s="1264"/>
      <c r="Y46" s="3425"/>
      <c r="Z46" s="1263">
        <f t="shared" si="15"/>
        <v>111</v>
      </c>
      <c r="AA46" s="1263">
        <f t="shared" si="3"/>
        <v>1</v>
      </c>
      <c r="AB46" s="1263">
        <f t="shared" si="4"/>
        <v>1</v>
      </c>
      <c r="AC46" s="1263">
        <f t="shared" si="5"/>
        <v>1</v>
      </c>
    </row>
    <row r="47" spans="1:29" ht="14.4">
      <c r="A47" s="415" t="s">
        <v>1706</v>
      </c>
      <c r="B47" s="416"/>
      <c r="C47" s="1080" t="s">
        <v>0</v>
      </c>
      <c r="D47" s="417"/>
      <c r="E47" s="418"/>
      <c r="F47" s="419"/>
      <c r="G47" s="420"/>
      <c r="H47" s="421"/>
      <c r="I47" s="418"/>
      <c r="J47" s="421"/>
      <c r="K47" s="673"/>
      <c r="L47" s="2494"/>
      <c r="M47" s="2487"/>
      <c r="N47" s="2487"/>
      <c r="O47" s="2487"/>
      <c r="P47" s="3412" t="str">
        <f>A47</f>
        <v>成交单价（元/平方米）</v>
      </c>
      <c r="Q47" s="3412"/>
      <c r="R47" s="3413">
        <f>E47</f>
        <v>0</v>
      </c>
      <c r="S47" s="3413"/>
      <c r="T47" s="3413">
        <f>G47</f>
        <v>0</v>
      </c>
      <c r="U47" s="3413"/>
      <c r="V47" s="3413">
        <f>I47</f>
        <v>0</v>
      </c>
      <c r="W47" s="3413"/>
      <c r="X47" s="384"/>
      <c r="Y47" s="672"/>
      <c r="Z47" s="384"/>
      <c r="AA47" s="384"/>
      <c r="AB47" s="384"/>
      <c r="AC47" s="384"/>
    </row>
    <row r="48" spans="1:29" ht="1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4"/>
      <c r="Y48" s="384"/>
      <c r="Z48" s="384"/>
      <c r="AA48" s="384"/>
      <c r="AB48" s="384"/>
      <c r="AC48" s="384"/>
    </row>
    <row r="49" spans="1:29" ht="15" thickBot="1">
      <c r="A49" s="426" t="s">
        <v>1792</v>
      </c>
      <c r="B49" s="427"/>
      <c r="C49" s="350" t="e">
        <f>R49</f>
        <v>#DIV/0!</v>
      </c>
      <c r="D49" s="350"/>
      <c r="E49" s="350"/>
      <c r="F49" s="350"/>
      <c r="G49" s="350"/>
      <c r="H49" s="350"/>
      <c r="I49" s="350"/>
      <c r="J49" s="350"/>
      <c r="K49" s="674"/>
      <c r="L49" s="2494"/>
      <c r="M49" s="2487"/>
      <c r="N49" s="2487"/>
      <c r="O49" s="2487"/>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4.4">
      <c r="A58" s="439" t="s">
        <v>1677</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4.4">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ht="14.4">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4.4"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9.4"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4.4"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4.4"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4.4"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4.4"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4.4"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4.4"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4.4"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ht="14.4">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4.4"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4.4"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4.4"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4.4"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4.4"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4.4"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4.4"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ht="14.4">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4.4"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4.4"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4.4"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4.4"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4.4"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4.4"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4.4"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4.4"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176954.78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1767</v>
      </c>
      <c r="B4" s="345"/>
      <c r="C4" s="3429" t="s">
        <v>1768</v>
      </c>
      <c r="D4" s="3430"/>
      <c r="E4" s="3431" t="s">
        <v>1769</v>
      </c>
      <c r="F4" s="3432"/>
      <c r="G4" s="3429" t="s">
        <v>1770</v>
      </c>
      <c r="H4" s="3430"/>
      <c r="I4" s="3429" t="s">
        <v>1771</v>
      </c>
      <c r="J4" s="3430"/>
      <c r="K4" s="536" t="s">
        <v>1772</v>
      </c>
      <c r="L4" s="859"/>
      <c r="M4" s="860"/>
      <c r="N4" s="860"/>
      <c r="O4" s="860"/>
      <c r="P4" s="3514" t="s">
        <v>1773</v>
      </c>
      <c r="Q4" s="3515"/>
      <c r="R4" s="3518" t="s">
        <v>1769</v>
      </c>
      <c r="S4" s="3519"/>
      <c r="T4" s="3518" t="s">
        <v>1770</v>
      </c>
      <c r="U4" s="3519"/>
      <c r="V4" s="3413" t="s">
        <v>1771</v>
      </c>
      <c r="W4" s="3413"/>
      <c r="X4" s="1264"/>
      <c r="Y4" s="3518" t="s">
        <v>1773</v>
      </c>
      <c r="Z4" s="3519"/>
      <c r="AA4" s="3513" t="s">
        <v>1769</v>
      </c>
      <c r="AB4" s="3458" t="s">
        <v>1770</v>
      </c>
      <c r="AC4" s="3513" t="s">
        <v>1771</v>
      </c>
    </row>
    <row r="5" spans="1:29">
      <c r="A5" s="347"/>
      <c r="B5" s="348"/>
      <c r="C5" s="3448" t="s">
        <v>1671</v>
      </c>
      <c r="D5" s="3449"/>
      <c r="E5" s="3460" t="s">
        <v>1672</v>
      </c>
      <c r="F5" s="3461"/>
      <c r="G5" s="3448" t="s">
        <v>1673</v>
      </c>
      <c r="H5" s="3449"/>
      <c r="I5" s="3448" t="s">
        <v>1674</v>
      </c>
      <c r="J5" s="3449"/>
      <c r="K5" s="536"/>
      <c r="L5" s="859"/>
      <c r="M5" s="860"/>
      <c r="N5" s="860"/>
      <c r="O5" s="860"/>
      <c r="P5" s="3516"/>
      <c r="Q5" s="3436"/>
      <c r="R5" s="3441"/>
      <c r="S5" s="3442"/>
      <c r="T5" s="3441"/>
      <c r="U5" s="3442"/>
      <c r="V5" s="3413"/>
      <c r="W5" s="3413"/>
      <c r="X5" s="1264"/>
      <c r="Y5" s="3441"/>
      <c r="Z5" s="3442"/>
      <c r="AA5" s="3458"/>
      <c r="AB5" s="3458"/>
      <c r="AC5" s="3458"/>
    </row>
    <row r="6" spans="1:29" ht="15" thickBot="1">
      <c r="A6" s="349"/>
      <c r="B6" s="350"/>
      <c r="C6" s="3446" t="s">
        <v>1675</v>
      </c>
      <c r="D6" s="3447"/>
      <c r="E6" s="3455" t="s">
        <v>1675</v>
      </c>
      <c r="F6" s="3456"/>
      <c r="G6" s="3446" t="s">
        <v>1675</v>
      </c>
      <c r="H6" s="3447"/>
      <c r="I6" s="3446" t="s">
        <v>1675</v>
      </c>
      <c r="J6" s="3447"/>
      <c r="K6" s="536" t="s">
        <v>1676</v>
      </c>
      <c r="L6" s="859"/>
      <c r="M6" s="860"/>
      <c r="N6" s="860"/>
      <c r="O6" s="860"/>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SUMIF(52:52,YEAR(E7)&amp;"-"&amp;MONTH(E7),53:53)</f>
        <v>0</v>
      </c>
      <c r="G7" s="355"/>
      <c r="H7" s="354">
        <f>SUMIF(52:52,YEAR(G7)&amp;"-"&amp;MONTH(G7),53:53)</f>
        <v>0</v>
      </c>
      <c r="I7" s="355"/>
      <c r="J7" s="354">
        <f>SUMIF(52:52,YEAR(I7)&amp;"-"&amp;MONTH(I7),53:53)</f>
        <v>0</v>
      </c>
      <c r="K7" s="38"/>
      <c r="L7" s="861"/>
      <c r="M7" s="862"/>
      <c r="N7" s="862"/>
      <c r="O7" s="862"/>
      <c r="P7" s="3452" t="s">
        <v>1678</v>
      </c>
      <c r="Q7" s="3453"/>
      <c r="R7" s="663" t="s">
        <v>14</v>
      </c>
      <c r="S7" s="664">
        <f t="shared" ref="S7:S15" si="0">F7</f>
        <v>0</v>
      </c>
      <c r="T7" s="663" t="s">
        <v>14</v>
      </c>
      <c r="U7" s="664">
        <f t="shared" ref="U7:U15" si="1">H7</f>
        <v>0</v>
      </c>
      <c r="V7" s="663" t="s">
        <v>14</v>
      </c>
      <c r="W7" s="664">
        <f t="shared" ref="W7:W15" si="2">J7</f>
        <v>0</v>
      </c>
      <c r="X7" s="665"/>
      <c r="Y7" s="3452" t="s">
        <v>1678</v>
      </c>
      <c r="Z7" s="3451"/>
      <c r="AA7" s="50" t="e">
        <f>D7/F7</f>
        <v>#DIV/0!</v>
      </c>
      <c r="AB7" s="50" t="e">
        <f>D7/H7</f>
        <v>#DIV/0!</v>
      </c>
      <c r="AC7" s="50" t="e">
        <f>D7/J7</f>
        <v>#DIV/0!</v>
      </c>
    </row>
    <row r="8" spans="1:29" s="102" customFormat="1" ht="1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2" t="s">
        <v>1681</v>
      </c>
      <c r="Q8" s="3451"/>
      <c r="R8" s="663" t="s">
        <v>14</v>
      </c>
      <c r="S8" s="664">
        <f t="shared" si="0"/>
        <v>100</v>
      </c>
      <c r="T8" s="663" t="s">
        <v>14</v>
      </c>
      <c r="U8" s="664">
        <f t="shared" si="1"/>
        <v>100</v>
      </c>
      <c r="V8" s="663" t="s">
        <v>14</v>
      </c>
      <c r="W8" s="664">
        <f t="shared" si="2"/>
        <v>100</v>
      </c>
      <c r="X8" s="665"/>
      <c r="Y8" s="3452" t="s">
        <v>1681</v>
      </c>
      <c r="Z8" s="3451"/>
      <c r="AA8" s="50">
        <f t="shared" ref="AA8:AA40" si="3">D8/F8</f>
        <v>1</v>
      </c>
      <c r="AB8" s="50">
        <f t="shared" ref="AB8:AB40" si="4">D8/H8</f>
        <v>1</v>
      </c>
      <c r="AC8" s="50">
        <f t="shared" ref="AC8:AC40" si="5">D8/J8</f>
        <v>1</v>
      </c>
    </row>
    <row r="9" spans="1:29" s="102" customFormat="1" ht="14.4">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2"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12"/>
      <c r="Q10" s="529"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2"/>
      <c r="Q11" s="529" t="str">
        <f t="shared" si="6"/>
        <v>容积率</v>
      </c>
      <c r="R11" s="663" t="s">
        <v>14</v>
      </c>
      <c r="S11" s="664">
        <f t="shared" si="0"/>
        <v>100</v>
      </c>
      <c r="T11" s="663" t="s">
        <v>14</v>
      </c>
      <c r="U11" s="664">
        <f t="shared" si="1"/>
        <v>100</v>
      </c>
      <c r="V11" s="663" t="s">
        <v>14</v>
      </c>
      <c r="W11" s="664">
        <f t="shared" si="2"/>
        <v>100</v>
      </c>
      <c r="X11" s="665"/>
      <c r="Y11" s="331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2"/>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2"/>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2"/>
      <c r="Q14" s="529">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69">
      <c r="A15" s="378" t="s">
        <v>1688</v>
      </c>
      <c r="B15" s="58" t="s">
        <v>1825</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9" t="s">
        <v>1689</v>
      </c>
      <c r="Q15" s="1262" t="str">
        <f t="shared" si="6"/>
        <v>产业集聚程度</v>
      </c>
      <c r="R15" s="666" t="s">
        <v>14</v>
      </c>
      <c r="S15" s="667">
        <f t="shared" si="0"/>
        <v>100</v>
      </c>
      <c r="T15" s="666" t="s">
        <v>14</v>
      </c>
      <c r="U15" s="667">
        <f t="shared" si="1"/>
        <v>100</v>
      </c>
      <c r="V15" s="666" t="s">
        <v>14</v>
      </c>
      <c r="W15" s="667">
        <f t="shared" si="2"/>
        <v>100</v>
      </c>
      <c r="X15" s="1264"/>
      <c r="Y15" s="3419"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0"/>
      <c r="Q16" s="1262"/>
      <c r="R16" s="666"/>
      <c r="S16" s="667"/>
      <c r="T16" s="666"/>
      <c r="U16" s="667"/>
      <c r="V16" s="666"/>
      <c r="W16" s="667"/>
      <c r="X16" s="1264"/>
      <c r="Y16" s="3420"/>
      <c r="Z16" s="1263"/>
      <c r="AA16" s="1263">
        <v>1</v>
      </c>
      <c r="AB16" s="1263">
        <v>1</v>
      </c>
      <c r="AC16" s="1263">
        <v>1</v>
      </c>
    </row>
    <row r="17" spans="1:29" ht="96.6">
      <c r="A17" s="366"/>
      <c r="B17" s="389" t="s">
        <v>1257</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0"/>
      <c r="Q17" s="1262" t="str">
        <f>B17</f>
        <v>交通便捷度</v>
      </c>
      <c r="R17" s="666" t="s">
        <v>14</v>
      </c>
      <c r="S17" s="667">
        <f>F17</f>
        <v>100</v>
      </c>
      <c r="T17" s="666" t="s">
        <v>14</v>
      </c>
      <c r="U17" s="667">
        <f>H17</f>
        <v>100</v>
      </c>
      <c r="V17" s="666" t="s">
        <v>14</v>
      </c>
      <c r="W17" s="667">
        <f>J17</f>
        <v>100</v>
      </c>
      <c r="X17" s="1264"/>
      <c r="Y17" s="342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0"/>
      <c r="Q18" s="1262"/>
      <c r="R18" s="666"/>
      <c r="S18" s="667"/>
      <c r="T18" s="666"/>
      <c r="U18" s="667"/>
      <c r="V18" s="666"/>
      <c r="W18" s="667"/>
      <c r="X18" s="1264"/>
      <c r="Y18" s="3420"/>
      <c r="Z18" s="1263"/>
      <c r="AA18" s="1263">
        <v>1</v>
      </c>
      <c r="AB18" s="1263">
        <v>1</v>
      </c>
      <c r="AC18" s="1263">
        <v>1</v>
      </c>
    </row>
    <row r="19" spans="1:29" ht="41.4">
      <c r="A19" s="366"/>
      <c r="B19" s="389" t="s">
        <v>1810</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0"/>
      <c r="Q19" s="1262" t="str">
        <f>B19</f>
        <v>公共配套设施</v>
      </c>
      <c r="R19" s="666" t="s">
        <v>14</v>
      </c>
      <c r="S19" s="667">
        <f>F19</f>
        <v>100</v>
      </c>
      <c r="T19" s="666" t="s">
        <v>14</v>
      </c>
      <c r="U19" s="667">
        <f>H19</f>
        <v>100</v>
      </c>
      <c r="V19" s="666" t="s">
        <v>14</v>
      </c>
      <c r="W19" s="667">
        <f>J19</f>
        <v>100</v>
      </c>
      <c r="X19" s="1264"/>
      <c r="Y19" s="342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0"/>
      <c r="Q20" s="1262"/>
      <c r="R20" s="666"/>
      <c r="S20" s="667"/>
      <c r="T20" s="666"/>
      <c r="U20" s="667"/>
      <c r="V20" s="666"/>
      <c r="W20" s="667"/>
      <c r="X20" s="1264"/>
      <c r="Y20" s="3420"/>
      <c r="Z20" s="1263"/>
      <c r="AA20" s="1263">
        <v>1</v>
      </c>
      <c r="AB20" s="1263">
        <v>1</v>
      </c>
      <c r="AC20" s="1263">
        <v>1</v>
      </c>
    </row>
    <row r="21" spans="1:29" ht="41.4">
      <c r="A21" s="366"/>
      <c r="B21" s="585" t="s">
        <v>1811</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0"/>
      <c r="Q21" s="1262" t="str">
        <f>B21</f>
        <v>基础设施水平</v>
      </c>
      <c r="R21" s="666" t="s">
        <v>14</v>
      </c>
      <c r="S21" s="667">
        <f>F21</f>
        <v>100</v>
      </c>
      <c r="T21" s="666" t="s">
        <v>14</v>
      </c>
      <c r="U21" s="667">
        <f>H21</f>
        <v>100</v>
      </c>
      <c r="V21" s="666" t="s">
        <v>14</v>
      </c>
      <c r="W21" s="667">
        <f>J21</f>
        <v>100</v>
      </c>
      <c r="X21" s="1264"/>
      <c r="Y21" s="342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0"/>
      <c r="Q22" s="1262"/>
      <c r="R22" s="666"/>
      <c r="S22" s="667"/>
      <c r="T22" s="666"/>
      <c r="U22" s="667"/>
      <c r="V22" s="666"/>
      <c r="W22" s="667"/>
      <c r="X22" s="1264"/>
      <c r="Y22" s="3420"/>
      <c r="Z22" s="1263"/>
      <c r="AA22" s="1263">
        <v>1</v>
      </c>
      <c r="AB22" s="1263">
        <v>1</v>
      </c>
      <c r="AC22" s="1263">
        <v>1</v>
      </c>
    </row>
    <row r="23" spans="1:29" ht="82.8">
      <c r="A23" s="366"/>
      <c r="B23" s="389" t="s">
        <v>1812</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0"/>
      <c r="Q23" s="1262" t="str">
        <f>B23</f>
        <v>环境质量</v>
      </c>
      <c r="R23" s="666" t="s">
        <v>14</v>
      </c>
      <c r="S23" s="667">
        <f>F23</f>
        <v>100</v>
      </c>
      <c r="T23" s="666" t="s">
        <v>14</v>
      </c>
      <c r="U23" s="667">
        <f>H23</f>
        <v>100</v>
      </c>
      <c r="V23" s="666" t="s">
        <v>14</v>
      </c>
      <c r="W23" s="667">
        <f>J23</f>
        <v>100</v>
      </c>
      <c r="X23" s="1264"/>
      <c r="Y23" s="342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0"/>
      <c r="Q24" s="1262"/>
      <c r="R24" s="666"/>
      <c r="S24" s="667"/>
      <c r="T24" s="666"/>
      <c r="U24" s="667"/>
      <c r="V24" s="666"/>
      <c r="W24" s="667"/>
      <c r="X24" s="1264"/>
      <c r="Y24" s="342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0"/>
      <c r="Q25" s="1262">
        <f>B25</f>
        <v>111</v>
      </c>
      <c r="R25" s="666" t="s">
        <v>14</v>
      </c>
      <c r="S25" s="667">
        <f>F25</f>
        <v>100</v>
      </c>
      <c r="T25" s="666" t="s">
        <v>14</v>
      </c>
      <c r="U25" s="667">
        <f>H25</f>
        <v>100</v>
      </c>
      <c r="V25" s="666" t="s">
        <v>14</v>
      </c>
      <c r="W25" s="667">
        <f>J25</f>
        <v>100</v>
      </c>
      <c r="X25" s="1264"/>
      <c r="Y25" s="342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0"/>
      <c r="Q26" s="1262">
        <f t="shared" ref="Q26:Q40" si="11">B26</f>
        <v>111</v>
      </c>
      <c r="R26" s="666" t="s">
        <v>14</v>
      </c>
      <c r="S26" s="667">
        <f>F26</f>
        <v>100</v>
      </c>
      <c r="T26" s="666" t="s">
        <v>14</v>
      </c>
      <c r="U26" s="667">
        <f>H26</f>
        <v>100</v>
      </c>
      <c r="V26" s="666" t="s">
        <v>14</v>
      </c>
      <c r="W26" s="667">
        <f>J26</f>
        <v>100</v>
      </c>
      <c r="X26" s="1264"/>
      <c r="Y26" s="3420"/>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0"/>
      <c r="Q27" s="529">
        <f t="shared" si="11"/>
        <v>111</v>
      </c>
      <c r="R27" s="663" t="s">
        <v>14</v>
      </c>
      <c r="S27" s="664">
        <f>F27</f>
        <v>100</v>
      </c>
      <c r="T27" s="663" t="s">
        <v>14</v>
      </c>
      <c r="U27" s="664">
        <f>H27</f>
        <v>100</v>
      </c>
      <c r="V27" s="663" t="s">
        <v>14</v>
      </c>
      <c r="W27" s="664">
        <f>J27</f>
        <v>100</v>
      </c>
      <c r="X27" s="665"/>
      <c r="Y27" s="3420"/>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0"/>
      <c r="Q28" s="1262">
        <f t="shared" si="11"/>
        <v>111</v>
      </c>
      <c r="R28" s="666" t="s">
        <v>14</v>
      </c>
      <c r="S28" s="667">
        <f t="shared" ref="S28:S40" si="12">F28</f>
        <v>100</v>
      </c>
      <c r="T28" s="666" t="s">
        <v>14</v>
      </c>
      <c r="U28" s="667">
        <f t="shared" ref="U28:U40" si="13">H28</f>
        <v>100</v>
      </c>
      <c r="V28" s="666" t="s">
        <v>14</v>
      </c>
      <c r="W28" s="667">
        <f t="shared" ref="W28:W40" si="14">J28</f>
        <v>100</v>
      </c>
      <c r="X28" s="1264"/>
      <c r="Y28" s="3420"/>
      <c r="Z28" s="1263">
        <f t="shared" ref="Z28:Z40" si="15">Q28</f>
        <v>111</v>
      </c>
      <c r="AA28" s="1263">
        <f t="shared" si="3"/>
        <v>1</v>
      </c>
      <c r="AB28" s="1263">
        <f t="shared" si="4"/>
        <v>1</v>
      </c>
      <c r="AC28" s="1263">
        <f t="shared" si="5"/>
        <v>1</v>
      </c>
    </row>
    <row r="29" spans="1:29" ht="30">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520" t="s">
        <v>1694</v>
      </c>
      <c r="Q29" s="1262" t="str">
        <f t="shared" si="11"/>
        <v>建筑类型</v>
      </c>
      <c r="R29" s="666" t="s">
        <v>14</v>
      </c>
      <c r="S29" s="667">
        <f t="shared" si="12"/>
        <v>100</v>
      </c>
      <c r="T29" s="666" t="s">
        <v>14</v>
      </c>
      <c r="U29" s="667">
        <f t="shared" si="13"/>
        <v>100</v>
      </c>
      <c r="V29" s="666" t="s">
        <v>14</v>
      </c>
      <c r="W29" s="667">
        <f t="shared" si="14"/>
        <v>100</v>
      </c>
      <c r="X29" s="1264"/>
      <c r="Y29" s="3424"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4"/>
      <c r="Q30" s="530" t="str">
        <f t="shared" si="11"/>
        <v>项目建筑规模</v>
      </c>
      <c r="R30" s="668" t="s">
        <v>14</v>
      </c>
      <c r="S30" s="669" t="e">
        <f t="shared" si="12"/>
        <v>#N/A</v>
      </c>
      <c r="T30" s="668" t="s">
        <v>14</v>
      </c>
      <c r="U30" s="669" t="e">
        <f t="shared" si="13"/>
        <v>#N/A</v>
      </c>
      <c r="V30" s="668" t="s">
        <v>14</v>
      </c>
      <c r="W30" s="669" t="e">
        <f t="shared" si="14"/>
        <v>#N/A</v>
      </c>
      <c r="X30" s="670"/>
      <c r="Y30" s="3424"/>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4"/>
      <c r="Q31" s="1262" t="str">
        <f t="shared" si="11"/>
        <v>建筑结构</v>
      </c>
      <c r="R31" s="666" t="s">
        <v>14</v>
      </c>
      <c r="S31" s="667">
        <f t="shared" si="12"/>
        <v>100</v>
      </c>
      <c r="T31" s="666" t="s">
        <v>14</v>
      </c>
      <c r="U31" s="667">
        <f t="shared" si="13"/>
        <v>100</v>
      </c>
      <c r="V31" s="666" t="s">
        <v>14</v>
      </c>
      <c r="W31" s="667">
        <f t="shared" si="14"/>
        <v>100</v>
      </c>
      <c r="X31" s="1264"/>
      <c r="Y31" s="3424"/>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4"/>
      <c r="Q32" s="1262" t="str">
        <f t="shared" si="11"/>
        <v>公共部分装修</v>
      </c>
      <c r="R32" s="666" t="s">
        <v>14</v>
      </c>
      <c r="S32" s="667">
        <f t="shared" si="12"/>
        <v>100</v>
      </c>
      <c r="T32" s="666" t="s">
        <v>14</v>
      </c>
      <c r="U32" s="667">
        <f t="shared" si="13"/>
        <v>100</v>
      </c>
      <c r="V32" s="666" t="s">
        <v>14</v>
      </c>
      <c r="W32" s="667">
        <f t="shared" si="14"/>
        <v>100</v>
      </c>
      <c r="X32" s="1264"/>
      <c r="Y32" s="3424"/>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4"/>
      <c r="Q33" s="1262" t="str">
        <f t="shared" si="11"/>
        <v>成新度</v>
      </c>
      <c r="R33" s="666" t="s">
        <v>14</v>
      </c>
      <c r="S33" s="667" t="e">
        <f t="shared" si="12"/>
        <v>#N/A</v>
      </c>
      <c r="T33" s="666" t="s">
        <v>14</v>
      </c>
      <c r="U33" s="667" t="e">
        <f t="shared" si="13"/>
        <v>#N/A</v>
      </c>
      <c r="V33" s="666" t="s">
        <v>14</v>
      </c>
      <c r="W33" s="667" t="e">
        <f t="shared" si="14"/>
        <v>#N/A</v>
      </c>
      <c r="X33" s="1264"/>
      <c r="Y33" s="3424"/>
      <c r="Z33" s="1263" t="str">
        <f t="shared" si="15"/>
        <v>成新度</v>
      </c>
      <c r="AA33" s="1263" t="e">
        <f t="shared" si="3"/>
        <v>#N/A</v>
      </c>
      <c r="AB33" s="1263" t="e">
        <f t="shared" si="4"/>
        <v>#N/A</v>
      </c>
      <c r="AC33" s="1263" t="e">
        <f t="shared" si="5"/>
        <v>#N/A</v>
      </c>
    </row>
    <row r="34" spans="1:29" s="102"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4"/>
      <c r="Q34" s="529" t="str">
        <f t="shared" si="11"/>
        <v>物业管理</v>
      </c>
      <c r="R34" s="663" t="s">
        <v>14</v>
      </c>
      <c r="S34" s="664">
        <f t="shared" si="12"/>
        <v>100</v>
      </c>
      <c r="T34" s="663" t="s">
        <v>14</v>
      </c>
      <c r="U34" s="664">
        <f t="shared" si="13"/>
        <v>100</v>
      </c>
      <c r="V34" s="663" t="s">
        <v>14</v>
      </c>
      <c r="W34" s="664">
        <f t="shared" si="14"/>
        <v>100</v>
      </c>
      <c r="X34" s="665"/>
      <c r="Y34" s="3424"/>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4" t="s">
        <v>1694</v>
      </c>
      <c r="Q35" s="1262" t="str">
        <f t="shared" si="11"/>
        <v>市政基础设施</v>
      </c>
      <c r="R35" s="666" t="s">
        <v>14</v>
      </c>
      <c r="S35" s="667">
        <f t="shared" si="12"/>
        <v>100</v>
      </c>
      <c r="T35" s="666" t="s">
        <v>14</v>
      </c>
      <c r="U35" s="667">
        <f t="shared" si="13"/>
        <v>100</v>
      </c>
      <c r="V35" s="666" t="s">
        <v>14</v>
      </c>
      <c r="W35" s="667">
        <f t="shared" si="14"/>
        <v>100</v>
      </c>
      <c r="X35" s="1264"/>
      <c r="Y35" s="3424"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4"/>
      <c r="Q36" s="1262" t="str">
        <f t="shared" si="11"/>
        <v>内部装修</v>
      </c>
      <c r="R36" s="666" t="s">
        <v>14</v>
      </c>
      <c r="S36" s="667">
        <f t="shared" si="12"/>
        <v>100</v>
      </c>
      <c r="T36" s="666" t="s">
        <v>14</v>
      </c>
      <c r="U36" s="667">
        <f t="shared" si="13"/>
        <v>100</v>
      </c>
      <c r="V36" s="666" t="s">
        <v>14</v>
      </c>
      <c r="W36" s="667">
        <f t="shared" si="14"/>
        <v>100</v>
      </c>
      <c r="X36" s="1264"/>
      <c r="Y36" s="3424"/>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4"/>
      <c r="Q37" s="1262" t="str">
        <f t="shared" si="11"/>
        <v>内部装修状况</v>
      </c>
      <c r="R37" s="666" t="s">
        <v>14</v>
      </c>
      <c r="S37" s="667">
        <f t="shared" si="12"/>
        <v>100</v>
      </c>
      <c r="T37" s="666" t="s">
        <v>14</v>
      </c>
      <c r="U37" s="667">
        <f t="shared" si="13"/>
        <v>100</v>
      </c>
      <c r="V37" s="666" t="s">
        <v>14</v>
      </c>
      <c r="W37" s="667">
        <f t="shared" si="14"/>
        <v>100</v>
      </c>
      <c r="X37" s="1264"/>
      <c r="Y37" s="342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4"/>
      <c r="Q38" s="530">
        <f t="shared" si="11"/>
        <v>111</v>
      </c>
      <c r="R38" s="668" t="s">
        <v>14</v>
      </c>
      <c r="S38" s="669">
        <f t="shared" si="12"/>
        <v>100</v>
      </c>
      <c r="T38" s="668" t="s">
        <v>14</v>
      </c>
      <c r="U38" s="669">
        <f t="shared" si="13"/>
        <v>100</v>
      </c>
      <c r="V38" s="668" t="s">
        <v>14</v>
      </c>
      <c r="W38" s="669">
        <f t="shared" si="14"/>
        <v>100</v>
      </c>
      <c r="X38" s="670"/>
      <c r="Y38" s="342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4"/>
      <c r="Q39" s="1262">
        <f t="shared" si="11"/>
        <v>111</v>
      </c>
      <c r="R39" s="666" t="s">
        <v>14</v>
      </c>
      <c r="S39" s="667">
        <f t="shared" si="12"/>
        <v>100</v>
      </c>
      <c r="T39" s="666" t="s">
        <v>14</v>
      </c>
      <c r="U39" s="667">
        <f t="shared" si="13"/>
        <v>100</v>
      </c>
      <c r="V39" s="666" t="s">
        <v>14</v>
      </c>
      <c r="W39" s="667">
        <f t="shared" si="14"/>
        <v>100</v>
      </c>
      <c r="X39" s="1264"/>
      <c r="Y39" s="3424"/>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5"/>
      <c r="Q40" s="1262">
        <f t="shared" si="11"/>
        <v>111</v>
      </c>
      <c r="R40" s="666" t="s">
        <v>14</v>
      </c>
      <c r="S40" s="667">
        <f t="shared" si="12"/>
        <v>100</v>
      </c>
      <c r="T40" s="666" t="s">
        <v>14</v>
      </c>
      <c r="U40" s="667">
        <f t="shared" si="13"/>
        <v>100</v>
      </c>
      <c r="V40" s="666" t="s">
        <v>14</v>
      </c>
      <c r="W40" s="667">
        <f t="shared" si="14"/>
        <v>100</v>
      </c>
      <c r="X40" s="1264"/>
      <c r="Y40" s="3425"/>
      <c r="Z40" s="1263">
        <f t="shared" si="15"/>
        <v>111</v>
      </c>
      <c r="AA40" s="1263">
        <f t="shared" si="3"/>
        <v>1</v>
      </c>
      <c r="AB40" s="1263">
        <f t="shared" si="4"/>
        <v>1</v>
      </c>
      <c r="AC40" s="1263">
        <f t="shared" si="5"/>
        <v>1</v>
      </c>
    </row>
    <row r="41" spans="1:29" ht="14.4">
      <c r="A41" s="415" t="s">
        <v>1706</v>
      </c>
      <c r="B41" s="416"/>
      <c r="C41" s="1080" t="s">
        <v>0</v>
      </c>
      <c r="D41" s="417"/>
      <c r="E41" s="418"/>
      <c r="F41" s="419"/>
      <c r="G41" s="420"/>
      <c r="H41" s="421"/>
      <c r="I41" s="418"/>
      <c r="J41" s="421"/>
      <c r="K41" s="673"/>
      <c r="L41" s="872"/>
      <c r="M41" s="860"/>
      <c r="N41" s="860"/>
      <c r="O41" s="860"/>
      <c r="P41" s="3412" t="str">
        <f>A41</f>
        <v>成交单价（元/平方米）</v>
      </c>
      <c r="Q41" s="3412"/>
      <c r="R41" s="3413">
        <f>E41</f>
        <v>0</v>
      </c>
      <c r="S41" s="3413"/>
      <c r="T41" s="3413">
        <f>G41</f>
        <v>0</v>
      </c>
      <c r="U41" s="3413"/>
      <c r="V41" s="3413">
        <f>I41</f>
        <v>0</v>
      </c>
      <c r="W41" s="3413"/>
      <c r="X41" s="384"/>
      <c r="Y41" s="672"/>
      <c r="Z41" s="384"/>
      <c r="AA41" s="384"/>
      <c r="AB41" s="384"/>
      <c r="AC41" s="384"/>
    </row>
    <row r="42" spans="1:29" ht="1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4"/>
      <c r="Y42" s="384"/>
      <c r="Z42" s="384"/>
      <c r="AA42" s="384"/>
      <c r="AB42" s="384"/>
      <c r="AC42" s="384"/>
    </row>
    <row r="43" spans="1:29" ht="15" thickBot="1">
      <c r="A43" s="426" t="s">
        <v>1792</v>
      </c>
      <c r="B43" s="427"/>
      <c r="C43" s="350" t="e">
        <f>R43</f>
        <v>#DIV/0!</v>
      </c>
      <c r="D43" s="350"/>
      <c r="E43" s="350"/>
      <c r="F43" s="350"/>
      <c r="G43" s="350"/>
      <c r="H43" s="350"/>
      <c r="I43" s="350"/>
      <c r="J43" s="350"/>
      <c r="K43" s="674"/>
      <c r="L43" s="872"/>
      <c r="M43" s="860"/>
      <c r="N43" s="860"/>
      <c r="O43" s="860"/>
      <c r="P43" s="3510" t="str">
        <f>A43</f>
        <v>估价对象XX用房的比较价值（楼面单价，元/平方米）</v>
      </c>
      <c r="Q43" s="3511"/>
      <c r="R43" s="3512" t="e">
        <f>IF(F1="售价",ROUND(IF(D42="简单平均",AVERAGE(R42:V42),R42*F42+T42*H42+V42*J42),0),ROUND(IF(D42="简单平均",AVERAGE(R42:V42),R42*F42+T42*H42+V42*J42),1))</f>
        <v>#DIV/0!</v>
      </c>
      <c r="S43" s="3512"/>
      <c r="T43" s="3512"/>
      <c r="U43" s="3512"/>
      <c r="V43" s="3512"/>
      <c r="W43" s="351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1796</v>
      </c>
      <c r="B51" s="384"/>
      <c r="C51" s="658"/>
      <c r="D51" s="658"/>
      <c r="E51" s="658"/>
      <c r="F51" s="659"/>
      <c r="G51" s="659"/>
      <c r="H51" s="658"/>
      <c r="I51" s="658"/>
      <c r="J51" s="658"/>
      <c r="K51" s="886"/>
      <c r="L51" s="887"/>
      <c r="M51" s="885"/>
      <c r="N51" s="885"/>
      <c r="O51" s="885"/>
      <c r="P51" s="437"/>
      <c r="Q51" s="438"/>
    </row>
    <row r="52" spans="1:17" s="441" customFormat="1" ht="14.4">
      <c r="A52" s="439" t="s">
        <v>1677</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1714</v>
      </c>
      <c r="B54" s="449"/>
      <c r="C54" s="450"/>
      <c r="D54" s="451"/>
      <c r="E54" s="451"/>
      <c r="F54" s="451"/>
      <c r="G54" s="451"/>
      <c r="H54" s="451"/>
      <c r="I54" s="451"/>
      <c r="J54" s="451"/>
      <c r="K54" s="451"/>
      <c r="L54" s="451"/>
      <c r="M54" s="452"/>
      <c r="N54" s="2538"/>
      <c r="O54" s="2539"/>
      <c r="P54" s="438"/>
      <c r="Q54" s="438"/>
    </row>
    <row r="55" spans="1:17" s="102" customFormat="1" ht="14.4">
      <c r="A55" s="454" t="s">
        <v>1679</v>
      </c>
      <c r="B55" s="443"/>
      <c r="C55" s="455" t="s">
        <v>1774</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1717</v>
      </c>
      <c r="B57" s="459" t="s">
        <v>1683</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1686</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1692</v>
      </c>
      <c r="B88" s="459" t="s">
        <v>1734</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3331</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514" t="s">
        <v>1773</v>
      </c>
      <c r="Q4" s="3515"/>
      <c r="R4" s="3518" t="s">
        <v>1769</v>
      </c>
      <c r="S4" s="3519"/>
      <c r="T4" s="3518" t="s">
        <v>1770</v>
      </c>
      <c r="U4" s="3519"/>
      <c r="V4" s="3413" t="s">
        <v>1771</v>
      </c>
      <c r="W4" s="3413"/>
      <c r="X4" s="1264"/>
      <c r="Y4" s="3518" t="s">
        <v>1773</v>
      </c>
      <c r="Z4" s="3519"/>
      <c r="AA4" s="3513" t="s">
        <v>1769</v>
      </c>
      <c r="AB4" s="3458" t="s">
        <v>1770</v>
      </c>
      <c r="AC4" s="3513" t="s">
        <v>1771</v>
      </c>
    </row>
    <row r="5" spans="1:29">
      <c r="A5" s="347"/>
      <c r="B5" s="348"/>
      <c r="C5" s="3448" t="s">
        <v>1671</v>
      </c>
      <c r="D5" s="3449"/>
      <c r="E5" s="3460" t="s">
        <v>1672</v>
      </c>
      <c r="F5" s="3461"/>
      <c r="G5" s="3448" t="s">
        <v>1673</v>
      </c>
      <c r="H5" s="3449"/>
      <c r="I5" s="3448" t="s">
        <v>1674</v>
      </c>
      <c r="J5" s="3449"/>
      <c r="K5" s="536"/>
      <c r="L5" s="2486"/>
      <c r="M5" s="2487"/>
      <c r="N5" s="2487"/>
      <c r="O5" s="2487"/>
      <c r="P5" s="3516"/>
      <c r="Q5" s="3436"/>
      <c r="R5" s="3441"/>
      <c r="S5" s="3442"/>
      <c r="T5" s="3441"/>
      <c r="U5" s="3442"/>
      <c r="V5" s="3413"/>
      <c r="W5" s="3413"/>
      <c r="X5" s="1264"/>
      <c r="Y5" s="3441"/>
      <c r="Z5" s="3442"/>
      <c r="AA5" s="3458"/>
      <c r="AB5" s="3458"/>
      <c r="AC5" s="3458"/>
    </row>
    <row r="6" spans="1:29" ht="15" thickBot="1">
      <c r="A6" s="349"/>
      <c r="B6" s="350"/>
      <c r="C6" s="3446" t="s">
        <v>1675</v>
      </c>
      <c r="D6" s="3447"/>
      <c r="E6" s="3455" t="s">
        <v>1675</v>
      </c>
      <c r="F6" s="3456"/>
      <c r="G6" s="3446" t="s">
        <v>1675</v>
      </c>
      <c r="H6" s="3447"/>
      <c r="I6" s="3446" t="s">
        <v>1675</v>
      </c>
      <c r="J6" s="3447"/>
      <c r="K6" s="536" t="s">
        <v>1676</v>
      </c>
      <c r="L6" s="2486"/>
      <c r="M6" s="2487"/>
      <c r="N6" s="2487"/>
      <c r="O6" s="2487"/>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SUMIF(48:48,YEAR(E7)&amp;"-"&amp;MONTH(E7),49:49)</f>
        <v>0</v>
      </c>
      <c r="G7" s="355"/>
      <c r="H7" s="354">
        <f>SUMIF(48:48,YEAR(G7)&amp;"-"&amp;MONTH(G7),49:49)</f>
        <v>0</v>
      </c>
      <c r="I7" s="355"/>
      <c r="J7" s="354">
        <f>SUMIF(48:48,YEAR(I7)&amp;"-"&amp;MONTH(I7),49:49)</f>
        <v>0</v>
      </c>
      <c r="K7" s="38"/>
      <c r="L7" s="2488"/>
      <c r="M7" s="2439"/>
      <c r="N7" s="2439"/>
      <c r="O7" s="2439"/>
      <c r="P7" s="3452" t="s">
        <v>1678</v>
      </c>
      <c r="Q7" s="3453"/>
      <c r="R7" s="663" t="s">
        <v>14</v>
      </c>
      <c r="S7" s="664">
        <f t="shared" ref="S7:S14" si="0">F7</f>
        <v>0</v>
      </c>
      <c r="T7" s="663" t="s">
        <v>14</v>
      </c>
      <c r="U7" s="664">
        <f t="shared" ref="U7:U14" si="1">H7</f>
        <v>0</v>
      </c>
      <c r="V7" s="663" t="s">
        <v>14</v>
      </c>
      <c r="W7" s="664">
        <f t="shared" ref="W7:W14" si="2">J7</f>
        <v>0</v>
      </c>
      <c r="X7" s="665"/>
      <c r="Y7" s="3452" t="s">
        <v>1678</v>
      </c>
      <c r="Z7" s="3451"/>
      <c r="AA7" s="50" t="e">
        <f>D7/F7</f>
        <v>#DIV/0!</v>
      </c>
      <c r="AB7" s="50" t="e">
        <f>D7/H7</f>
        <v>#DIV/0!</v>
      </c>
      <c r="AC7" s="50" t="e">
        <f>D7/J7</f>
        <v>#DIV/0!</v>
      </c>
    </row>
    <row r="8" spans="1:29" s="102" customFormat="1" ht="1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52" t="s">
        <v>1681</v>
      </c>
      <c r="Q8" s="3451"/>
      <c r="R8" s="663" t="s">
        <v>14</v>
      </c>
      <c r="S8" s="664">
        <f t="shared" si="0"/>
        <v>100</v>
      </c>
      <c r="T8" s="663" t="s">
        <v>14</v>
      </c>
      <c r="U8" s="664">
        <f t="shared" si="1"/>
        <v>100</v>
      </c>
      <c r="V8" s="663" t="s">
        <v>14</v>
      </c>
      <c r="W8" s="664">
        <f t="shared" si="2"/>
        <v>100</v>
      </c>
      <c r="X8" s="665"/>
      <c r="Y8" s="3452" t="s">
        <v>1681</v>
      </c>
      <c r="Z8" s="3451"/>
      <c r="AA8" s="50">
        <f t="shared" ref="AA8:AA36" si="3">D8/F8</f>
        <v>1</v>
      </c>
      <c r="AB8" s="50">
        <f t="shared" ref="AB8:AB36" si="4">D8/H8</f>
        <v>1</v>
      </c>
      <c r="AC8" s="50">
        <f t="shared" ref="AC8:AC36" si="5">D8/J8</f>
        <v>1</v>
      </c>
    </row>
    <row r="9" spans="1:29" s="102" customFormat="1" ht="14.4">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12" t="s">
        <v>1684</v>
      </c>
      <c r="Q9" s="529" t="str">
        <f t="shared" ref="Q9:Q14" si="6">B9</f>
        <v>用途</v>
      </c>
      <c r="R9" s="663" t="s">
        <v>14</v>
      </c>
      <c r="S9" s="664">
        <f t="shared" si="0"/>
        <v>100</v>
      </c>
      <c r="T9" s="663" t="s">
        <v>14</v>
      </c>
      <c r="U9" s="664">
        <f t="shared" si="1"/>
        <v>100</v>
      </c>
      <c r="V9" s="663" t="s">
        <v>14</v>
      </c>
      <c r="W9" s="664">
        <f t="shared" si="2"/>
        <v>100</v>
      </c>
      <c r="X9" s="665"/>
      <c r="Y9" s="3318" t="s">
        <v>1685</v>
      </c>
      <c r="Z9" s="50" t="str">
        <f t="shared" ref="Z9:Z14" si="7">Q9</f>
        <v>用途</v>
      </c>
      <c r="AA9" s="50">
        <f t="shared" si="3"/>
        <v>1</v>
      </c>
      <c r="AB9" s="50">
        <f t="shared" si="4"/>
        <v>1</v>
      </c>
      <c r="AC9" s="50">
        <f t="shared" si="5"/>
        <v>1</v>
      </c>
    </row>
    <row r="10" spans="1:29" s="365" customFormat="1" ht="28.8">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12"/>
      <c r="Q10" s="529"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12"/>
      <c r="Q11" s="529">
        <f t="shared" si="6"/>
        <v>111</v>
      </c>
      <c r="R11" s="663" t="s">
        <v>14</v>
      </c>
      <c r="S11" s="664">
        <f t="shared" si="0"/>
        <v>100</v>
      </c>
      <c r="T11" s="663" t="s">
        <v>14</v>
      </c>
      <c r="U11" s="664">
        <f t="shared" si="1"/>
        <v>100</v>
      </c>
      <c r="V11" s="663" t="s">
        <v>14</v>
      </c>
      <c r="W11" s="664">
        <f t="shared" si="2"/>
        <v>100</v>
      </c>
      <c r="X11" s="665"/>
      <c r="Y11" s="331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12"/>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12"/>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96.6">
      <c r="A14" s="344" t="s">
        <v>1688</v>
      </c>
      <c r="B14" s="553" t="s">
        <v>1831</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9" t="s">
        <v>1689</v>
      </c>
      <c r="Q14" s="1262" t="str">
        <f t="shared" si="6"/>
        <v>交通便捷度</v>
      </c>
      <c r="R14" s="666" t="s">
        <v>14</v>
      </c>
      <c r="S14" s="667">
        <f t="shared" si="0"/>
        <v>100</v>
      </c>
      <c r="T14" s="666" t="s">
        <v>14</v>
      </c>
      <c r="U14" s="667">
        <f t="shared" si="1"/>
        <v>100</v>
      </c>
      <c r="V14" s="666" t="s">
        <v>14</v>
      </c>
      <c r="W14" s="667">
        <f t="shared" si="2"/>
        <v>100</v>
      </c>
      <c r="X14" s="1264"/>
      <c r="Y14" s="3419"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20"/>
      <c r="Q15" s="1262"/>
      <c r="R15" s="666"/>
      <c r="S15" s="667"/>
      <c r="T15" s="666"/>
      <c r="U15" s="667"/>
      <c r="V15" s="666"/>
      <c r="W15" s="667"/>
      <c r="X15" s="1264"/>
      <c r="Y15" s="3420"/>
      <c r="Z15" s="1263"/>
      <c r="AA15" s="1263">
        <v>1</v>
      </c>
      <c r="AB15" s="1263">
        <v>1</v>
      </c>
      <c r="AC15" s="1263">
        <v>1</v>
      </c>
    </row>
    <row r="16" spans="1:29" ht="41.4">
      <c r="A16" s="347"/>
      <c r="B16" s="555" t="s">
        <v>1810</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20"/>
      <c r="Q16" s="1262" t="str">
        <f>B16</f>
        <v>公共配套设施</v>
      </c>
      <c r="R16" s="666" t="s">
        <v>14</v>
      </c>
      <c r="S16" s="667">
        <f>F16</f>
        <v>100</v>
      </c>
      <c r="T16" s="666" t="s">
        <v>14</v>
      </c>
      <c r="U16" s="667">
        <f>H16</f>
        <v>100</v>
      </c>
      <c r="V16" s="666" t="s">
        <v>14</v>
      </c>
      <c r="W16" s="667">
        <f>J16</f>
        <v>100</v>
      </c>
      <c r="X16" s="1264"/>
      <c r="Y16" s="342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20"/>
      <c r="Q17" s="1262"/>
      <c r="R17" s="666"/>
      <c r="S17" s="667"/>
      <c r="T17" s="666"/>
      <c r="U17" s="667"/>
      <c r="V17" s="666"/>
      <c r="W17" s="667"/>
      <c r="X17" s="1264"/>
      <c r="Y17" s="3420"/>
      <c r="Z17" s="1263"/>
      <c r="AA17" s="1263">
        <v>1</v>
      </c>
      <c r="AB17" s="1263">
        <v>1</v>
      </c>
      <c r="AC17" s="1263">
        <v>1</v>
      </c>
    </row>
    <row r="18" spans="1:29" ht="41.4">
      <c r="A18" s="347"/>
      <c r="B18" s="556" t="s">
        <v>1811</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20"/>
      <c r="Q18" s="1262" t="str">
        <f>B18</f>
        <v>基础设施水平</v>
      </c>
      <c r="R18" s="666" t="s">
        <v>14</v>
      </c>
      <c r="S18" s="667">
        <f>F18</f>
        <v>100</v>
      </c>
      <c r="T18" s="666" t="s">
        <v>14</v>
      </c>
      <c r="U18" s="667">
        <f>H18</f>
        <v>100</v>
      </c>
      <c r="V18" s="666" t="s">
        <v>14</v>
      </c>
      <c r="W18" s="667">
        <f>J18</f>
        <v>100</v>
      </c>
      <c r="X18" s="1264"/>
      <c r="Y18" s="342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20"/>
      <c r="Q19" s="1262"/>
      <c r="R19" s="666"/>
      <c r="S19" s="667"/>
      <c r="T19" s="666"/>
      <c r="U19" s="667"/>
      <c r="V19" s="666"/>
      <c r="W19" s="667"/>
      <c r="X19" s="1264"/>
      <c r="Y19" s="3420"/>
      <c r="Z19" s="1263"/>
      <c r="AA19" s="1263">
        <v>1</v>
      </c>
      <c r="AB19" s="1263">
        <v>1</v>
      </c>
      <c r="AC19" s="1263">
        <v>1</v>
      </c>
    </row>
    <row r="20" spans="1:29" ht="55.2">
      <c r="A20" s="347"/>
      <c r="B20" s="555" t="s">
        <v>1832</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20"/>
      <c r="Q20" s="1262" t="str">
        <f>B20</f>
        <v>自然及人文环境</v>
      </c>
      <c r="R20" s="666" t="s">
        <v>14</v>
      </c>
      <c r="S20" s="667">
        <f>F20</f>
        <v>100</v>
      </c>
      <c r="T20" s="666" t="s">
        <v>14</v>
      </c>
      <c r="U20" s="667">
        <f>H20</f>
        <v>100</v>
      </c>
      <c r="V20" s="666" t="s">
        <v>14</v>
      </c>
      <c r="W20" s="667">
        <f>J20</f>
        <v>100</v>
      </c>
      <c r="X20" s="1264"/>
      <c r="Y20" s="342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20"/>
      <c r="Q21" s="1262"/>
      <c r="R21" s="666"/>
      <c r="S21" s="667"/>
      <c r="T21" s="666"/>
      <c r="U21" s="667"/>
      <c r="V21" s="666"/>
      <c r="W21" s="667"/>
      <c r="X21" s="1264"/>
      <c r="Y21" s="3420"/>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20"/>
      <c r="Q22" s="1262" t="str">
        <f>B22</f>
        <v>楼层</v>
      </c>
      <c r="R22" s="666" t="s">
        <v>14</v>
      </c>
      <c r="S22" s="667">
        <f>F22</f>
        <v>100</v>
      </c>
      <c r="T22" s="666" t="s">
        <v>14</v>
      </c>
      <c r="U22" s="667">
        <f>H22</f>
        <v>100</v>
      </c>
      <c r="V22" s="666" t="s">
        <v>14</v>
      </c>
      <c r="W22" s="667">
        <f>J22</f>
        <v>100</v>
      </c>
      <c r="X22" s="1264"/>
      <c r="Y22" s="342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20"/>
      <c r="Q23" s="1262">
        <f>B23</f>
        <v>111</v>
      </c>
      <c r="R23" s="666" t="s">
        <v>14</v>
      </c>
      <c r="S23" s="667">
        <f>F23</f>
        <v>100</v>
      </c>
      <c r="T23" s="666" t="s">
        <v>14</v>
      </c>
      <c r="U23" s="667">
        <f>H23</f>
        <v>100</v>
      </c>
      <c r="V23" s="666" t="s">
        <v>14</v>
      </c>
      <c r="W23" s="667">
        <f>J23</f>
        <v>100</v>
      </c>
      <c r="X23" s="1264"/>
      <c r="Y23" s="342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20"/>
      <c r="Q24" s="1262">
        <f t="shared" ref="Q24:Q36" si="11">B24</f>
        <v>111</v>
      </c>
      <c r="R24" s="666" t="s">
        <v>14</v>
      </c>
      <c r="S24" s="667">
        <f>F24</f>
        <v>100</v>
      </c>
      <c r="T24" s="666" t="s">
        <v>14</v>
      </c>
      <c r="U24" s="667">
        <f>H24</f>
        <v>100</v>
      </c>
      <c r="V24" s="666" t="s">
        <v>14</v>
      </c>
      <c r="W24" s="667">
        <f>J24</f>
        <v>100</v>
      </c>
      <c r="X24" s="1264"/>
      <c r="Y24" s="3420"/>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20"/>
      <c r="Q25" s="529">
        <f t="shared" si="11"/>
        <v>111</v>
      </c>
      <c r="R25" s="663" t="s">
        <v>14</v>
      </c>
      <c r="S25" s="664">
        <f>F25</f>
        <v>100</v>
      </c>
      <c r="T25" s="663" t="s">
        <v>14</v>
      </c>
      <c r="U25" s="664">
        <f>H25</f>
        <v>100</v>
      </c>
      <c r="V25" s="663" t="s">
        <v>14</v>
      </c>
      <c r="W25" s="664">
        <f>J25</f>
        <v>100</v>
      </c>
      <c r="X25" s="665"/>
      <c r="Y25" s="3420"/>
      <c r="Z25" s="50">
        <f>Q25</f>
        <v>111</v>
      </c>
      <c r="AA25" s="1263">
        <f>D25/F25</f>
        <v>1</v>
      </c>
      <c r="AB25" s="1263">
        <f>D25/H25</f>
        <v>1</v>
      </c>
      <c r="AC25" s="1263">
        <f>D25/J25</f>
        <v>1</v>
      </c>
    </row>
    <row r="26" spans="1:29" ht="30">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520"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4"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24"/>
      <c r="Q27" s="530" t="str">
        <f t="shared" si="11"/>
        <v>项目停车位配比</v>
      </c>
      <c r="R27" s="668" t="s">
        <v>14</v>
      </c>
      <c r="S27" s="669">
        <f t="shared" si="12"/>
        <v>100</v>
      </c>
      <c r="T27" s="668" t="s">
        <v>14</v>
      </c>
      <c r="U27" s="669">
        <f t="shared" si="13"/>
        <v>100</v>
      </c>
      <c r="V27" s="668" t="s">
        <v>14</v>
      </c>
      <c r="W27" s="669">
        <f t="shared" si="14"/>
        <v>100</v>
      </c>
      <c r="X27" s="670"/>
      <c r="Y27" s="3424"/>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24"/>
      <c r="Q28" s="1262" t="str">
        <f t="shared" si="11"/>
        <v>公共部分装修</v>
      </c>
      <c r="R28" s="666" t="s">
        <v>14</v>
      </c>
      <c r="S28" s="667">
        <f t="shared" si="12"/>
        <v>100</v>
      </c>
      <c r="T28" s="666" t="s">
        <v>14</v>
      </c>
      <c r="U28" s="667">
        <f t="shared" si="13"/>
        <v>100</v>
      </c>
      <c r="V28" s="666" t="s">
        <v>14</v>
      </c>
      <c r="W28" s="667">
        <f t="shared" si="14"/>
        <v>100</v>
      </c>
      <c r="X28" s="1264"/>
      <c r="Y28" s="3424"/>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24"/>
      <c r="Q29" s="1262" t="str">
        <f t="shared" si="11"/>
        <v>成新率</v>
      </c>
      <c r="R29" s="666" t="s">
        <v>14</v>
      </c>
      <c r="S29" s="667" t="e">
        <f t="shared" si="12"/>
        <v>#N/A</v>
      </c>
      <c r="T29" s="666" t="s">
        <v>14</v>
      </c>
      <c r="U29" s="667" t="e">
        <f t="shared" si="13"/>
        <v>#N/A</v>
      </c>
      <c r="V29" s="666" t="s">
        <v>14</v>
      </c>
      <c r="W29" s="667" t="e">
        <f t="shared" si="14"/>
        <v>#N/A</v>
      </c>
      <c r="X29" s="1264"/>
      <c r="Y29" s="3424"/>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24"/>
      <c r="Q30" s="1262" t="str">
        <f t="shared" si="11"/>
        <v>物业等级</v>
      </c>
      <c r="R30" s="666" t="s">
        <v>14</v>
      </c>
      <c r="S30" s="667">
        <f t="shared" si="12"/>
        <v>100</v>
      </c>
      <c r="T30" s="666" t="s">
        <v>14</v>
      </c>
      <c r="U30" s="667">
        <f t="shared" si="13"/>
        <v>100</v>
      </c>
      <c r="V30" s="666" t="s">
        <v>14</v>
      </c>
      <c r="W30" s="667">
        <f t="shared" si="14"/>
        <v>100</v>
      </c>
      <c r="X30" s="1264"/>
      <c r="Y30" s="3424"/>
      <c r="Z30" s="1263" t="str">
        <f t="shared" si="15"/>
        <v>物业等级</v>
      </c>
      <c r="AA30" s="1263">
        <f t="shared" si="3"/>
        <v>1</v>
      </c>
      <c r="AB30" s="1263">
        <f t="shared" si="4"/>
        <v>1</v>
      </c>
      <c r="AC30" s="1263">
        <f t="shared" si="5"/>
        <v>1</v>
      </c>
    </row>
    <row r="31" spans="1:29" s="102"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24"/>
      <c r="Q31" s="529" t="str">
        <f t="shared" si="11"/>
        <v>停车位面积</v>
      </c>
      <c r="R31" s="663" t="s">
        <v>14</v>
      </c>
      <c r="S31" s="664" t="e">
        <f t="shared" si="12"/>
        <v>#N/A</v>
      </c>
      <c r="T31" s="663" t="s">
        <v>14</v>
      </c>
      <c r="U31" s="664" t="e">
        <f t="shared" si="13"/>
        <v>#N/A</v>
      </c>
      <c r="V31" s="663" t="s">
        <v>14</v>
      </c>
      <c r="W31" s="664" t="e">
        <f t="shared" si="14"/>
        <v>#N/A</v>
      </c>
      <c r="X31" s="665"/>
      <c r="Y31" s="3424"/>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24" t="s">
        <v>1694</v>
      </c>
      <c r="Q32" s="1262" t="str">
        <f t="shared" si="11"/>
        <v>车位类型</v>
      </c>
      <c r="R32" s="666" t="s">
        <v>14</v>
      </c>
      <c r="S32" s="667">
        <f t="shared" si="12"/>
        <v>100</v>
      </c>
      <c r="T32" s="666" t="s">
        <v>14</v>
      </c>
      <c r="U32" s="667">
        <f t="shared" si="13"/>
        <v>100</v>
      </c>
      <c r="V32" s="666" t="s">
        <v>14</v>
      </c>
      <c r="W32" s="667">
        <f t="shared" si="14"/>
        <v>100</v>
      </c>
      <c r="X32" s="1264"/>
      <c r="Y32" s="3424"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24"/>
      <c r="Q33" s="1262" t="str">
        <f t="shared" si="11"/>
        <v>是否直接入户</v>
      </c>
      <c r="R33" s="666" t="s">
        <v>14</v>
      </c>
      <c r="S33" s="667">
        <f t="shared" si="12"/>
        <v>100</v>
      </c>
      <c r="T33" s="666" t="s">
        <v>14</v>
      </c>
      <c r="U33" s="667">
        <f t="shared" si="13"/>
        <v>100</v>
      </c>
      <c r="V33" s="666" t="s">
        <v>14</v>
      </c>
      <c r="W33" s="667">
        <f t="shared" si="14"/>
        <v>100</v>
      </c>
      <c r="X33" s="1264"/>
      <c r="Y33" s="342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24"/>
      <c r="Q34" s="1262">
        <f t="shared" si="11"/>
        <v>111</v>
      </c>
      <c r="R34" s="666" t="s">
        <v>14</v>
      </c>
      <c r="S34" s="667">
        <f t="shared" si="12"/>
        <v>100</v>
      </c>
      <c r="T34" s="666" t="s">
        <v>14</v>
      </c>
      <c r="U34" s="667">
        <f t="shared" si="13"/>
        <v>100</v>
      </c>
      <c r="V34" s="666" t="s">
        <v>14</v>
      </c>
      <c r="W34" s="667">
        <f t="shared" si="14"/>
        <v>100</v>
      </c>
      <c r="X34" s="1264"/>
      <c r="Y34" s="342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24"/>
      <c r="Q35" s="530">
        <f t="shared" si="11"/>
        <v>111</v>
      </c>
      <c r="R35" s="668" t="s">
        <v>14</v>
      </c>
      <c r="S35" s="669">
        <f t="shared" si="12"/>
        <v>100</v>
      </c>
      <c r="T35" s="668" t="s">
        <v>14</v>
      </c>
      <c r="U35" s="669">
        <f t="shared" si="13"/>
        <v>100</v>
      </c>
      <c r="V35" s="668" t="s">
        <v>14</v>
      </c>
      <c r="W35" s="669">
        <f t="shared" si="14"/>
        <v>100</v>
      </c>
      <c r="X35" s="670"/>
      <c r="Y35" s="3424"/>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24"/>
      <c r="Q36" s="1262">
        <f t="shared" si="11"/>
        <v>111</v>
      </c>
      <c r="R36" s="666" t="s">
        <v>14</v>
      </c>
      <c r="S36" s="667">
        <f t="shared" si="12"/>
        <v>100</v>
      </c>
      <c r="T36" s="666" t="s">
        <v>14</v>
      </c>
      <c r="U36" s="667">
        <f t="shared" si="13"/>
        <v>100</v>
      </c>
      <c r="V36" s="666" t="s">
        <v>14</v>
      </c>
      <c r="W36" s="667">
        <f t="shared" si="14"/>
        <v>100</v>
      </c>
      <c r="X36" s="1264"/>
      <c r="Y36" s="3424"/>
      <c r="Z36" s="1263">
        <f t="shared" si="15"/>
        <v>111</v>
      </c>
      <c r="AA36" s="1263">
        <f t="shared" si="3"/>
        <v>1</v>
      </c>
      <c r="AB36" s="1263">
        <f t="shared" si="4"/>
        <v>1</v>
      </c>
      <c r="AC36" s="1263">
        <f t="shared" si="5"/>
        <v>1</v>
      </c>
    </row>
    <row r="37" spans="1:29" ht="14.4">
      <c r="A37" s="415" t="s">
        <v>1842</v>
      </c>
      <c r="B37" s="1820" t="s">
        <v>3352</v>
      </c>
      <c r="C37" s="1080" t="s">
        <v>0</v>
      </c>
      <c r="D37" s="417"/>
      <c r="E37" s="418"/>
      <c r="F37" s="419"/>
      <c r="G37" s="420"/>
      <c r="H37" s="421"/>
      <c r="I37" s="418"/>
      <c r="J37" s="421"/>
      <c r="K37" s="544"/>
      <c r="L37" s="2494"/>
      <c r="M37" s="2487"/>
      <c r="N37" s="2487"/>
      <c r="O37" s="2487"/>
      <c r="P37" s="3412" t="str">
        <f>A37</f>
        <v>成交单价</v>
      </c>
      <c r="Q37" s="3412"/>
      <c r="R37" s="3413">
        <f>E37</f>
        <v>0</v>
      </c>
      <c r="S37" s="3413"/>
      <c r="T37" s="3413">
        <f>G37</f>
        <v>0</v>
      </c>
      <c r="U37" s="3413"/>
      <c r="V37" s="3413">
        <f>I37</f>
        <v>0</v>
      </c>
      <c r="W37" s="3413"/>
      <c r="X37" s="384"/>
      <c r="Y37" s="672"/>
      <c r="Z37" s="384"/>
      <c r="AA37" s="384"/>
      <c r="AB37" s="384"/>
      <c r="AC37" s="384"/>
    </row>
    <row r="38" spans="1:29" ht="1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4"/>
      <c r="Y38" s="384"/>
      <c r="Z38" s="384"/>
      <c r="AA38" s="384"/>
      <c r="AB38" s="384"/>
      <c r="AC38" s="384"/>
    </row>
    <row r="39" spans="1:29" ht="15" thickBot="1">
      <c r="A39" s="426" t="s">
        <v>1844</v>
      </c>
      <c r="B39" s="427"/>
      <c r="C39" s="350" t="e">
        <f>R39</f>
        <v>#DIV/0!</v>
      </c>
      <c r="D39" s="350"/>
      <c r="E39" s="350"/>
      <c r="F39" s="350"/>
      <c r="G39" s="350"/>
      <c r="H39" s="350"/>
      <c r="I39" s="350"/>
      <c r="J39" s="350"/>
      <c r="K39" s="545"/>
      <c r="L39" s="2494"/>
      <c r="M39" s="2487"/>
      <c r="N39" s="2487"/>
      <c r="O39" s="2487"/>
      <c r="P39" s="3510" t="str">
        <f>A39</f>
        <v>估价对象XX用房的比较价值（楼面单价，元/平方米）</v>
      </c>
      <c r="Q39" s="3511"/>
      <c r="R39" s="3521" t="e">
        <f>IF(F1="售价",ROUND(IF(D38="简单平均",AVERAGE(R38:W38),R38*F38+T38*H38+V38*J38),0),ROUND(IF(D38="简单平均",AVERAGE(R38:V38),R38*F38+T38*H38+V38*J38),1))</f>
        <v>#DIV/0!</v>
      </c>
      <c r="S39" s="3521"/>
      <c r="T39" s="3521"/>
      <c r="U39" s="3521"/>
      <c r="V39" s="3521"/>
      <c r="W39" s="3521"/>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4.4">
      <c r="A48" s="439" t="s">
        <v>1849</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4.4">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ht="14.4">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4.4"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9.4"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4.4"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4.4"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4.4"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4.4"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4.4"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4.4"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4.4"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4.4"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4.4"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9.4"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4.4"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4.4"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4.4"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4.4"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4.4"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3332</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514" t="s">
        <v>1773</v>
      </c>
      <c r="Q4" s="3515"/>
      <c r="R4" s="3518" t="s">
        <v>1769</v>
      </c>
      <c r="S4" s="3519"/>
      <c r="T4" s="3518" t="s">
        <v>1770</v>
      </c>
      <c r="U4" s="3519"/>
      <c r="V4" s="3413" t="s">
        <v>1771</v>
      </c>
      <c r="W4" s="3413"/>
      <c r="X4" s="1264"/>
      <c r="Y4" s="3518" t="s">
        <v>1773</v>
      </c>
      <c r="Z4" s="3519"/>
      <c r="AA4" s="3513" t="s">
        <v>1769</v>
      </c>
      <c r="AB4" s="3458" t="s">
        <v>1770</v>
      </c>
      <c r="AC4" s="3513" t="s">
        <v>1771</v>
      </c>
    </row>
    <row r="5" spans="1:29">
      <c r="A5" s="347"/>
      <c r="B5" s="348"/>
      <c r="C5" s="3448" t="s">
        <v>1671</v>
      </c>
      <c r="D5" s="3449"/>
      <c r="E5" s="3460" t="s">
        <v>1672</v>
      </c>
      <c r="F5" s="3461"/>
      <c r="G5" s="3448" t="s">
        <v>1673</v>
      </c>
      <c r="H5" s="3449"/>
      <c r="I5" s="3448" t="s">
        <v>1674</v>
      </c>
      <c r="J5" s="3449"/>
      <c r="K5" s="536"/>
      <c r="L5" s="2486"/>
      <c r="M5" s="2487"/>
      <c r="N5" s="2487"/>
      <c r="O5" s="2487"/>
      <c r="P5" s="3516"/>
      <c r="Q5" s="3436"/>
      <c r="R5" s="3441"/>
      <c r="S5" s="3442"/>
      <c r="T5" s="3441"/>
      <c r="U5" s="3442"/>
      <c r="V5" s="3413"/>
      <c r="W5" s="3413"/>
      <c r="X5" s="1264"/>
      <c r="Y5" s="3441"/>
      <c r="Z5" s="3442"/>
      <c r="AA5" s="3458"/>
      <c r="AB5" s="3458"/>
      <c r="AC5" s="3458"/>
    </row>
    <row r="6" spans="1:29" ht="15" thickBot="1">
      <c r="A6" s="349"/>
      <c r="B6" s="350"/>
      <c r="C6" s="3446" t="s">
        <v>1675</v>
      </c>
      <c r="D6" s="3447"/>
      <c r="E6" s="3455" t="s">
        <v>1675</v>
      </c>
      <c r="F6" s="3456"/>
      <c r="G6" s="3446" t="s">
        <v>1675</v>
      </c>
      <c r="H6" s="3447"/>
      <c r="I6" s="3446" t="s">
        <v>1675</v>
      </c>
      <c r="J6" s="3447"/>
      <c r="K6" s="536" t="s">
        <v>1676</v>
      </c>
      <c r="L6" s="2486"/>
      <c r="M6" s="2487"/>
      <c r="N6" s="2487"/>
      <c r="O6" s="2487"/>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52" t="s">
        <v>1678</v>
      </c>
      <c r="Q7" s="3453"/>
      <c r="R7" s="663" t="s">
        <v>14</v>
      </c>
      <c r="S7" s="664">
        <f t="shared" ref="S7:S14" si="0">F7</f>
        <v>0</v>
      </c>
      <c r="T7" s="663" t="s">
        <v>14</v>
      </c>
      <c r="U7" s="664">
        <f t="shared" ref="U7:U14" si="1">H7</f>
        <v>0</v>
      </c>
      <c r="V7" s="663" t="s">
        <v>14</v>
      </c>
      <c r="W7" s="664">
        <f t="shared" ref="W7:W14" si="2">J7</f>
        <v>0</v>
      </c>
      <c r="X7" s="665"/>
      <c r="Y7" s="3452" t="s">
        <v>1678</v>
      </c>
      <c r="Z7" s="3451"/>
      <c r="AA7" s="50" t="e">
        <f>D7/F7</f>
        <v>#DIV/0!</v>
      </c>
      <c r="AB7" s="50" t="e">
        <f>D7/H7</f>
        <v>#DIV/0!</v>
      </c>
      <c r="AC7" s="50" t="e">
        <f>D7/J7</f>
        <v>#DIV/0!</v>
      </c>
    </row>
    <row r="8" spans="1:29" s="102" customFormat="1" ht="1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52" t="s">
        <v>1681</v>
      </c>
      <c r="Q8" s="3451"/>
      <c r="R8" s="663" t="s">
        <v>14</v>
      </c>
      <c r="S8" s="664">
        <f t="shared" si="0"/>
        <v>100</v>
      </c>
      <c r="T8" s="663" t="s">
        <v>14</v>
      </c>
      <c r="U8" s="664">
        <f t="shared" si="1"/>
        <v>100</v>
      </c>
      <c r="V8" s="663" t="s">
        <v>14</v>
      </c>
      <c r="W8" s="664">
        <f t="shared" si="2"/>
        <v>100</v>
      </c>
      <c r="X8" s="665"/>
      <c r="Y8" s="3452" t="s">
        <v>1681</v>
      </c>
      <c r="Z8" s="3451"/>
      <c r="AA8" s="50">
        <f t="shared" ref="AA8:AA34" si="3">D8/F8</f>
        <v>1</v>
      </c>
      <c r="AB8" s="50">
        <f t="shared" ref="AB8:AB34" si="4">D8/H8</f>
        <v>1</v>
      </c>
      <c r="AC8" s="50">
        <f t="shared" ref="AC8:AC34" si="5">D8/J8</f>
        <v>1</v>
      </c>
    </row>
    <row r="9" spans="1:29" s="102" customFormat="1" ht="14.4">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12" t="s">
        <v>1684</v>
      </c>
      <c r="Q9" s="529" t="str">
        <f t="shared" ref="Q9:Q14" si="6">B9</f>
        <v>用途</v>
      </c>
      <c r="R9" s="663" t="s">
        <v>14</v>
      </c>
      <c r="S9" s="664">
        <f t="shared" si="0"/>
        <v>100</v>
      </c>
      <c r="T9" s="663" t="s">
        <v>14</v>
      </c>
      <c r="U9" s="664">
        <f t="shared" si="1"/>
        <v>100</v>
      </c>
      <c r="V9" s="663" t="s">
        <v>14</v>
      </c>
      <c r="W9" s="664">
        <f t="shared" si="2"/>
        <v>100</v>
      </c>
      <c r="X9" s="665"/>
      <c r="Y9" s="3318" t="s">
        <v>1685</v>
      </c>
      <c r="Z9" s="50" t="str">
        <f t="shared" ref="Z9:Z14" si="7">Q9</f>
        <v>用途</v>
      </c>
      <c r="AA9" s="50">
        <f t="shared" si="3"/>
        <v>1</v>
      </c>
      <c r="AB9" s="50">
        <f t="shared" si="4"/>
        <v>1</v>
      </c>
      <c r="AC9" s="50">
        <f t="shared" si="5"/>
        <v>1</v>
      </c>
    </row>
    <row r="10" spans="1:29" s="365" customFormat="1" ht="28.8">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12"/>
      <c r="Q10" s="529"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12"/>
      <c r="Q11" s="529">
        <f t="shared" si="6"/>
        <v>111</v>
      </c>
      <c r="R11" s="663" t="s">
        <v>14</v>
      </c>
      <c r="S11" s="664">
        <f t="shared" si="0"/>
        <v>100</v>
      </c>
      <c r="T11" s="663" t="s">
        <v>14</v>
      </c>
      <c r="U11" s="664">
        <f t="shared" si="1"/>
        <v>100</v>
      </c>
      <c r="V11" s="663" t="s">
        <v>14</v>
      </c>
      <c r="W11" s="664">
        <f t="shared" si="2"/>
        <v>100</v>
      </c>
      <c r="X11" s="665"/>
      <c r="Y11" s="331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12"/>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96.6">
      <c r="A14" s="378" t="s">
        <v>1688</v>
      </c>
      <c r="B14" s="58" t="s">
        <v>1831</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9" t="s">
        <v>1689</v>
      </c>
      <c r="Q14" s="1262" t="str">
        <f t="shared" si="6"/>
        <v>交通便捷度</v>
      </c>
      <c r="R14" s="666" t="s">
        <v>14</v>
      </c>
      <c r="S14" s="667">
        <f t="shared" si="0"/>
        <v>100</v>
      </c>
      <c r="T14" s="666" t="s">
        <v>14</v>
      </c>
      <c r="U14" s="667">
        <f t="shared" si="1"/>
        <v>100</v>
      </c>
      <c r="V14" s="666" t="s">
        <v>14</v>
      </c>
      <c r="W14" s="667">
        <f t="shared" si="2"/>
        <v>100</v>
      </c>
      <c r="X14" s="1264"/>
      <c r="Y14" s="3419"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20"/>
      <c r="Q15" s="1262"/>
      <c r="R15" s="666"/>
      <c r="S15" s="667"/>
      <c r="T15" s="666"/>
      <c r="U15" s="667"/>
      <c r="V15" s="666"/>
      <c r="W15" s="667"/>
      <c r="X15" s="1264"/>
      <c r="Y15" s="3420"/>
      <c r="Z15" s="1263"/>
      <c r="AA15" s="1263">
        <v>1</v>
      </c>
      <c r="AB15" s="1263">
        <v>1</v>
      </c>
      <c r="AC15" s="1263">
        <v>1</v>
      </c>
    </row>
    <row r="16" spans="1:29" ht="41.4">
      <c r="A16" s="366"/>
      <c r="B16" s="389" t="s">
        <v>1810</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20"/>
      <c r="Q16" s="1262" t="str">
        <f>B16</f>
        <v>公共配套设施</v>
      </c>
      <c r="R16" s="666" t="s">
        <v>14</v>
      </c>
      <c r="S16" s="667">
        <f>F16</f>
        <v>100</v>
      </c>
      <c r="T16" s="666" t="s">
        <v>14</v>
      </c>
      <c r="U16" s="667">
        <f>H16</f>
        <v>100</v>
      </c>
      <c r="V16" s="666" t="s">
        <v>14</v>
      </c>
      <c r="W16" s="667">
        <f>J16</f>
        <v>100</v>
      </c>
      <c r="X16" s="1264"/>
      <c r="Y16" s="342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20"/>
      <c r="Q17" s="1262"/>
      <c r="R17" s="666"/>
      <c r="S17" s="667"/>
      <c r="T17" s="666"/>
      <c r="U17" s="667"/>
      <c r="V17" s="666"/>
      <c r="W17" s="667"/>
      <c r="X17" s="1264"/>
      <c r="Y17" s="3420"/>
      <c r="Z17" s="1263"/>
      <c r="AA17" s="1263">
        <v>1</v>
      </c>
      <c r="AB17" s="1263">
        <v>1</v>
      </c>
      <c r="AC17" s="1263">
        <v>1</v>
      </c>
    </row>
    <row r="18" spans="1:29" ht="41.4">
      <c r="A18" s="366"/>
      <c r="B18" s="585" t="s">
        <v>1811</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20"/>
      <c r="Q18" s="1262" t="str">
        <f>B18</f>
        <v>基础设施水平</v>
      </c>
      <c r="R18" s="666" t="s">
        <v>14</v>
      </c>
      <c r="S18" s="667">
        <f>F18</f>
        <v>100</v>
      </c>
      <c r="T18" s="666" t="s">
        <v>14</v>
      </c>
      <c r="U18" s="667">
        <f>H18</f>
        <v>100</v>
      </c>
      <c r="V18" s="666" t="s">
        <v>14</v>
      </c>
      <c r="W18" s="667">
        <f>J18</f>
        <v>100</v>
      </c>
      <c r="X18" s="1264"/>
      <c r="Y18" s="342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20"/>
      <c r="Q19" s="1262"/>
      <c r="R19" s="666"/>
      <c r="S19" s="667"/>
      <c r="T19" s="666"/>
      <c r="U19" s="667"/>
      <c r="V19" s="666"/>
      <c r="W19" s="667"/>
      <c r="X19" s="1264"/>
      <c r="Y19" s="3420"/>
      <c r="Z19" s="1263"/>
      <c r="AA19" s="1263">
        <v>1</v>
      </c>
      <c r="AB19" s="1263">
        <v>1</v>
      </c>
      <c r="AC19" s="1263">
        <v>1</v>
      </c>
    </row>
    <row r="20" spans="1:29" ht="55.2">
      <c r="A20" s="366"/>
      <c r="B20" s="389" t="s">
        <v>1832</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20"/>
      <c r="Q20" s="1262" t="str">
        <f>B20</f>
        <v>自然及人文环境</v>
      </c>
      <c r="R20" s="666" t="s">
        <v>14</v>
      </c>
      <c r="S20" s="667">
        <f>F20</f>
        <v>100</v>
      </c>
      <c r="T20" s="666" t="s">
        <v>14</v>
      </c>
      <c r="U20" s="667">
        <f>H20</f>
        <v>100</v>
      </c>
      <c r="V20" s="666" t="s">
        <v>14</v>
      </c>
      <c r="W20" s="667">
        <f>J20</f>
        <v>100</v>
      </c>
      <c r="X20" s="1264"/>
      <c r="Y20" s="342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20"/>
      <c r="Q21" s="1262"/>
      <c r="R21" s="666"/>
      <c r="S21" s="667"/>
      <c r="T21" s="666"/>
      <c r="U21" s="667"/>
      <c r="V21" s="666"/>
      <c r="W21" s="667"/>
      <c r="X21" s="1264"/>
      <c r="Y21" s="3420"/>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20"/>
      <c r="Q22" s="1262" t="str">
        <f>B22</f>
        <v>楼层</v>
      </c>
      <c r="R22" s="666" t="s">
        <v>14</v>
      </c>
      <c r="S22" s="667">
        <f>F22</f>
        <v>100</v>
      </c>
      <c r="T22" s="666" t="s">
        <v>14</v>
      </c>
      <c r="U22" s="667">
        <f>H22</f>
        <v>100</v>
      </c>
      <c r="V22" s="666" t="s">
        <v>14</v>
      </c>
      <c r="W22" s="667">
        <f>J22</f>
        <v>100</v>
      </c>
      <c r="X22" s="1264"/>
      <c r="Y22" s="342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20"/>
      <c r="Q23" s="1262">
        <f>B23</f>
        <v>111</v>
      </c>
      <c r="R23" s="666" t="s">
        <v>14</v>
      </c>
      <c r="S23" s="667">
        <f>F23</f>
        <v>100</v>
      </c>
      <c r="T23" s="666" t="s">
        <v>14</v>
      </c>
      <c r="U23" s="667">
        <f>H23</f>
        <v>100</v>
      </c>
      <c r="V23" s="666" t="s">
        <v>14</v>
      </c>
      <c r="W23" s="667">
        <f>J23</f>
        <v>100</v>
      </c>
      <c r="X23" s="1264"/>
      <c r="Y23" s="342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20"/>
      <c r="Q24" s="1262">
        <f t="shared" ref="Q24:Q34" si="11">B24</f>
        <v>111</v>
      </c>
      <c r="R24" s="666" t="s">
        <v>14</v>
      </c>
      <c r="S24" s="667">
        <f>F24</f>
        <v>100</v>
      </c>
      <c r="T24" s="666" t="s">
        <v>14</v>
      </c>
      <c r="U24" s="667">
        <f>H24</f>
        <v>100</v>
      </c>
      <c r="V24" s="666" t="s">
        <v>14</v>
      </c>
      <c r="W24" s="667">
        <f>J24</f>
        <v>100</v>
      </c>
      <c r="X24" s="1264"/>
      <c r="Y24" s="3420"/>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20"/>
      <c r="Q25" s="529">
        <f t="shared" si="11"/>
        <v>111</v>
      </c>
      <c r="R25" s="663" t="s">
        <v>14</v>
      </c>
      <c r="S25" s="664">
        <f>F25</f>
        <v>100</v>
      </c>
      <c r="T25" s="663" t="s">
        <v>14</v>
      </c>
      <c r="U25" s="664">
        <f>H25</f>
        <v>100</v>
      </c>
      <c r="V25" s="663" t="s">
        <v>14</v>
      </c>
      <c r="W25" s="664">
        <f>J25</f>
        <v>100</v>
      </c>
      <c r="X25" s="665"/>
      <c r="Y25" s="3420"/>
      <c r="Z25" s="50">
        <f>Q25</f>
        <v>111</v>
      </c>
      <c r="AA25" s="1263">
        <f>D25/F25</f>
        <v>1</v>
      </c>
      <c r="AB25" s="1263">
        <f>D25/H25</f>
        <v>1</v>
      </c>
      <c r="AC25" s="1263">
        <f>D25/J25</f>
        <v>1</v>
      </c>
    </row>
    <row r="26" spans="1:29" ht="30">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520"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4"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24"/>
      <c r="Q27" s="530" t="str">
        <f t="shared" si="11"/>
        <v>成新率</v>
      </c>
      <c r="R27" s="668" t="s">
        <v>14</v>
      </c>
      <c r="S27" s="669" t="e">
        <f t="shared" si="12"/>
        <v>#N/A</v>
      </c>
      <c r="T27" s="668" t="s">
        <v>14</v>
      </c>
      <c r="U27" s="669" t="e">
        <f t="shared" si="13"/>
        <v>#N/A</v>
      </c>
      <c r="V27" s="668" t="s">
        <v>14</v>
      </c>
      <c r="W27" s="669" t="e">
        <f t="shared" si="14"/>
        <v>#N/A</v>
      </c>
      <c r="X27" s="670"/>
      <c r="Y27" s="3424"/>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24"/>
      <c r="Q28" s="1262" t="str">
        <f t="shared" si="11"/>
        <v>物业等级</v>
      </c>
      <c r="R28" s="666" t="s">
        <v>14</v>
      </c>
      <c r="S28" s="667">
        <f t="shared" si="12"/>
        <v>100</v>
      </c>
      <c r="T28" s="666" t="s">
        <v>14</v>
      </c>
      <c r="U28" s="667">
        <f t="shared" si="13"/>
        <v>100</v>
      </c>
      <c r="V28" s="666" t="s">
        <v>14</v>
      </c>
      <c r="W28" s="667">
        <f t="shared" si="14"/>
        <v>100</v>
      </c>
      <c r="X28" s="1264"/>
      <c r="Y28" s="3424"/>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24"/>
      <c r="Q29" s="1262" t="str">
        <f t="shared" si="11"/>
        <v>有无电梯</v>
      </c>
      <c r="R29" s="666" t="s">
        <v>14</v>
      </c>
      <c r="S29" s="667">
        <f t="shared" si="12"/>
        <v>100</v>
      </c>
      <c r="T29" s="666" t="s">
        <v>14</v>
      </c>
      <c r="U29" s="667">
        <f t="shared" si="13"/>
        <v>100</v>
      </c>
      <c r="V29" s="666" t="s">
        <v>14</v>
      </c>
      <c r="W29" s="667">
        <f t="shared" si="14"/>
        <v>100</v>
      </c>
      <c r="X29" s="1264"/>
      <c r="Y29" s="3424"/>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24"/>
      <c r="Q30" s="1262" t="str">
        <f t="shared" si="11"/>
        <v>建筑面积</v>
      </c>
      <c r="R30" s="666" t="s">
        <v>14</v>
      </c>
      <c r="S30" s="667" t="e">
        <f t="shared" si="12"/>
        <v>#N/A</v>
      </c>
      <c r="T30" s="666" t="s">
        <v>14</v>
      </c>
      <c r="U30" s="667" t="e">
        <f t="shared" si="13"/>
        <v>#N/A</v>
      </c>
      <c r="V30" s="666" t="s">
        <v>14</v>
      </c>
      <c r="W30" s="667" t="e">
        <f t="shared" si="14"/>
        <v>#N/A</v>
      </c>
      <c r="X30" s="1264"/>
      <c r="Y30" s="3424"/>
      <c r="Z30" s="1263" t="str">
        <f t="shared" si="15"/>
        <v>建筑面积</v>
      </c>
      <c r="AA30" s="1263" t="e">
        <f t="shared" si="3"/>
        <v>#N/A</v>
      </c>
      <c r="AB30" s="1263" t="e">
        <f t="shared" si="4"/>
        <v>#N/A</v>
      </c>
      <c r="AC30" s="1263" t="e">
        <f t="shared" si="5"/>
        <v>#N/A</v>
      </c>
    </row>
    <row r="31" spans="1:29" s="102"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24"/>
      <c r="Q31" s="529" t="str">
        <f t="shared" si="11"/>
        <v>是否封闭</v>
      </c>
      <c r="R31" s="663" t="s">
        <v>14</v>
      </c>
      <c r="S31" s="664">
        <f t="shared" si="12"/>
        <v>100</v>
      </c>
      <c r="T31" s="663" t="s">
        <v>14</v>
      </c>
      <c r="U31" s="664">
        <f t="shared" si="13"/>
        <v>100</v>
      </c>
      <c r="V31" s="663" t="s">
        <v>14</v>
      </c>
      <c r="W31" s="664">
        <f t="shared" si="14"/>
        <v>100</v>
      </c>
      <c r="X31" s="665"/>
      <c r="Y31" s="342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24" t="s">
        <v>1694</v>
      </c>
      <c r="Q32" s="1262">
        <f t="shared" si="11"/>
        <v>111</v>
      </c>
      <c r="R32" s="666" t="s">
        <v>14</v>
      </c>
      <c r="S32" s="667">
        <f t="shared" si="12"/>
        <v>100</v>
      </c>
      <c r="T32" s="666" t="s">
        <v>14</v>
      </c>
      <c r="U32" s="667">
        <f t="shared" si="13"/>
        <v>100</v>
      </c>
      <c r="V32" s="666" t="s">
        <v>14</v>
      </c>
      <c r="W32" s="667">
        <f t="shared" si="14"/>
        <v>100</v>
      </c>
      <c r="X32" s="1264"/>
      <c r="Y32" s="3424"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24"/>
      <c r="Q33" s="1262">
        <f t="shared" si="11"/>
        <v>111</v>
      </c>
      <c r="R33" s="666" t="s">
        <v>14</v>
      </c>
      <c r="S33" s="667">
        <f t="shared" si="12"/>
        <v>100</v>
      </c>
      <c r="T33" s="666" t="s">
        <v>14</v>
      </c>
      <c r="U33" s="667">
        <f t="shared" si="13"/>
        <v>100</v>
      </c>
      <c r="V33" s="666" t="s">
        <v>14</v>
      </c>
      <c r="W33" s="667">
        <f t="shared" si="14"/>
        <v>100</v>
      </c>
      <c r="X33" s="1264"/>
      <c r="Y33" s="3424"/>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24"/>
      <c r="Q34" s="1262">
        <f t="shared" si="11"/>
        <v>111</v>
      </c>
      <c r="R34" s="666" t="s">
        <v>14</v>
      </c>
      <c r="S34" s="667">
        <f t="shared" si="12"/>
        <v>100</v>
      </c>
      <c r="T34" s="666" t="s">
        <v>14</v>
      </c>
      <c r="U34" s="667">
        <f t="shared" si="13"/>
        <v>100</v>
      </c>
      <c r="V34" s="666" t="s">
        <v>14</v>
      </c>
      <c r="W34" s="667">
        <f t="shared" si="14"/>
        <v>100</v>
      </c>
      <c r="X34" s="1264"/>
      <c r="Y34" s="3424"/>
      <c r="Z34" s="1263">
        <f t="shared" si="15"/>
        <v>111</v>
      </c>
      <c r="AA34" s="1263">
        <f t="shared" si="3"/>
        <v>1</v>
      </c>
      <c r="AB34" s="1263">
        <f t="shared" si="4"/>
        <v>1</v>
      </c>
      <c r="AC34" s="1263">
        <f t="shared" si="5"/>
        <v>1</v>
      </c>
    </row>
    <row r="35" spans="1:30" ht="14.4">
      <c r="A35" s="415" t="s">
        <v>1706</v>
      </c>
      <c r="B35" s="416"/>
      <c r="C35" s="1080" t="s">
        <v>0</v>
      </c>
      <c r="D35" s="417"/>
      <c r="E35" s="418"/>
      <c r="F35" s="419"/>
      <c r="G35" s="420"/>
      <c r="H35" s="421"/>
      <c r="I35" s="418"/>
      <c r="J35" s="421"/>
      <c r="K35" s="673"/>
      <c r="L35" s="2494"/>
      <c r="M35" s="2487"/>
      <c r="N35" s="2487"/>
      <c r="O35" s="2487"/>
      <c r="P35" s="3412" t="str">
        <f>A35</f>
        <v>成交单价（元/平方米）</v>
      </c>
      <c r="Q35" s="3412"/>
      <c r="R35" s="3413">
        <f>E35</f>
        <v>0</v>
      </c>
      <c r="S35" s="3413"/>
      <c r="T35" s="3413">
        <f>G35</f>
        <v>0</v>
      </c>
      <c r="U35" s="3413"/>
      <c r="V35" s="3413">
        <f>I35</f>
        <v>0</v>
      </c>
      <c r="W35" s="3413"/>
      <c r="X35" s="384"/>
      <c r="Y35" s="672"/>
      <c r="Z35" s="384"/>
      <c r="AA35" s="384"/>
      <c r="AB35" s="384"/>
      <c r="AC35" s="384"/>
    </row>
    <row r="36" spans="1:30" ht="1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4"/>
      <c r="Y36" s="384"/>
      <c r="Z36" s="384"/>
      <c r="AA36" s="384"/>
      <c r="AB36" s="384"/>
      <c r="AC36" s="384"/>
    </row>
    <row r="37" spans="1:30" ht="15" thickBot="1">
      <c r="A37" s="426" t="s">
        <v>1792</v>
      </c>
      <c r="B37" s="427"/>
      <c r="C37" s="350" t="e">
        <f>R37</f>
        <v>#DIV/0!</v>
      </c>
      <c r="D37" s="350"/>
      <c r="E37" s="350"/>
      <c r="F37" s="350"/>
      <c r="G37" s="350"/>
      <c r="H37" s="350"/>
      <c r="I37" s="350"/>
      <c r="J37" s="350"/>
      <c r="K37" s="674"/>
      <c r="L37" s="2494"/>
      <c r="M37" s="2487"/>
      <c r="N37" s="2487"/>
      <c r="O37" s="2487"/>
      <c r="P37" s="3510" t="str">
        <f>A37</f>
        <v>估价对象XX用房的比较价值（楼面单价，元/平方米）</v>
      </c>
      <c r="Q37" s="3511"/>
      <c r="R37" s="3521" t="e">
        <f>IF(F1="售价",ROUND(IF(D36="简单平均",AVERAGE(R36:W36),R36*F36+T36*H36+V36*J36),0),ROUND(IF(D36="简单平均",AVERAGE(R36:V36),R36*F36+T36*H36+V36*J36),1))</f>
        <v>#DIV/0!</v>
      </c>
      <c r="S37" s="3521"/>
      <c r="T37" s="3521"/>
      <c r="U37" s="3521"/>
      <c r="V37" s="3521"/>
      <c r="W37" s="3521"/>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4.4">
      <c r="A46" s="439" t="s">
        <v>1677</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4.4">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ht="14.4">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4.4"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9.4"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4.4"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4.4"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4.4"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4.4"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4.4"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4.4"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4.4"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9.4"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4.4"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4.4"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4.4"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4.4"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4.4"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4.4"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4.4"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4.4"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4.4"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4.4"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514" t="s">
        <v>1773</v>
      </c>
      <c r="Q4" s="3515"/>
      <c r="R4" s="3518" t="s">
        <v>1769</v>
      </c>
      <c r="S4" s="3519"/>
      <c r="T4" s="3518" t="s">
        <v>1770</v>
      </c>
      <c r="U4" s="3519"/>
      <c r="V4" s="3413" t="s">
        <v>1771</v>
      </c>
      <c r="W4" s="3413"/>
      <c r="X4" s="1264"/>
      <c r="Y4" s="3518" t="s">
        <v>1773</v>
      </c>
      <c r="Z4" s="3519"/>
      <c r="AA4" s="3513" t="s">
        <v>1769</v>
      </c>
      <c r="AB4" s="3458" t="s">
        <v>1770</v>
      </c>
      <c r="AC4" s="3513" t="s">
        <v>1771</v>
      </c>
    </row>
    <row r="5" spans="1:29">
      <c r="A5" s="347"/>
      <c r="B5" s="348"/>
      <c r="C5" s="3448" t="s">
        <v>1671</v>
      </c>
      <c r="D5" s="3449"/>
      <c r="E5" s="3460" t="s">
        <v>1672</v>
      </c>
      <c r="F5" s="3461"/>
      <c r="G5" s="3448" t="s">
        <v>1673</v>
      </c>
      <c r="H5" s="3449"/>
      <c r="I5" s="3448" t="s">
        <v>1674</v>
      </c>
      <c r="J5" s="3449"/>
      <c r="K5" s="536"/>
      <c r="L5" s="2486"/>
      <c r="M5" s="2487"/>
      <c r="N5" s="2487"/>
      <c r="O5" s="2487"/>
      <c r="P5" s="3516"/>
      <c r="Q5" s="3436"/>
      <c r="R5" s="3441"/>
      <c r="S5" s="3442"/>
      <c r="T5" s="3441"/>
      <c r="U5" s="3442"/>
      <c r="V5" s="3413"/>
      <c r="W5" s="3413"/>
      <c r="X5" s="1264"/>
      <c r="Y5" s="3441"/>
      <c r="Z5" s="3442"/>
      <c r="AA5" s="3458"/>
      <c r="AB5" s="3458"/>
      <c r="AC5" s="3458"/>
    </row>
    <row r="6" spans="1:29" ht="15" thickBot="1">
      <c r="A6" s="349"/>
      <c r="B6" s="350"/>
      <c r="C6" s="3446" t="s">
        <v>1675</v>
      </c>
      <c r="D6" s="3447"/>
      <c r="E6" s="3455" t="s">
        <v>1675</v>
      </c>
      <c r="F6" s="3456"/>
      <c r="G6" s="3446" t="s">
        <v>1675</v>
      </c>
      <c r="H6" s="3447"/>
      <c r="I6" s="3446" t="s">
        <v>1675</v>
      </c>
      <c r="J6" s="3447"/>
      <c r="K6" s="536" t="s">
        <v>1676</v>
      </c>
      <c r="L6" s="2486"/>
      <c r="M6" s="2487"/>
      <c r="N6" s="2487"/>
      <c r="O6" s="2487"/>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52" t="s">
        <v>1678</v>
      </c>
      <c r="Q7" s="3453"/>
      <c r="R7" s="663" t="s">
        <v>14</v>
      </c>
      <c r="S7" s="664">
        <f t="shared" ref="S7:S15" si="0">F7</f>
        <v>0</v>
      </c>
      <c r="T7" s="663" t="s">
        <v>14</v>
      </c>
      <c r="U7" s="664">
        <f t="shared" ref="U7:U15" si="1">H7</f>
        <v>0</v>
      </c>
      <c r="V7" s="663" t="s">
        <v>14</v>
      </c>
      <c r="W7" s="664">
        <f t="shared" ref="W7:W15" si="2">J7</f>
        <v>0</v>
      </c>
      <c r="X7" s="665"/>
      <c r="Y7" s="3452" t="s">
        <v>1678</v>
      </c>
      <c r="Z7" s="3451"/>
      <c r="AA7" s="50" t="e">
        <f>D7/F7</f>
        <v>#DIV/0!</v>
      </c>
      <c r="AB7" s="50" t="e">
        <f>D7/H7</f>
        <v>#DIV/0!</v>
      </c>
      <c r="AC7" s="50" t="e">
        <f>D7/J7</f>
        <v>#DIV/0!</v>
      </c>
    </row>
    <row r="8" spans="1:29" s="102" customFormat="1" ht="1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52" t="s">
        <v>1681</v>
      </c>
      <c r="Q8" s="3451"/>
      <c r="R8" s="663" t="s">
        <v>14</v>
      </c>
      <c r="S8" s="664">
        <f t="shared" si="0"/>
        <v>0</v>
      </c>
      <c r="T8" s="663" t="s">
        <v>14</v>
      </c>
      <c r="U8" s="664">
        <f t="shared" si="1"/>
        <v>0</v>
      </c>
      <c r="V8" s="663" t="s">
        <v>14</v>
      </c>
      <c r="W8" s="664">
        <f t="shared" si="2"/>
        <v>0</v>
      </c>
      <c r="X8" s="665"/>
      <c r="Y8" s="3452" t="s">
        <v>1681</v>
      </c>
      <c r="Z8" s="3451"/>
      <c r="AA8" s="50" t="e">
        <f t="shared" ref="AA8:AA45" si="3">D8/F8</f>
        <v>#DIV/0!</v>
      </c>
      <c r="AB8" s="50" t="e">
        <f t="shared" ref="AB8:AB45" si="4">D8/H8</f>
        <v>#DIV/0!</v>
      </c>
      <c r="AC8" s="50" t="e">
        <f t="shared" ref="AC8:AC45" si="5">D8/J8</f>
        <v>#DIV/0!</v>
      </c>
    </row>
    <row r="9" spans="1:29" s="102" customFormat="1" ht="14.4">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2"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402"/>
      <c r="F10" s="118">
        <f>ROUND(100/'数据-取费表'!G16,0)</f>
        <v>112</v>
      </c>
      <c r="G10" s="401"/>
      <c r="H10" s="118">
        <f>ROUND(100/'数据-取费表'!G16,0)</f>
        <v>112</v>
      </c>
      <c r="I10" s="401"/>
      <c r="J10" s="118">
        <f>ROUND(100/'数据-取费表'!G16,0)</f>
        <v>112</v>
      </c>
      <c r="K10" s="591"/>
      <c r="L10" s="2489"/>
      <c r="M10" s="2490"/>
      <c r="N10" s="2490"/>
      <c r="O10" s="2541"/>
      <c r="P10" s="3412"/>
      <c r="Q10" s="529" t="str">
        <f t="shared" si="6"/>
        <v>土地使用年限（年）</v>
      </c>
      <c r="R10" s="663" t="s">
        <v>14</v>
      </c>
      <c r="S10" s="664">
        <f t="shared" si="0"/>
        <v>112</v>
      </c>
      <c r="T10" s="663" t="s">
        <v>14</v>
      </c>
      <c r="U10" s="664">
        <f t="shared" si="1"/>
        <v>112</v>
      </c>
      <c r="V10" s="663" t="s">
        <v>14</v>
      </c>
      <c r="W10" s="664">
        <f t="shared" si="2"/>
        <v>112</v>
      </c>
      <c r="X10" s="665"/>
      <c r="Y10" s="3318"/>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12"/>
      <c r="Q11" s="529"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12"/>
      <c r="Q12" s="529" t="str">
        <f t="shared" si="6"/>
        <v>配建</v>
      </c>
      <c r="R12" s="663" t="s">
        <v>14</v>
      </c>
      <c r="S12" s="664">
        <f t="shared" si="0"/>
        <v>100</v>
      </c>
      <c r="T12" s="663" t="s">
        <v>14</v>
      </c>
      <c r="U12" s="664">
        <f t="shared" si="1"/>
        <v>100</v>
      </c>
      <c r="V12" s="663" t="s">
        <v>14</v>
      </c>
      <c r="W12" s="664">
        <f t="shared" si="2"/>
        <v>100</v>
      </c>
      <c r="X12" s="665"/>
      <c r="Y12" s="331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18"/>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12"/>
      <c r="Q14" s="529">
        <f t="shared" si="6"/>
        <v>111</v>
      </c>
      <c r="R14" s="663" t="s">
        <v>14</v>
      </c>
      <c r="S14" s="664">
        <f t="shared" si="0"/>
        <v>100</v>
      </c>
      <c r="T14" s="663" t="s">
        <v>14</v>
      </c>
      <c r="U14" s="664">
        <f t="shared" si="1"/>
        <v>100</v>
      </c>
      <c r="V14" s="663" t="s">
        <v>14</v>
      </c>
      <c r="W14" s="664">
        <f t="shared" si="2"/>
        <v>100</v>
      </c>
      <c r="X14" s="665"/>
      <c r="Y14" s="3318"/>
      <c r="Z14" s="50">
        <f t="shared" si="7"/>
        <v>111</v>
      </c>
      <c r="AA14" s="50">
        <f>D14/F14</f>
        <v>1</v>
      </c>
      <c r="AB14" s="50">
        <f>D14/H14</f>
        <v>1</v>
      </c>
      <c r="AC14" s="50">
        <f>D14/J14</f>
        <v>1</v>
      </c>
    </row>
    <row r="15" spans="1:29" ht="96.6">
      <c r="A15" s="378" t="s">
        <v>1688</v>
      </c>
      <c r="B15" s="58" t="s">
        <v>1255</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9" t="s">
        <v>1689</v>
      </c>
      <c r="Q15" s="1262" t="str">
        <f t="shared" si="6"/>
        <v>居住社区成熟度</v>
      </c>
      <c r="R15" s="666" t="s">
        <v>14</v>
      </c>
      <c r="S15" s="667">
        <f t="shared" si="0"/>
        <v>100</v>
      </c>
      <c r="T15" s="666" t="s">
        <v>14</v>
      </c>
      <c r="U15" s="667">
        <f t="shared" si="1"/>
        <v>100</v>
      </c>
      <c r="V15" s="666" t="s">
        <v>14</v>
      </c>
      <c r="W15" s="667">
        <f t="shared" si="2"/>
        <v>100</v>
      </c>
      <c r="X15" s="1264"/>
      <c r="Y15" s="3419"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20"/>
      <c r="Q16" s="1262"/>
      <c r="R16" s="666"/>
      <c r="S16" s="667"/>
      <c r="T16" s="666"/>
      <c r="U16" s="667"/>
      <c r="V16" s="666"/>
      <c r="W16" s="667"/>
      <c r="X16" s="1264"/>
      <c r="Y16" s="3420"/>
      <c r="Z16" s="1263"/>
      <c r="AA16" s="1263">
        <v>1</v>
      </c>
      <c r="AB16" s="1263">
        <v>1</v>
      </c>
      <c r="AC16" s="1263">
        <v>1</v>
      </c>
    </row>
    <row r="17" spans="1:29" ht="82.8">
      <c r="A17" s="366"/>
      <c r="B17" s="389" t="s">
        <v>1775</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20"/>
      <c r="Q17" s="1262" t="str">
        <f>B17</f>
        <v>商业繁华度</v>
      </c>
      <c r="R17" s="666" t="s">
        <v>14</v>
      </c>
      <c r="S17" s="667">
        <f>F17</f>
        <v>100</v>
      </c>
      <c r="T17" s="666" t="s">
        <v>14</v>
      </c>
      <c r="U17" s="667">
        <f>H17</f>
        <v>100</v>
      </c>
      <c r="V17" s="666" t="s">
        <v>14</v>
      </c>
      <c r="W17" s="667">
        <f>J17</f>
        <v>100</v>
      </c>
      <c r="X17" s="1264"/>
      <c r="Y17" s="342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20"/>
      <c r="Q18" s="1262"/>
      <c r="R18" s="666"/>
      <c r="S18" s="667"/>
      <c r="T18" s="666"/>
      <c r="U18" s="667"/>
      <c r="V18" s="666"/>
      <c r="W18" s="667"/>
      <c r="X18" s="1264"/>
      <c r="Y18" s="3420"/>
      <c r="Z18" s="1263"/>
      <c r="AA18" s="1263">
        <v>1</v>
      </c>
      <c r="AB18" s="1263">
        <v>1</v>
      </c>
      <c r="AC18" s="1263">
        <v>1</v>
      </c>
    </row>
    <row r="19" spans="1:29" ht="82.8">
      <c r="A19" s="366"/>
      <c r="B19" s="389" t="s">
        <v>1809</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20"/>
      <c r="Q19" s="1262" t="str">
        <f>B19</f>
        <v>办公集聚程度</v>
      </c>
      <c r="R19" s="666" t="s">
        <v>14</v>
      </c>
      <c r="S19" s="667">
        <f>F19</f>
        <v>100</v>
      </c>
      <c r="T19" s="666" t="s">
        <v>14</v>
      </c>
      <c r="U19" s="667">
        <f>H19</f>
        <v>100</v>
      </c>
      <c r="V19" s="666" t="s">
        <v>14</v>
      </c>
      <c r="W19" s="667">
        <f>J19</f>
        <v>100</v>
      </c>
      <c r="X19" s="1264"/>
      <c r="Y19" s="342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20"/>
      <c r="Q20" s="1262"/>
      <c r="R20" s="666"/>
      <c r="S20" s="667"/>
      <c r="T20" s="666"/>
      <c r="U20" s="667"/>
      <c r="V20" s="666"/>
      <c r="W20" s="667"/>
      <c r="X20" s="1264"/>
      <c r="Y20" s="3420"/>
      <c r="Z20" s="1263"/>
      <c r="AA20" s="1263">
        <v>1</v>
      </c>
      <c r="AB20" s="1263">
        <v>1</v>
      </c>
      <c r="AC20" s="1263">
        <v>1</v>
      </c>
    </row>
    <row r="21" spans="1:29" ht="96.6">
      <c r="A21" s="366"/>
      <c r="B21" s="389" t="s">
        <v>1831</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20"/>
      <c r="Q21" s="1262" t="str">
        <f>B21</f>
        <v>交通便捷度</v>
      </c>
      <c r="R21" s="666" t="s">
        <v>14</v>
      </c>
      <c r="S21" s="667">
        <f>F21</f>
        <v>100</v>
      </c>
      <c r="T21" s="666" t="s">
        <v>14</v>
      </c>
      <c r="U21" s="667">
        <f>H21</f>
        <v>100</v>
      </c>
      <c r="V21" s="666" t="s">
        <v>14</v>
      </c>
      <c r="W21" s="667">
        <f>J21</f>
        <v>100</v>
      </c>
      <c r="X21" s="1264"/>
      <c r="Y21" s="342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20"/>
      <c r="Q22" s="1262"/>
      <c r="R22" s="666"/>
      <c r="S22" s="667"/>
      <c r="T22" s="666"/>
      <c r="U22" s="667"/>
      <c r="V22" s="666"/>
      <c r="W22" s="667"/>
      <c r="X22" s="1264"/>
      <c r="Y22" s="3420"/>
      <c r="Z22" s="1263"/>
      <c r="AA22" s="1263">
        <v>1</v>
      </c>
      <c r="AB22" s="1263">
        <v>1</v>
      </c>
      <c r="AC22" s="1263">
        <v>1</v>
      </c>
    </row>
    <row r="23" spans="1:29" ht="28.8">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20"/>
      <c r="Q23" s="1262" t="str">
        <f t="shared" ref="Q23:Q37" si="8">B23</f>
        <v>区域土地利用方向</v>
      </c>
      <c r="R23" s="666" t="s">
        <v>14</v>
      </c>
      <c r="S23" s="667">
        <f>F23</f>
        <v>100</v>
      </c>
      <c r="T23" s="666" t="s">
        <v>14</v>
      </c>
      <c r="U23" s="667">
        <f>H23</f>
        <v>100</v>
      </c>
      <c r="V23" s="666" t="s">
        <v>14</v>
      </c>
      <c r="W23" s="667">
        <f>J23</f>
        <v>100</v>
      </c>
      <c r="X23" s="1264"/>
      <c r="Y23" s="342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20"/>
      <c r="Q24" s="1262"/>
      <c r="R24" s="666"/>
      <c r="S24" s="667"/>
      <c r="T24" s="666"/>
      <c r="U24" s="667"/>
      <c r="V24" s="666"/>
      <c r="W24" s="667"/>
      <c r="X24" s="1264"/>
      <c r="Y24" s="3420"/>
      <c r="Z24" s="1263"/>
      <c r="AA24" s="1263"/>
      <c r="AB24" s="1263"/>
      <c r="AC24" s="1263"/>
    </row>
    <row r="25" spans="1:29" ht="55.2">
      <c r="A25" s="347"/>
      <c r="B25" s="585" t="s">
        <v>1870</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20"/>
      <c r="Q25" s="1262" t="str">
        <f t="shared" si="8"/>
        <v>自然及人文环境状况</v>
      </c>
      <c r="R25" s="666" t="s">
        <v>14</v>
      </c>
      <c r="S25" s="667">
        <f>F25</f>
        <v>100</v>
      </c>
      <c r="T25" s="666" t="s">
        <v>14</v>
      </c>
      <c r="U25" s="667">
        <f>H25</f>
        <v>100</v>
      </c>
      <c r="V25" s="666" t="s">
        <v>14</v>
      </c>
      <c r="W25" s="667">
        <f>J25</f>
        <v>100</v>
      </c>
      <c r="X25" s="1264"/>
      <c r="Y25" s="342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20"/>
      <c r="Q26" s="1262"/>
      <c r="R26" s="666"/>
      <c r="S26" s="667"/>
      <c r="T26" s="666"/>
      <c r="U26" s="667"/>
      <c r="V26" s="666"/>
      <c r="W26" s="667"/>
      <c r="X26" s="1264"/>
      <c r="Y26" s="3420"/>
      <c r="Z26" s="1263"/>
      <c r="AA26" s="1263">
        <v>1</v>
      </c>
      <c r="AB26" s="1263">
        <v>1</v>
      </c>
      <c r="AC26" s="1263">
        <v>1</v>
      </c>
    </row>
    <row r="27" spans="1:29" s="102" customFormat="1" ht="41.4">
      <c r="A27" s="442"/>
      <c r="B27" s="585" t="s">
        <v>1776</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20"/>
      <c r="Q27" s="529" t="str">
        <f t="shared" si="8"/>
        <v>公共配套设施</v>
      </c>
      <c r="R27" s="663" t="s">
        <v>14</v>
      </c>
      <c r="S27" s="664">
        <f>F27</f>
        <v>100</v>
      </c>
      <c r="T27" s="663" t="s">
        <v>14</v>
      </c>
      <c r="U27" s="664">
        <f>H27</f>
        <v>100</v>
      </c>
      <c r="V27" s="663" t="s">
        <v>14</v>
      </c>
      <c r="W27" s="664">
        <f>J27</f>
        <v>100</v>
      </c>
      <c r="X27" s="665"/>
      <c r="Y27" s="3420"/>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20"/>
      <c r="Q28" s="529"/>
      <c r="R28" s="663"/>
      <c r="S28" s="664"/>
      <c r="T28" s="663"/>
      <c r="U28" s="664"/>
      <c r="V28" s="663"/>
      <c r="W28" s="664"/>
      <c r="X28" s="665"/>
      <c r="Y28" s="3420"/>
      <c r="Z28" s="50"/>
      <c r="AA28" s="1263">
        <v>1</v>
      </c>
      <c r="AB28" s="1263">
        <v>1</v>
      </c>
      <c r="AC28" s="1263">
        <v>1</v>
      </c>
    </row>
    <row r="29" spans="1:29" s="102" customFormat="1" ht="41.4">
      <c r="A29" s="442"/>
      <c r="B29" s="585" t="s">
        <v>1777</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20"/>
      <c r="Q29" s="529" t="str">
        <f t="shared" ref="Q29" si="9">B29</f>
        <v>基础设施水平</v>
      </c>
      <c r="R29" s="663" t="s">
        <v>14</v>
      </c>
      <c r="S29" s="664">
        <f>F29</f>
        <v>100</v>
      </c>
      <c r="T29" s="663" t="s">
        <v>14</v>
      </c>
      <c r="U29" s="664">
        <f>H29</f>
        <v>100</v>
      </c>
      <c r="V29" s="663" t="s">
        <v>14</v>
      </c>
      <c r="W29" s="664">
        <f>J29</f>
        <v>100</v>
      </c>
      <c r="X29" s="665"/>
      <c r="Y29" s="3420"/>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20"/>
      <c r="Q30" s="529"/>
      <c r="R30" s="663"/>
      <c r="S30" s="664"/>
      <c r="T30" s="663"/>
      <c r="U30" s="664"/>
      <c r="V30" s="663"/>
      <c r="W30" s="664"/>
      <c r="X30" s="665"/>
      <c r="Y30" s="3420"/>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2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0"/>
      <c r="Z31" s="1263" t="str">
        <f t="shared" ref="Z31:Z45" si="13">Q31</f>
        <v>临街状况</v>
      </c>
      <c r="AA31" s="1263">
        <f t="shared" si="3"/>
        <v>1</v>
      </c>
      <c r="AB31" s="1263">
        <f t="shared" si="4"/>
        <v>1</v>
      </c>
      <c r="AC31" s="1263">
        <f t="shared" si="5"/>
        <v>1</v>
      </c>
    </row>
    <row r="32" spans="1:29" ht="28.8">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20"/>
      <c r="Q32" s="1262" t="str">
        <f t="shared" si="8"/>
        <v>毗邻道路的类型与等级</v>
      </c>
      <c r="R32" s="666" t="s">
        <v>14</v>
      </c>
      <c r="S32" s="667">
        <f t="shared" si="10"/>
        <v>100</v>
      </c>
      <c r="T32" s="666" t="s">
        <v>14</v>
      </c>
      <c r="U32" s="667">
        <f t="shared" si="11"/>
        <v>100</v>
      </c>
      <c r="V32" s="666" t="s">
        <v>14</v>
      </c>
      <c r="W32" s="667">
        <f t="shared" si="12"/>
        <v>100</v>
      </c>
      <c r="X32" s="1264"/>
      <c r="Y32" s="342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20"/>
      <c r="Q33" s="1262"/>
      <c r="R33" s="666"/>
      <c r="S33" s="667"/>
      <c r="T33" s="666"/>
      <c r="U33" s="667"/>
      <c r="V33" s="666"/>
      <c r="W33" s="667"/>
      <c r="X33" s="1264"/>
      <c r="Y33" s="3420"/>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20"/>
      <c r="Q34" s="1262" t="str">
        <f t="shared" si="8"/>
        <v>土地级别</v>
      </c>
      <c r="R34" s="666" t="s">
        <v>14</v>
      </c>
      <c r="S34" s="667">
        <f t="shared" si="10"/>
        <v>100</v>
      </c>
      <c r="T34" s="666" t="s">
        <v>14</v>
      </c>
      <c r="U34" s="667">
        <f t="shared" si="11"/>
        <v>100</v>
      </c>
      <c r="V34" s="666" t="s">
        <v>14</v>
      </c>
      <c r="W34" s="667">
        <f t="shared" si="12"/>
        <v>100</v>
      </c>
      <c r="X34" s="1264"/>
      <c r="Y34" s="342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20"/>
      <c r="Q35" s="1262">
        <f t="shared" si="8"/>
        <v>111</v>
      </c>
      <c r="R35" s="666" t="s">
        <v>14</v>
      </c>
      <c r="S35" s="667">
        <f t="shared" si="10"/>
        <v>100</v>
      </c>
      <c r="T35" s="666" t="s">
        <v>14</v>
      </c>
      <c r="U35" s="667">
        <f t="shared" si="11"/>
        <v>100</v>
      </c>
      <c r="V35" s="666" t="s">
        <v>14</v>
      </c>
      <c r="W35" s="667">
        <f t="shared" si="12"/>
        <v>100</v>
      </c>
      <c r="X35" s="1264"/>
      <c r="Y35" s="342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520" t="s">
        <v>1694</v>
      </c>
      <c r="Q36" s="1262">
        <f t="shared" si="8"/>
        <v>111</v>
      </c>
      <c r="R36" s="666" t="s">
        <v>14</v>
      </c>
      <c r="S36" s="667">
        <f t="shared" si="10"/>
        <v>100</v>
      </c>
      <c r="T36" s="666" t="s">
        <v>14</v>
      </c>
      <c r="U36" s="667">
        <f t="shared" si="11"/>
        <v>100</v>
      </c>
      <c r="V36" s="666" t="s">
        <v>14</v>
      </c>
      <c r="W36" s="667">
        <f t="shared" si="12"/>
        <v>100</v>
      </c>
      <c r="X36" s="1264"/>
      <c r="Y36" s="3424" t="s">
        <v>1694</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24"/>
      <c r="Q37" s="1262">
        <f t="shared" si="8"/>
        <v>111</v>
      </c>
      <c r="R37" s="668" t="s">
        <v>14</v>
      </c>
      <c r="S37" s="669">
        <f t="shared" si="10"/>
        <v>100</v>
      </c>
      <c r="T37" s="668" t="s">
        <v>14</v>
      </c>
      <c r="U37" s="669">
        <f t="shared" si="11"/>
        <v>100</v>
      </c>
      <c r="V37" s="668" t="s">
        <v>14</v>
      </c>
      <c r="W37" s="669">
        <f t="shared" si="12"/>
        <v>100</v>
      </c>
      <c r="X37" s="670"/>
      <c r="Y37" s="3424"/>
      <c r="Z37" s="671">
        <f t="shared" si="13"/>
        <v>111</v>
      </c>
      <c r="AA37" s="1263">
        <f t="shared" si="3"/>
        <v>1</v>
      </c>
      <c r="AB37" s="1263">
        <f t="shared" si="4"/>
        <v>1</v>
      </c>
      <c r="AC37" s="1263">
        <f t="shared" si="5"/>
        <v>1</v>
      </c>
    </row>
    <row r="38" spans="1:29" ht="15.6">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24"/>
      <c r="Q38" s="1262" t="str">
        <f>B38</f>
        <v>宗地面积</v>
      </c>
      <c r="R38" s="666" t="s">
        <v>14</v>
      </c>
      <c r="S38" s="667" t="e">
        <f t="shared" si="10"/>
        <v>#N/A</v>
      </c>
      <c r="T38" s="666" t="s">
        <v>14</v>
      </c>
      <c r="U38" s="667" t="e">
        <f t="shared" si="11"/>
        <v>#N/A</v>
      </c>
      <c r="V38" s="666" t="s">
        <v>14</v>
      </c>
      <c r="W38" s="667" t="e">
        <f t="shared" si="12"/>
        <v>#N/A</v>
      </c>
      <c r="X38" s="1264"/>
      <c r="Y38" s="3424"/>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24"/>
      <c r="Q39" s="1262" t="str">
        <f t="shared" ref="Q39:Q45" si="14">B39</f>
        <v>宗地形状</v>
      </c>
      <c r="R39" s="666" t="s">
        <v>14</v>
      </c>
      <c r="S39" s="667">
        <f t="shared" si="10"/>
        <v>100</v>
      </c>
      <c r="T39" s="666" t="s">
        <v>14</v>
      </c>
      <c r="U39" s="667">
        <f t="shared" si="11"/>
        <v>100</v>
      </c>
      <c r="V39" s="666" t="s">
        <v>14</v>
      </c>
      <c r="W39" s="667">
        <f t="shared" si="12"/>
        <v>100</v>
      </c>
      <c r="X39" s="1264"/>
      <c r="Y39" s="3424"/>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24"/>
      <c r="Q40" s="1262" t="str">
        <f t="shared" si="14"/>
        <v>临街宽度及深度</v>
      </c>
      <c r="R40" s="666" t="s">
        <v>14</v>
      </c>
      <c r="S40" s="667">
        <f t="shared" si="10"/>
        <v>100</v>
      </c>
      <c r="T40" s="666" t="s">
        <v>14</v>
      </c>
      <c r="U40" s="667">
        <f t="shared" si="11"/>
        <v>100</v>
      </c>
      <c r="V40" s="666" t="s">
        <v>14</v>
      </c>
      <c r="W40" s="667">
        <f t="shared" si="12"/>
        <v>100</v>
      </c>
      <c r="X40" s="1264"/>
      <c r="Y40" s="3424"/>
      <c r="Z40" s="1263" t="str">
        <f t="shared" si="13"/>
        <v>临街宽度及深度</v>
      </c>
      <c r="AA40" s="1263">
        <f t="shared" si="3"/>
        <v>1</v>
      </c>
      <c r="AB40" s="1263">
        <f t="shared" si="4"/>
        <v>1</v>
      </c>
      <c r="AC40" s="1263">
        <f t="shared" si="5"/>
        <v>1</v>
      </c>
    </row>
    <row r="41" spans="1:29" s="102"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24"/>
      <c r="Q41" s="1262" t="str">
        <f t="shared" si="14"/>
        <v>宗地开发程度</v>
      </c>
      <c r="R41" s="663" t="s">
        <v>14</v>
      </c>
      <c r="S41" s="664">
        <f t="shared" si="10"/>
        <v>100</v>
      </c>
      <c r="T41" s="663" t="s">
        <v>14</v>
      </c>
      <c r="U41" s="664">
        <f t="shared" si="11"/>
        <v>100</v>
      </c>
      <c r="V41" s="663" t="s">
        <v>14</v>
      </c>
      <c r="W41" s="664">
        <f t="shared" si="12"/>
        <v>100</v>
      </c>
      <c r="X41" s="665"/>
      <c r="Y41" s="3424"/>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24" t="s">
        <v>1694</v>
      </c>
      <c r="Q42" s="1262" t="str">
        <f t="shared" si="14"/>
        <v>工程地质条件</v>
      </c>
      <c r="R42" s="666" t="s">
        <v>14</v>
      </c>
      <c r="S42" s="667">
        <f t="shared" si="10"/>
        <v>100</v>
      </c>
      <c r="T42" s="666" t="s">
        <v>14</v>
      </c>
      <c r="U42" s="667">
        <f t="shared" si="11"/>
        <v>100</v>
      </c>
      <c r="V42" s="666" t="s">
        <v>14</v>
      </c>
      <c r="W42" s="667">
        <f t="shared" si="12"/>
        <v>100</v>
      </c>
      <c r="X42" s="1264"/>
      <c r="Y42" s="3424"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24"/>
      <c r="Q43" s="1262">
        <f t="shared" si="14"/>
        <v>111</v>
      </c>
      <c r="R43" s="666" t="s">
        <v>14</v>
      </c>
      <c r="S43" s="667">
        <f t="shared" si="10"/>
        <v>100</v>
      </c>
      <c r="T43" s="666" t="s">
        <v>14</v>
      </c>
      <c r="U43" s="667">
        <f t="shared" si="11"/>
        <v>100</v>
      </c>
      <c r="V43" s="666" t="s">
        <v>14</v>
      </c>
      <c r="W43" s="667">
        <f t="shared" si="12"/>
        <v>100</v>
      </c>
      <c r="X43" s="1264"/>
      <c r="Y43" s="3424"/>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24"/>
      <c r="Q44" s="1262">
        <f t="shared" si="14"/>
        <v>111</v>
      </c>
      <c r="R44" s="666" t="s">
        <v>14</v>
      </c>
      <c r="S44" s="667">
        <f t="shared" si="10"/>
        <v>100</v>
      </c>
      <c r="T44" s="666" t="s">
        <v>14</v>
      </c>
      <c r="U44" s="667">
        <f t="shared" si="11"/>
        <v>100</v>
      </c>
      <c r="V44" s="666" t="s">
        <v>14</v>
      </c>
      <c r="W44" s="667">
        <f t="shared" si="12"/>
        <v>100</v>
      </c>
      <c r="X44" s="1264"/>
      <c r="Y44" s="3424"/>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24"/>
      <c r="Q45" s="1262">
        <f t="shared" si="14"/>
        <v>111</v>
      </c>
      <c r="R45" s="668" t="s">
        <v>14</v>
      </c>
      <c r="S45" s="669">
        <f t="shared" si="10"/>
        <v>100</v>
      </c>
      <c r="T45" s="668" t="s">
        <v>14</v>
      </c>
      <c r="U45" s="669">
        <f t="shared" si="11"/>
        <v>100</v>
      </c>
      <c r="V45" s="668" t="s">
        <v>14</v>
      </c>
      <c r="W45" s="669">
        <f t="shared" si="12"/>
        <v>100</v>
      </c>
      <c r="X45" s="670"/>
      <c r="Y45" s="3424"/>
      <c r="Z45" s="671">
        <f t="shared" si="13"/>
        <v>111</v>
      </c>
      <c r="AA45" s="1263">
        <f t="shared" si="3"/>
        <v>1</v>
      </c>
      <c r="AB45" s="1263">
        <f t="shared" si="4"/>
        <v>1</v>
      </c>
      <c r="AC45" s="1263">
        <f t="shared" si="5"/>
        <v>1</v>
      </c>
    </row>
    <row r="46" spans="1:29" ht="14.4">
      <c r="A46" s="415" t="s">
        <v>1842</v>
      </c>
      <c r="B46" s="1829" t="s">
        <v>1877</v>
      </c>
      <c r="C46" s="601" t="s">
        <v>0</v>
      </c>
      <c r="D46" s="417"/>
      <c r="E46" s="418"/>
      <c r="F46" s="419"/>
      <c r="G46" s="420"/>
      <c r="H46" s="421"/>
      <c r="I46" s="418"/>
      <c r="J46" s="421"/>
      <c r="K46" s="673"/>
      <c r="L46" s="2494"/>
      <c r="M46" s="2487"/>
      <c r="N46" s="2487"/>
      <c r="O46" s="2487"/>
      <c r="P46" s="3412" t="str">
        <f>A46</f>
        <v>成交单价</v>
      </c>
      <c r="Q46" s="3412"/>
      <c r="R46" s="3413">
        <f>E46</f>
        <v>0</v>
      </c>
      <c r="S46" s="3413"/>
      <c r="T46" s="3413">
        <f>G46</f>
        <v>0</v>
      </c>
      <c r="U46" s="3413"/>
      <c r="V46" s="3413">
        <f>I46</f>
        <v>0</v>
      </c>
      <c r="W46" s="3413"/>
      <c r="X46" s="384"/>
      <c r="Y46" s="672"/>
      <c r="Z46" s="384"/>
      <c r="AA46" s="384"/>
      <c r="AB46" s="384"/>
      <c r="AC46" s="384"/>
    </row>
    <row r="47" spans="1:29" ht="1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412" t="str">
        <f>A47</f>
        <v>比较价值（元/平方米）</v>
      </c>
      <c r="Q47" s="3412"/>
      <c r="R47" s="3522" t="e">
        <f>ROUND(PRODUCT(R46,AA7:AA45),0)</f>
        <v>#DIV/0!</v>
      </c>
      <c r="S47" s="3522"/>
      <c r="T47" s="3522" t="e">
        <f>ROUND(PRODUCT(T46,AB7:AB45),0)</f>
        <v>#DIV/0!</v>
      </c>
      <c r="U47" s="3522"/>
      <c r="V47" s="3522" t="e">
        <f>ROUND(PRODUCT(V46,AC7:AC45),0)</f>
        <v>#DIV/0!</v>
      </c>
      <c r="W47" s="3522"/>
      <c r="X47" s="384"/>
      <c r="Y47" s="384"/>
      <c r="Z47" s="384"/>
      <c r="AA47" s="384"/>
      <c r="AB47" s="384"/>
      <c r="AC47" s="384"/>
    </row>
    <row r="48" spans="1:29" ht="15" thickBot="1">
      <c r="A48" s="426" t="s">
        <v>1878</v>
      </c>
      <c r="B48" s="427"/>
      <c r="C48" s="428" t="e">
        <f>R48</f>
        <v>#DIV/0!</v>
      </c>
      <c r="D48" s="428"/>
      <c r="E48" s="428"/>
      <c r="F48" s="428"/>
      <c r="G48" s="428"/>
      <c r="H48" s="428"/>
      <c r="I48" s="428"/>
      <c r="J48" s="428"/>
      <c r="K48" s="674"/>
      <c r="L48" s="2494"/>
      <c r="M48" s="2487"/>
      <c r="N48" s="2487"/>
      <c r="O48" s="2487"/>
      <c r="P48" s="3510" t="str">
        <f>A48</f>
        <v>估价对象XX用房的比较价值（楼面单价，元/平方米）</v>
      </c>
      <c r="Q48" s="3511"/>
      <c r="R48" s="3523" t="e">
        <f>ROUND(IF(D47="简单平均",AVERAGE(R47:W47),R47*F47+T47*H47+V47*J47),0)</f>
        <v>#DIV/0!</v>
      </c>
      <c r="S48" s="3523"/>
      <c r="T48" s="3523"/>
      <c r="U48" s="3523"/>
      <c r="V48" s="3523"/>
      <c r="W48" s="3523"/>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429" t="s">
        <v>1885</v>
      </c>
      <c r="H55" s="3524"/>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118791.89</v>
      </c>
      <c r="F56" s="832" t="e">
        <f t="shared" ref="F56:F64" si="15">ROUND(B56*E56/10000,0)</f>
        <v>#DIV/0!</v>
      </c>
      <c r="G56" s="3411"/>
      <c r="H56" s="3412"/>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0.6</v>
      </c>
      <c r="D57" s="890">
        <v>0.25</v>
      </c>
      <c r="E57" s="613"/>
      <c r="F57" s="832" t="e">
        <f t="shared" si="15"/>
        <v>#DIV/0!</v>
      </c>
      <c r="G57" s="2750" t="s">
        <v>1890</v>
      </c>
      <c r="H57" s="833" t="str">
        <f>项目基本情况!B37</f>
        <v>五级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0.3</v>
      </c>
      <c r="D58" s="890">
        <v>0.25</v>
      </c>
      <c r="E58" s="613"/>
      <c r="F58" s="832" t="e">
        <f t="shared" si="15"/>
        <v>#DIV/0!</v>
      </c>
      <c r="G58" s="2751"/>
      <c r="H58" s="833" t="str">
        <f>项目基本情况!B37</f>
        <v>五级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0.25</v>
      </c>
      <c r="D59" s="890">
        <v>0.25</v>
      </c>
      <c r="E59" s="613"/>
      <c r="F59" s="832" t="e">
        <f t="shared" si="15"/>
        <v>#DIV/0!</v>
      </c>
      <c r="G59" s="2751"/>
      <c r="H59" s="833" t="str">
        <f>项目基本情况!B37</f>
        <v>五级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0.25</v>
      </c>
      <c r="D60" s="890">
        <v>0.25</v>
      </c>
      <c r="E60" s="208">
        <f>'数据-汇总表'!E11</f>
        <v>58162.89</v>
      </c>
      <c r="F60" s="832" t="e">
        <f t="shared" si="15"/>
        <v>#DIV/0!</v>
      </c>
      <c r="G60" s="1834" t="s">
        <v>1894</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0.25</v>
      </c>
      <c r="D61" s="890">
        <v>0.25</v>
      </c>
      <c r="E61" s="208">
        <f>'数据-汇总表'!E12</f>
        <v>0</v>
      </c>
      <c r="F61" s="832" t="e">
        <f t="shared" si="15"/>
        <v>#DIV/0!</v>
      </c>
      <c r="G61" s="838" t="s">
        <v>1896</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0.15</v>
      </c>
      <c r="D63" s="890">
        <v>0.25</v>
      </c>
      <c r="E63" s="208">
        <f>'数据-汇总表'!E14</f>
        <v>0</v>
      </c>
      <c r="F63" s="832" t="e">
        <f t="shared" si="15"/>
        <v>#DIV/0!</v>
      </c>
      <c r="G63" s="1834" t="s">
        <v>1890</v>
      </c>
      <c r="H63" s="833" t="str">
        <f>项目基本情况!B37</f>
        <v>五级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4" thickBot="1">
      <c r="A64" s="612" t="s">
        <v>1900</v>
      </c>
      <c r="B64" s="209" t="e">
        <f t="shared" si="17"/>
        <v>#DIV/0!</v>
      </c>
      <c r="C64" s="162">
        <f t="shared" si="16"/>
        <v>0.15</v>
      </c>
      <c r="D64" s="890">
        <v>0.25</v>
      </c>
      <c r="E64" s="208">
        <f>'数据-汇总表'!E15</f>
        <v>0</v>
      </c>
      <c r="F64" s="832" t="e">
        <f t="shared" si="15"/>
        <v>#DIV/0!</v>
      </c>
      <c r="G64" s="1835" t="s">
        <v>1894</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1901</v>
      </c>
      <c r="B65" s="615" t="s">
        <v>22</v>
      </c>
      <c r="C65" s="615" t="s">
        <v>23</v>
      </c>
      <c r="D65" s="615" t="s">
        <v>392</v>
      </c>
      <c r="E65" s="615">
        <f>IF(B46="楼面地价",SUM(E56:E64),'数据-汇总表'!D3)</f>
        <v>176954.78</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7"/>
      <c r="Q67" s="2487"/>
      <c r="R67" s="2487"/>
      <c r="S67" s="2487"/>
      <c r="T67" s="2487"/>
      <c r="U67" s="2487"/>
      <c r="V67" s="2487"/>
      <c r="W67" s="2487"/>
      <c r="X67" s="2487"/>
      <c r="Y67" s="2487"/>
      <c r="Z67" s="2487"/>
      <c r="AA67" s="2487"/>
      <c r="AB67" s="2487"/>
      <c r="AC67" s="2487"/>
    </row>
    <row r="68" spans="1:29" ht="22.2"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4.4">
      <c r="A69" s="1629" t="s">
        <v>1902</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4.4">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ht="14.4">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4.4"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9.4"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4.4"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4.4"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4.4"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4.4"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4.4"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4.4"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4.4"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ht="14.4">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29.4"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9.4"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4.4"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4.4"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4.4"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4.4"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4.4"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14.4">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4.4"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4.4"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4.4"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4.4"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4.4"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4.4"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29" t="s">
        <v>1768</v>
      </c>
      <c r="D4" s="3430"/>
      <c r="E4" s="3431" t="s">
        <v>1769</v>
      </c>
      <c r="F4" s="3432"/>
      <c r="G4" s="3429" t="s">
        <v>1770</v>
      </c>
      <c r="H4" s="3430"/>
      <c r="I4" s="3429" t="s">
        <v>1771</v>
      </c>
      <c r="J4" s="3430"/>
      <c r="K4" s="536" t="s">
        <v>1772</v>
      </c>
      <c r="L4" s="2486"/>
      <c r="M4" s="2487"/>
      <c r="N4" s="2487"/>
      <c r="O4" s="2487"/>
      <c r="P4" s="3514" t="s">
        <v>1773</v>
      </c>
      <c r="Q4" s="3515"/>
      <c r="R4" s="3518" t="s">
        <v>1769</v>
      </c>
      <c r="S4" s="3519"/>
      <c r="T4" s="3518" t="s">
        <v>1770</v>
      </c>
      <c r="U4" s="3519"/>
      <c r="V4" s="3413" t="s">
        <v>1771</v>
      </c>
      <c r="W4" s="3413"/>
      <c r="X4" s="1264"/>
      <c r="Y4" s="3518" t="s">
        <v>1773</v>
      </c>
      <c r="Z4" s="3519"/>
      <c r="AA4" s="3513" t="s">
        <v>1769</v>
      </c>
      <c r="AB4" s="3458" t="s">
        <v>1770</v>
      </c>
      <c r="AC4" s="3513" t="s">
        <v>1771</v>
      </c>
    </row>
    <row r="5" spans="1:29">
      <c r="A5" s="347"/>
      <c r="B5" s="348"/>
      <c r="C5" s="3448" t="s">
        <v>1671</v>
      </c>
      <c r="D5" s="3449"/>
      <c r="E5" s="3460" t="s">
        <v>1672</v>
      </c>
      <c r="F5" s="3461"/>
      <c r="G5" s="3448" t="s">
        <v>1673</v>
      </c>
      <c r="H5" s="3449"/>
      <c r="I5" s="3448" t="s">
        <v>1674</v>
      </c>
      <c r="J5" s="3449"/>
      <c r="K5" s="536"/>
      <c r="L5" s="2486"/>
      <c r="M5" s="2487"/>
      <c r="N5" s="2487"/>
      <c r="O5" s="2487"/>
      <c r="P5" s="3516"/>
      <c r="Q5" s="3436"/>
      <c r="R5" s="3441"/>
      <c r="S5" s="3442"/>
      <c r="T5" s="3441"/>
      <c r="U5" s="3442"/>
      <c r="V5" s="3413"/>
      <c r="W5" s="3413"/>
      <c r="X5" s="1264"/>
      <c r="Y5" s="3441"/>
      <c r="Z5" s="3442"/>
      <c r="AA5" s="3458"/>
      <c r="AB5" s="3458"/>
      <c r="AC5" s="3458"/>
    </row>
    <row r="6" spans="1:29" ht="15" thickBot="1">
      <c r="A6" s="349"/>
      <c r="B6" s="350"/>
      <c r="C6" s="3525" t="s">
        <v>1917</v>
      </c>
      <c r="D6" s="3526"/>
      <c r="E6" s="3527" t="s">
        <v>1917</v>
      </c>
      <c r="F6" s="3528"/>
      <c r="G6" s="3525" t="s">
        <v>1917</v>
      </c>
      <c r="H6" s="3526"/>
      <c r="I6" s="3525" t="s">
        <v>1917</v>
      </c>
      <c r="J6" s="3526"/>
      <c r="K6" s="536" t="s">
        <v>1676</v>
      </c>
      <c r="L6" s="2486"/>
      <c r="M6" s="2487"/>
      <c r="N6" s="2487"/>
      <c r="O6" s="2487"/>
      <c r="P6" s="3517"/>
      <c r="Q6" s="3438"/>
      <c r="R6" s="3441"/>
      <c r="S6" s="3442"/>
      <c r="T6" s="3443"/>
      <c r="U6" s="3444"/>
      <c r="V6" s="3413"/>
      <c r="W6" s="3413"/>
      <c r="X6" s="1264"/>
      <c r="Y6" s="3443"/>
      <c r="Z6" s="3444"/>
      <c r="AA6" s="3459"/>
      <c r="AB6" s="3459"/>
      <c r="AC6" s="3459"/>
    </row>
    <row r="7" spans="1:29" s="102" customFormat="1" ht="15" thickBot="1">
      <c r="A7" s="351" t="s">
        <v>1677</v>
      </c>
      <c r="B7" s="352"/>
      <c r="C7" s="353">
        <f>'数据-取费表'!B2</f>
        <v>45749</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52" t="s">
        <v>1678</v>
      </c>
      <c r="Q7" s="3453"/>
      <c r="R7" s="663" t="s">
        <v>14</v>
      </c>
      <c r="S7" s="664">
        <f t="shared" ref="S7:S15" si="0">F7</f>
        <v>0</v>
      </c>
      <c r="T7" s="663" t="s">
        <v>14</v>
      </c>
      <c r="U7" s="664">
        <f t="shared" ref="U7:U15" si="1">H7</f>
        <v>0</v>
      </c>
      <c r="V7" s="663" t="s">
        <v>14</v>
      </c>
      <c r="W7" s="664">
        <f t="shared" ref="W7:W15" si="2">J7</f>
        <v>0</v>
      </c>
      <c r="X7" s="665"/>
      <c r="Y7" s="3452" t="s">
        <v>1678</v>
      </c>
      <c r="Z7" s="3451"/>
      <c r="AA7" s="50" t="e">
        <f>D7/F7</f>
        <v>#DIV/0!</v>
      </c>
      <c r="AB7" s="50" t="e">
        <f>D7/H7</f>
        <v>#DIV/0!</v>
      </c>
      <c r="AC7" s="50" t="e">
        <f>D7/J7</f>
        <v>#DIV/0!</v>
      </c>
    </row>
    <row r="8" spans="1:29" s="102" customFormat="1" ht="1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52" t="s">
        <v>1681</v>
      </c>
      <c r="Q8" s="3451"/>
      <c r="R8" s="663" t="s">
        <v>14</v>
      </c>
      <c r="S8" s="664">
        <f t="shared" si="0"/>
        <v>0</v>
      </c>
      <c r="T8" s="663" t="s">
        <v>14</v>
      </c>
      <c r="U8" s="664">
        <f t="shared" si="1"/>
        <v>0</v>
      </c>
      <c r="V8" s="663" t="s">
        <v>14</v>
      </c>
      <c r="W8" s="664">
        <f t="shared" si="2"/>
        <v>0</v>
      </c>
      <c r="X8" s="665"/>
      <c r="Y8" s="3452" t="s">
        <v>1681</v>
      </c>
      <c r="Z8" s="3451"/>
      <c r="AA8" s="50" t="e">
        <f t="shared" ref="AA8:AA40" si="3">D8/F8</f>
        <v>#DIV/0!</v>
      </c>
      <c r="AB8" s="50" t="e">
        <f t="shared" ref="AB8:AB40" si="4">D8/H8</f>
        <v>#DIV/0!</v>
      </c>
      <c r="AC8" s="50" t="e">
        <f t="shared" ref="AC8:AC40" si="5">D8/J8</f>
        <v>#DIV/0!</v>
      </c>
    </row>
    <row r="9" spans="1:29" s="102" customFormat="1" ht="14.4">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2" t="s">
        <v>1684</v>
      </c>
      <c r="Q9" s="529" t="str">
        <f t="shared" ref="Q9:Q15" si="6">B9</f>
        <v>用途</v>
      </c>
      <c r="R9" s="663" t="s">
        <v>14</v>
      </c>
      <c r="S9" s="664">
        <f t="shared" si="0"/>
        <v>100</v>
      </c>
      <c r="T9" s="663" t="s">
        <v>14</v>
      </c>
      <c r="U9" s="664">
        <f t="shared" si="1"/>
        <v>100</v>
      </c>
      <c r="V9" s="663" t="s">
        <v>14</v>
      </c>
      <c r="W9" s="664">
        <f t="shared" si="2"/>
        <v>100</v>
      </c>
      <c r="X9" s="665"/>
      <c r="Y9" s="3318"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370"/>
      <c r="F10" s="118">
        <f>ROUND(100/'数据-取费表'!G16,0)</f>
        <v>112</v>
      </c>
      <c r="G10" s="370"/>
      <c r="H10" s="118">
        <f>ROUND(100/'数据-取费表'!G16,0)</f>
        <v>112</v>
      </c>
      <c r="I10" s="370"/>
      <c r="J10" s="118">
        <f>ROUND(100/'数据-取费表'!G16,0)</f>
        <v>112</v>
      </c>
      <c r="K10" s="591"/>
      <c r="L10" s="2489"/>
      <c r="M10" s="2490"/>
      <c r="N10" s="2490"/>
      <c r="O10" s="2541"/>
      <c r="P10" s="3412"/>
      <c r="Q10" s="529" t="str">
        <f t="shared" si="6"/>
        <v>土地使用年限（年）</v>
      </c>
      <c r="R10" s="663" t="s">
        <v>14</v>
      </c>
      <c r="S10" s="664">
        <f t="shared" si="0"/>
        <v>112</v>
      </c>
      <c r="T10" s="663" t="s">
        <v>14</v>
      </c>
      <c r="U10" s="664">
        <f t="shared" si="1"/>
        <v>112</v>
      </c>
      <c r="V10" s="663" t="s">
        <v>14</v>
      </c>
      <c r="W10" s="664">
        <f t="shared" si="2"/>
        <v>112</v>
      </c>
      <c r="X10" s="665"/>
      <c r="Y10" s="3318"/>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12"/>
      <c r="Q11" s="529"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12"/>
      <c r="Q12" s="529">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12"/>
      <c r="Q14" s="529">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69">
      <c r="A15" s="378" t="s">
        <v>1688</v>
      </c>
      <c r="B15" s="553" t="s">
        <v>1918</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9" t="s">
        <v>1689</v>
      </c>
      <c r="Q15" s="1262" t="str">
        <f t="shared" si="6"/>
        <v>产业集聚程度</v>
      </c>
      <c r="R15" s="666" t="s">
        <v>14</v>
      </c>
      <c r="S15" s="667">
        <f t="shared" si="0"/>
        <v>100</v>
      </c>
      <c r="T15" s="666" t="s">
        <v>14</v>
      </c>
      <c r="U15" s="667">
        <f t="shared" si="1"/>
        <v>100</v>
      </c>
      <c r="V15" s="666" t="s">
        <v>14</v>
      </c>
      <c r="W15" s="667">
        <f t="shared" si="2"/>
        <v>100</v>
      </c>
      <c r="X15" s="1264"/>
      <c r="Y15" s="3419"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20"/>
      <c r="Q16" s="1262"/>
      <c r="R16" s="666"/>
      <c r="S16" s="667"/>
      <c r="T16" s="666"/>
      <c r="U16" s="667"/>
      <c r="V16" s="666"/>
      <c r="W16" s="667"/>
      <c r="X16" s="1264"/>
      <c r="Y16" s="3420"/>
      <c r="Z16" s="1263"/>
      <c r="AA16" s="1263">
        <v>1</v>
      </c>
      <c r="AB16" s="1263">
        <v>1</v>
      </c>
      <c r="AC16" s="1263">
        <v>1</v>
      </c>
    </row>
    <row r="17" spans="1:29" ht="96.6">
      <c r="A17" s="366"/>
      <c r="B17" s="555" t="s">
        <v>1831</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20"/>
      <c r="Q17" s="1262" t="str">
        <f>B17</f>
        <v>交通便捷度</v>
      </c>
      <c r="R17" s="666" t="s">
        <v>14</v>
      </c>
      <c r="S17" s="667">
        <f>F17</f>
        <v>100</v>
      </c>
      <c r="T17" s="666" t="s">
        <v>14</v>
      </c>
      <c r="U17" s="667">
        <f>H17</f>
        <v>100</v>
      </c>
      <c r="V17" s="666" t="s">
        <v>14</v>
      </c>
      <c r="W17" s="667">
        <f>J17</f>
        <v>100</v>
      </c>
      <c r="X17" s="1264"/>
      <c r="Y17" s="342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20"/>
      <c r="Q18" s="1262"/>
      <c r="R18" s="666"/>
      <c r="S18" s="667"/>
      <c r="T18" s="666"/>
      <c r="U18" s="667"/>
      <c r="V18" s="666"/>
      <c r="W18" s="667"/>
      <c r="X18" s="1264"/>
      <c r="Y18" s="3420"/>
      <c r="Z18" s="1263"/>
      <c r="AA18" s="1263">
        <v>1</v>
      </c>
      <c r="AB18" s="1263">
        <v>1</v>
      </c>
      <c r="AC18" s="1263">
        <v>1</v>
      </c>
    </row>
    <row r="19" spans="1:29" ht="28.8">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20"/>
      <c r="Q19" s="1262" t="str">
        <f t="shared" ref="Q19:Q33" si="8">B19</f>
        <v>区域土地利用方向</v>
      </c>
      <c r="R19" s="666" t="s">
        <v>14</v>
      </c>
      <c r="S19" s="667">
        <f>F19</f>
        <v>100</v>
      </c>
      <c r="T19" s="666" t="s">
        <v>14</v>
      </c>
      <c r="U19" s="667">
        <f>H19</f>
        <v>100</v>
      </c>
      <c r="V19" s="666" t="s">
        <v>14</v>
      </c>
      <c r="W19" s="667">
        <f>J19</f>
        <v>100</v>
      </c>
      <c r="X19" s="1264"/>
      <c r="Y19" s="342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20"/>
      <c r="Q20" s="1262"/>
      <c r="R20" s="666"/>
      <c r="S20" s="667"/>
      <c r="T20" s="666"/>
      <c r="U20" s="667"/>
      <c r="V20" s="666"/>
      <c r="W20" s="667"/>
      <c r="X20" s="1264"/>
      <c r="Y20" s="3420"/>
      <c r="Z20" s="1263"/>
      <c r="AA20" s="1263"/>
      <c r="AB20" s="1263"/>
      <c r="AC20" s="1263"/>
    </row>
    <row r="21" spans="1:29" ht="82.8">
      <c r="A21" s="347"/>
      <c r="B21" s="555" t="s">
        <v>1919</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20"/>
      <c r="Q21" s="1262" t="str">
        <f t="shared" si="8"/>
        <v>环境状况</v>
      </c>
      <c r="R21" s="666" t="s">
        <v>14</v>
      </c>
      <c r="S21" s="667">
        <f>F21</f>
        <v>100</v>
      </c>
      <c r="T21" s="666" t="s">
        <v>14</v>
      </c>
      <c r="U21" s="667">
        <f>H21</f>
        <v>100</v>
      </c>
      <c r="V21" s="666" t="s">
        <v>14</v>
      </c>
      <c r="W21" s="667">
        <f>J21</f>
        <v>100</v>
      </c>
      <c r="X21" s="1264"/>
      <c r="Y21" s="342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20"/>
      <c r="Q22" s="1262"/>
      <c r="R22" s="666"/>
      <c r="S22" s="667"/>
      <c r="T22" s="666"/>
      <c r="U22" s="667"/>
      <c r="V22" s="666"/>
      <c r="W22" s="667"/>
      <c r="X22" s="1264"/>
      <c r="Y22" s="3420"/>
      <c r="Z22" s="1263"/>
      <c r="AA22" s="1263">
        <v>1</v>
      </c>
      <c r="AB22" s="1263">
        <v>1</v>
      </c>
      <c r="AC22" s="1263">
        <v>1</v>
      </c>
    </row>
    <row r="23" spans="1:29" s="102" customFormat="1" ht="41.4">
      <c r="A23" s="442"/>
      <c r="B23" s="556" t="s">
        <v>1776</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20"/>
      <c r="Q23" s="529" t="str">
        <f t="shared" si="8"/>
        <v>公共配套设施</v>
      </c>
      <c r="R23" s="663" t="s">
        <v>14</v>
      </c>
      <c r="S23" s="664">
        <f>F23</f>
        <v>100</v>
      </c>
      <c r="T23" s="663" t="s">
        <v>14</v>
      </c>
      <c r="U23" s="664">
        <f>H23</f>
        <v>100</v>
      </c>
      <c r="V23" s="663" t="s">
        <v>14</v>
      </c>
      <c r="W23" s="664">
        <f>J23</f>
        <v>100</v>
      </c>
      <c r="X23" s="665"/>
      <c r="Y23" s="3420"/>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20"/>
      <c r="Q24" s="529"/>
      <c r="R24" s="663"/>
      <c r="S24" s="664"/>
      <c r="T24" s="663"/>
      <c r="U24" s="664"/>
      <c r="V24" s="663"/>
      <c r="W24" s="664"/>
      <c r="X24" s="665"/>
      <c r="Y24" s="3420"/>
      <c r="Z24" s="50"/>
      <c r="AA24" s="50">
        <v>1</v>
      </c>
      <c r="AB24" s="50">
        <v>1</v>
      </c>
      <c r="AC24" s="50">
        <v>1</v>
      </c>
    </row>
    <row r="25" spans="1:29" s="102" customFormat="1" ht="41.4">
      <c r="A25" s="442"/>
      <c r="B25" s="556" t="s">
        <v>1777</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20"/>
      <c r="Q25" s="529" t="str">
        <f t="shared" ref="Q25" si="9">B25</f>
        <v>基础设施水平</v>
      </c>
      <c r="R25" s="663" t="s">
        <v>14</v>
      </c>
      <c r="S25" s="664">
        <f>F25</f>
        <v>100</v>
      </c>
      <c r="T25" s="663" t="s">
        <v>14</v>
      </c>
      <c r="U25" s="664">
        <f>H25</f>
        <v>100</v>
      </c>
      <c r="V25" s="663" t="s">
        <v>14</v>
      </c>
      <c r="W25" s="664">
        <f>J25</f>
        <v>100</v>
      </c>
      <c r="X25" s="665"/>
      <c r="Y25" s="3420"/>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20"/>
      <c r="Q26" s="529"/>
      <c r="R26" s="663"/>
      <c r="S26" s="664"/>
      <c r="T26" s="663"/>
      <c r="U26" s="664"/>
      <c r="V26" s="663"/>
      <c r="W26" s="664"/>
      <c r="X26" s="665"/>
      <c r="Y26" s="3420"/>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2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0"/>
      <c r="Z27" s="1263" t="str">
        <f t="shared" ref="Z27:Z40" si="13">Q27</f>
        <v>临街状况</v>
      </c>
      <c r="AA27" s="1263">
        <f t="shared" si="3"/>
        <v>1</v>
      </c>
      <c r="AB27" s="1263">
        <f t="shared" si="4"/>
        <v>1</v>
      </c>
      <c r="AC27" s="1263">
        <f t="shared" si="5"/>
        <v>1</v>
      </c>
    </row>
    <row r="28" spans="1:29" ht="28.8">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20"/>
      <c r="Q28" s="1262" t="str">
        <f t="shared" si="8"/>
        <v>毗邻道路的类型与等级</v>
      </c>
      <c r="R28" s="666" t="s">
        <v>14</v>
      </c>
      <c r="S28" s="667">
        <f t="shared" si="10"/>
        <v>100</v>
      </c>
      <c r="T28" s="666" t="s">
        <v>14</v>
      </c>
      <c r="U28" s="667">
        <f t="shared" si="11"/>
        <v>100</v>
      </c>
      <c r="V28" s="666" t="s">
        <v>14</v>
      </c>
      <c r="W28" s="667">
        <f t="shared" si="12"/>
        <v>100</v>
      </c>
      <c r="X28" s="1264"/>
      <c r="Y28" s="342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20"/>
      <c r="Q29" s="1262"/>
      <c r="R29" s="666"/>
      <c r="S29" s="667"/>
      <c r="T29" s="666"/>
      <c r="U29" s="667"/>
      <c r="V29" s="666"/>
      <c r="W29" s="667"/>
      <c r="X29" s="1264"/>
      <c r="Y29" s="3420"/>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20"/>
      <c r="Q30" s="1262" t="str">
        <f t="shared" si="8"/>
        <v>土地级别</v>
      </c>
      <c r="R30" s="666" t="s">
        <v>14</v>
      </c>
      <c r="S30" s="667">
        <f t="shared" si="10"/>
        <v>100</v>
      </c>
      <c r="T30" s="666" t="s">
        <v>14</v>
      </c>
      <c r="U30" s="667">
        <f t="shared" si="11"/>
        <v>100</v>
      </c>
      <c r="V30" s="666" t="s">
        <v>14</v>
      </c>
      <c r="W30" s="667">
        <f t="shared" si="12"/>
        <v>100</v>
      </c>
      <c r="X30" s="1264"/>
      <c r="Y30" s="342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20"/>
      <c r="Q31" s="1262">
        <f t="shared" si="8"/>
        <v>111</v>
      </c>
      <c r="R31" s="666" t="s">
        <v>14</v>
      </c>
      <c r="S31" s="667">
        <f t="shared" si="10"/>
        <v>100</v>
      </c>
      <c r="T31" s="666" t="s">
        <v>14</v>
      </c>
      <c r="U31" s="667">
        <f t="shared" si="11"/>
        <v>100</v>
      </c>
      <c r="V31" s="666" t="s">
        <v>14</v>
      </c>
      <c r="W31" s="667">
        <f t="shared" si="12"/>
        <v>100</v>
      </c>
      <c r="X31" s="1264"/>
      <c r="Y31" s="342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520" t="s">
        <v>1694</v>
      </c>
      <c r="Q32" s="1262">
        <f t="shared" si="8"/>
        <v>111</v>
      </c>
      <c r="R32" s="666" t="s">
        <v>14</v>
      </c>
      <c r="S32" s="667">
        <f t="shared" si="10"/>
        <v>100</v>
      </c>
      <c r="T32" s="666" t="s">
        <v>14</v>
      </c>
      <c r="U32" s="667">
        <f t="shared" si="11"/>
        <v>100</v>
      </c>
      <c r="V32" s="666" t="s">
        <v>14</v>
      </c>
      <c r="W32" s="667">
        <f t="shared" si="12"/>
        <v>100</v>
      </c>
      <c r="X32" s="1264"/>
      <c r="Y32" s="3424" t="s">
        <v>1694</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24"/>
      <c r="Q33" s="1262">
        <f t="shared" si="8"/>
        <v>111</v>
      </c>
      <c r="R33" s="668" t="s">
        <v>14</v>
      </c>
      <c r="S33" s="669">
        <f t="shared" si="10"/>
        <v>100</v>
      </c>
      <c r="T33" s="668" t="s">
        <v>14</v>
      </c>
      <c r="U33" s="669">
        <f t="shared" si="11"/>
        <v>100</v>
      </c>
      <c r="V33" s="668" t="s">
        <v>14</v>
      </c>
      <c r="W33" s="669">
        <f t="shared" si="12"/>
        <v>100</v>
      </c>
      <c r="X33" s="670"/>
      <c r="Y33" s="3424"/>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24"/>
      <c r="Q34" s="1262" t="str">
        <f>B34</f>
        <v>宗地面积</v>
      </c>
      <c r="R34" s="666" t="s">
        <v>14</v>
      </c>
      <c r="S34" s="667" t="e">
        <f t="shared" si="10"/>
        <v>#N/A</v>
      </c>
      <c r="T34" s="666" t="s">
        <v>14</v>
      </c>
      <c r="U34" s="667" t="e">
        <f t="shared" si="11"/>
        <v>#N/A</v>
      </c>
      <c r="V34" s="666" t="s">
        <v>14</v>
      </c>
      <c r="W34" s="667" t="e">
        <f t="shared" si="12"/>
        <v>#N/A</v>
      </c>
      <c r="X34" s="1264"/>
      <c r="Y34" s="3424"/>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24"/>
      <c r="Q35" s="1262" t="str">
        <f t="shared" ref="Q35:Q40" si="14">B35</f>
        <v>宗地形状</v>
      </c>
      <c r="R35" s="666" t="s">
        <v>14</v>
      </c>
      <c r="S35" s="667">
        <f t="shared" si="10"/>
        <v>100</v>
      </c>
      <c r="T35" s="666" t="s">
        <v>14</v>
      </c>
      <c r="U35" s="667">
        <f t="shared" si="11"/>
        <v>100</v>
      </c>
      <c r="V35" s="666" t="s">
        <v>14</v>
      </c>
      <c r="W35" s="667">
        <f t="shared" si="12"/>
        <v>100</v>
      </c>
      <c r="X35" s="1264"/>
      <c r="Y35" s="3424"/>
      <c r="Z35" s="1263" t="str">
        <f t="shared" si="13"/>
        <v>宗地形状</v>
      </c>
      <c r="AA35" s="1263">
        <f t="shared" si="3"/>
        <v>1</v>
      </c>
      <c r="AB35" s="1263">
        <f t="shared" si="4"/>
        <v>1</v>
      </c>
      <c r="AC35" s="1263">
        <f t="shared" si="5"/>
        <v>1</v>
      </c>
    </row>
    <row r="36" spans="1:31" s="102"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24"/>
      <c r="Q36" s="1262" t="str">
        <f t="shared" si="14"/>
        <v>宗地开发程度</v>
      </c>
      <c r="R36" s="663" t="s">
        <v>14</v>
      </c>
      <c r="S36" s="664">
        <f t="shared" si="10"/>
        <v>100</v>
      </c>
      <c r="T36" s="663" t="s">
        <v>14</v>
      </c>
      <c r="U36" s="664">
        <f t="shared" si="11"/>
        <v>100</v>
      </c>
      <c r="V36" s="663" t="s">
        <v>14</v>
      </c>
      <c r="W36" s="664">
        <f t="shared" si="12"/>
        <v>100</v>
      </c>
      <c r="X36" s="665"/>
      <c r="Y36" s="3424"/>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24" t="s">
        <v>1694</v>
      </c>
      <c r="Q37" s="1262" t="str">
        <f t="shared" si="14"/>
        <v>工程地质条件</v>
      </c>
      <c r="R37" s="666" t="s">
        <v>14</v>
      </c>
      <c r="S37" s="667">
        <f t="shared" si="10"/>
        <v>100</v>
      </c>
      <c r="T37" s="666" t="s">
        <v>14</v>
      </c>
      <c r="U37" s="667">
        <f t="shared" si="11"/>
        <v>100</v>
      </c>
      <c r="V37" s="666" t="s">
        <v>14</v>
      </c>
      <c r="W37" s="667">
        <f t="shared" si="12"/>
        <v>100</v>
      </c>
      <c r="X37" s="1264"/>
      <c r="Y37" s="3424"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24"/>
      <c r="Q38" s="1262">
        <f t="shared" si="14"/>
        <v>111</v>
      </c>
      <c r="R38" s="666" t="s">
        <v>14</v>
      </c>
      <c r="S38" s="667">
        <f t="shared" si="10"/>
        <v>100</v>
      </c>
      <c r="T38" s="666" t="s">
        <v>14</v>
      </c>
      <c r="U38" s="667">
        <f t="shared" si="11"/>
        <v>100</v>
      </c>
      <c r="V38" s="666" t="s">
        <v>14</v>
      </c>
      <c r="W38" s="667">
        <f t="shared" si="12"/>
        <v>100</v>
      </c>
      <c r="X38" s="1264"/>
      <c r="Y38" s="342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24"/>
      <c r="Q39" s="1262">
        <f t="shared" si="14"/>
        <v>111</v>
      </c>
      <c r="R39" s="666" t="s">
        <v>14</v>
      </c>
      <c r="S39" s="667">
        <f t="shared" si="10"/>
        <v>100</v>
      </c>
      <c r="T39" s="666" t="s">
        <v>14</v>
      </c>
      <c r="U39" s="667">
        <f t="shared" si="11"/>
        <v>100</v>
      </c>
      <c r="V39" s="666" t="s">
        <v>14</v>
      </c>
      <c r="W39" s="667">
        <f t="shared" si="12"/>
        <v>100</v>
      </c>
      <c r="X39" s="1264"/>
      <c r="Y39" s="3424"/>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24"/>
      <c r="Q40" s="1262">
        <f t="shared" si="14"/>
        <v>111</v>
      </c>
      <c r="R40" s="668" t="s">
        <v>14</v>
      </c>
      <c r="S40" s="669">
        <f t="shared" si="10"/>
        <v>100</v>
      </c>
      <c r="T40" s="668" t="s">
        <v>14</v>
      </c>
      <c r="U40" s="669">
        <f t="shared" si="11"/>
        <v>100</v>
      </c>
      <c r="V40" s="668" t="s">
        <v>14</v>
      </c>
      <c r="W40" s="669">
        <f t="shared" si="12"/>
        <v>100</v>
      </c>
      <c r="X40" s="670"/>
      <c r="Y40" s="3424"/>
      <c r="Z40" s="671">
        <f t="shared" si="13"/>
        <v>111</v>
      </c>
      <c r="AA40" s="1263">
        <f t="shared" si="3"/>
        <v>1</v>
      </c>
      <c r="AB40" s="1263">
        <f t="shared" si="4"/>
        <v>1</v>
      </c>
      <c r="AC40" s="1263">
        <f t="shared" si="5"/>
        <v>1</v>
      </c>
    </row>
    <row r="41" spans="1:31" ht="14.4">
      <c r="A41" s="415" t="s">
        <v>1842</v>
      </c>
      <c r="B41" s="1829" t="s">
        <v>1920</v>
      </c>
      <c r="C41" s="601" t="s">
        <v>0</v>
      </c>
      <c r="D41" s="417"/>
      <c r="E41" s="418"/>
      <c r="F41" s="419"/>
      <c r="G41" s="420"/>
      <c r="H41" s="421"/>
      <c r="I41" s="418"/>
      <c r="J41" s="421"/>
      <c r="K41" s="673"/>
      <c r="L41" s="2494"/>
      <c r="M41" s="2487"/>
      <c r="N41" s="2487"/>
      <c r="O41" s="2487"/>
      <c r="P41" s="3412" t="str">
        <f>A41</f>
        <v>成交单价</v>
      </c>
      <c r="Q41" s="3412"/>
      <c r="R41" s="3413">
        <f>E41</f>
        <v>0</v>
      </c>
      <c r="S41" s="3413"/>
      <c r="T41" s="3413">
        <f>G41</f>
        <v>0</v>
      </c>
      <c r="U41" s="3413"/>
      <c r="V41" s="3413">
        <f>I41</f>
        <v>0</v>
      </c>
      <c r="W41" s="3413"/>
      <c r="X41" s="384"/>
      <c r="Y41" s="672"/>
      <c r="Z41" s="384"/>
      <c r="AA41" s="384"/>
      <c r="AB41" s="384"/>
      <c r="AC41" s="384"/>
    </row>
    <row r="42" spans="1:31" ht="1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412" t="str">
        <f>A42</f>
        <v>比较价值（元/平方米）</v>
      </c>
      <c r="Q42" s="3412"/>
      <c r="R42" s="3522" t="e">
        <f>ROUND(PRODUCT(R41,AA7:AA40),0)</f>
        <v>#DIV/0!</v>
      </c>
      <c r="S42" s="3522"/>
      <c r="T42" s="3522" t="e">
        <f>ROUND(PRODUCT(T41,AB7:AB40),0)</f>
        <v>#DIV/0!</v>
      </c>
      <c r="U42" s="3522"/>
      <c r="V42" s="3522" t="e">
        <f>ROUND(PRODUCT(V41,AC7:AC40),0)</f>
        <v>#DIV/0!</v>
      </c>
      <c r="W42" s="3522"/>
      <c r="X42" s="384"/>
      <c r="Y42" s="384"/>
      <c r="Z42" s="384"/>
      <c r="AA42" s="384"/>
      <c r="AB42" s="384"/>
      <c r="AC42" s="384"/>
    </row>
    <row r="43" spans="1:31" ht="15" thickBot="1">
      <c r="A43" s="426" t="s">
        <v>1792</v>
      </c>
      <c r="B43" s="427"/>
      <c r="C43" s="428" t="e">
        <f>R43</f>
        <v>#DIV/0!</v>
      </c>
      <c r="D43" s="428"/>
      <c r="E43" s="428"/>
      <c r="F43" s="428"/>
      <c r="G43" s="428"/>
      <c r="H43" s="428"/>
      <c r="I43" s="428"/>
      <c r="J43" s="428"/>
      <c r="K43" s="674"/>
      <c r="L43" s="2494"/>
      <c r="M43" s="2487"/>
      <c r="N43" s="2487"/>
      <c r="O43" s="2487"/>
      <c r="P43" s="3510" t="str">
        <f>A43</f>
        <v>估价对象XX用房的比较价值（楼面单价，元/平方米）</v>
      </c>
      <c r="Q43" s="3511"/>
      <c r="R43" s="3523" t="e">
        <f>ROUND(IF(D42="简单平均",AVERAGE(R42:W42),R42*F42+T42*H42+V42*J42),0)</f>
        <v>#DIV/0!</v>
      </c>
      <c r="S43" s="3523"/>
      <c r="T43" s="3523"/>
      <c r="U43" s="3523"/>
      <c r="V43" s="3523"/>
      <c r="W43" s="3523"/>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3" t="s">
        <v>1879</v>
      </c>
      <c r="B50" s="604" t="s">
        <v>1880</v>
      </c>
      <c r="C50" s="1830" t="s">
        <v>1881</v>
      </c>
      <c r="D50" s="1831" t="s">
        <v>1882</v>
      </c>
      <c r="E50" s="605" t="s">
        <v>1883</v>
      </c>
      <c r="F50" s="606" t="s">
        <v>1884</v>
      </c>
      <c r="G50" s="3429" t="s">
        <v>1885</v>
      </c>
      <c r="H50" s="3524"/>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118791.89</v>
      </c>
      <c r="F51" s="610" t="e">
        <f t="shared" ref="F51:F60" si="15">ROUND(B51*E51/10000,0)</f>
        <v>#DIV/0!</v>
      </c>
      <c r="G51" s="3411"/>
      <c r="H51" s="3412"/>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0.6</v>
      </c>
      <c r="D52" s="890">
        <v>0.25</v>
      </c>
      <c r="E52" s="613"/>
      <c r="F52" s="610" t="e">
        <f t="shared" si="15"/>
        <v>#DIV/0!</v>
      </c>
      <c r="G52" s="2750" t="s">
        <v>1890</v>
      </c>
      <c r="H52" s="833" t="str">
        <f>项目基本情况!B37</f>
        <v>五级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0.3</v>
      </c>
      <c r="D53" s="890">
        <v>0.25</v>
      </c>
      <c r="E53" s="613"/>
      <c r="F53" s="610" t="e">
        <f t="shared" si="15"/>
        <v>#DIV/0!</v>
      </c>
      <c r="G53" s="2751"/>
      <c r="H53" s="833" t="str">
        <f>项目基本情况!B37</f>
        <v>五级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0.25</v>
      </c>
      <c r="D54" s="890">
        <v>0.25</v>
      </c>
      <c r="E54" s="613"/>
      <c r="F54" s="610" t="e">
        <f t="shared" si="15"/>
        <v>#DIV/0!</v>
      </c>
      <c r="G54" s="2751"/>
      <c r="H54" s="833" t="str">
        <f>项目基本情况!B37</f>
        <v>五级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0.25</v>
      </c>
      <c r="D56" s="890">
        <v>0.25</v>
      </c>
      <c r="E56" s="208">
        <f>'数据-汇总表'!E11</f>
        <v>58162.89</v>
      </c>
      <c r="F56" s="610" t="e">
        <f t="shared" si="15"/>
        <v>#DIV/0!</v>
      </c>
      <c r="G56" s="1834" t="s">
        <v>1894</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0.25</v>
      </c>
      <c r="D57" s="890">
        <v>0.25</v>
      </c>
      <c r="E57" s="208">
        <f>'数据-汇总表'!E12</f>
        <v>0</v>
      </c>
      <c r="F57" s="610" t="e">
        <f t="shared" si="15"/>
        <v>#DIV/0!</v>
      </c>
      <c r="G57" s="838" t="s">
        <v>1896</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0.15</v>
      </c>
      <c r="D59" s="890">
        <v>0.25</v>
      </c>
      <c r="E59" s="208">
        <f>'数据-汇总表'!E14</f>
        <v>0</v>
      </c>
      <c r="F59" s="610" t="e">
        <f t="shared" si="15"/>
        <v>#DIV/0!</v>
      </c>
      <c r="G59" s="1834" t="s">
        <v>1890</v>
      </c>
      <c r="H59" s="833" t="str">
        <f>项目基本情况!B37</f>
        <v>五级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4" thickBot="1">
      <c r="A60" s="612" t="s">
        <v>1900</v>
      </c>
      <c r="B60" s="209" t="e">
        <f t="shared" si="17"/>
        <v>#DIV/0!</v>
      </c>
      <c r="C60" s="162">
        <f t="shared" si="16"/>
        <v>0.15</v>
      </c>
      <c r="D60" s="890">
        <v>0.25</v>
      </c>
      <c r="E60" s="208">
        <f>'数据-汇总表'!E15</f>
        <v>0</v>
      </c>
      <c r="F60" s="610" t="e">
        <f t="shared" si="15"/>
        <v>#DIV/0!</v>
      </c>
      <c r="G60" s="1835" t="s">
        <v>1894</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4" thickBot="1">
      <c r="A61" s="614" t="s">
        <v>1901</v>
      </c>
      <c r="B61" s="615" t="s">
        <v>22</v>
      </c>
      <c r="C61" s="615" t="s">
        <v>23</v>
      </c>
      <c r="D61" s="615" t="s">
        <v>392</v>
      </c>
      <c r="E61" s="615">
        <f>IF(B41="楼面地价",SUM(E51:E60),'数据-汇总表'!D3)</f>
        <v>49363.59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4.4">
      <c r="A65" s="1629" t="s">
        <v>1902</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4.4">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ht="14.4">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4.4"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4.4"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4.4"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4.4"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4.4"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4.4"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ht="14.4">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4.4"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4.4"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4.4"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4.4"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532" t="s">
        <v>2082</v>
      </c>
      <c r="D1" s="3533"/>
      <c r="E1" s="3533"/>
      <c r="F1" s="3533"/>
      <c r="G1" s="3533"/>
      <c r="H1" s="3533"/>
      <c r="I1" s="3533"/>
      <c r="J1" s="3533"/>
      <c r="K1" s="3533"/>
      <c r="L1" s="3533"/>
      <c r="M1" s="3533"/>
      <c r="N1" s="3533"/>
      <c r="O1" s="3533"/>
      <c r="P1" s="3533"/>
      <c r="Q1" s="3533"/>
      <c r="R1" s="3533"/>
      <c r="S1" s="3534"/>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2"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6">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529" t="s">
        <v>27</v>
      </c>
      <c r="D22" s="3530"/>
      <c r="E22" s="3530"/>
      <c r="F22" s="3530"/>
      <c r="G22" s="3530"/>
      <c r="H22" s="3530"/>
      <c r="I22" s="3530"/>
      <c r="J22" s="3530"/>
      <c r="K22" s="3530"/>
      <c r="L22" s="3530"/>
      <c r="M22" s="3530"/>
      <c r="N22" s="3530"/>
      <c r="O22" s="3530"/>
      <c r="P22" s="3530"/>
      <c r="Q22" s="353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2079</v>
      </c>
      <c r="B1" s="4"/>
      <c r="C1" s="4"/>
      <c r="D1" s="4"/>
      <c r="E1" s="4"/>
      <c r="F1" s="2544"/>
      <c r="G1" s="2544"/>
      <c r="H1" s="2544"/>
      <c r="I1" s="2544"/>
      <c r="J1" s="2544"/>
      <c r="K1" s="2544"/>
      <c r="L1" s="2544"/>
      <c r="M1" s="2544"/>
      <c r="N1" s="2544"/>
      <c r="O1" s="2544"/>
      <c r="P1" s="2544"/>
    </row>
    <row r="2" spans="1:16" ht="15.6">
      <c r="A2" s="1983" t="s">
        <v>2071</v>
      </c>
      <c r="B2" s="2387">
        <f ca="1">SUMIF(B6:B13,"&lt;&gt;#ref!",B6:B13)</f>
        <v>7704</v>
      </c>
      <c r="C2" s="1983" t="s">
        <v>2072</v>
      </c>
      <c r="D2" s="1983" t="s">
        <v>2073</v>
      </c>
      <c r="E2" s="2397">
        <f ca="1">SUMIF(E6:E13,"&lt;&gt;#ref!",E6:E13)</f>
        <v>49555.729999999996</v>
      </c>
      <c r="F2" s="2544"/>
      <c r="G2" s="2544"/>
      <c r="H2" s="2544"/>
      <c r="I2" s="2544"/>
      <c r="J2" s="2544"/>
      <c r="K2" s="2544"/>
      <c r="L2" s="2544"/>
      <c r="M2" s="2544"/>
      <c r="N2" s="2544"/>
      <c r="O2" s="2544"/>
      <c r="P2" s="2544"/>
    </row>
    <row r="3" spans="1:16" ht="15.6">
      <c r="A3" s="1983" t="s">
        <v>2074</v>
      </c>
      <c r="B3" s="2387">
        <f ca="1">ROUND(B2*10000/E2,0)</f>
        <v>1555</v>
      </c>
      <c r="C3" s="1983" t="s">
        <v>2080</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2075</v>
      </c>
      <c r="B5" s="2395" t="s">
        <v>2076</v>
      </c>
      <c r="C5" s="1984"/>
      <c r="D5" s="2544"/>
      <c r="E5" s="2396" t="s">
        <v>2077</v>
      </c>
      <c r="F5" s="2544"/>
      <c r="G5" s="2544"/>
      <c r="H5" s="2544"/>
      <c r="I5" s="2544"/>
      <c r="J5" s="2544"/>
      <c r="K5" s="2544"/>
      <c r="L5" s="2544"/>
      <c r="M5" s="2544"/>
      <c r="N5" s="2544"/>
      <c r="O5" s="2544"/>
      <c r="P5" s="2544"/>
    </row>
    <row r="6" spans="1:16" ht="15.6">
      <c r="A6" s="2394" t="s">
        <v>2078</v>
      </c>
      <c r="B6" s="2387">
        <f ca="1">SUMIF(INDIRECT("'"&amp;A6&amp;"'"&amp;"!A:A"),"总价",INDIRECT("'"&amp;A6&amp;"'"&amp;"!B:B"))</f>
        <v>7704</v>
      </c>
      <c r="C6" s="1983" t="s">
        <v>2072</v>
      </c>
      <c r="D6" s="2544"/>
      <c r="E6" s="2397">
        <f ca="1">SUMIF(INDIRECT("'"&amp;A6&amp;"'"&amp;"!C:C"),"建筑面积",INDIRECT("'"&amp;A6&amp;"'"&amp;"!D:D"))</f>
        <v>49555.729999999996</v>
      </c>
      <c r="F6" s="2544"/>
      <c r="G6" s="2544"/>
      <c r="H6" s="2544"/>
      <c r="I6" s="2544"/>
      <c r="J6" s="2544"/>
      <c r="K6" s="2544"/>
      <c r="L6" s="2544"/>
      <c r="M6" s="2544"/>
      <c r="N6" s="2544"/>
      <c r="O6" s="2544"/>
      <c r="P6" s="2544"/>
    </row>
    <row r="7" spans="1:16" ht="15.6">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7.399999999999999">
      <c r="A3" s="3235" t="str">
        <f>IF(项目基本情况!B9="房地产市场价值","估价结果一览表（市场价值不需“结果表-1”）","估价结果一览表")</f>
        <v>估价结果一览表</v>
      </c>
      <c r="B3" s="3235"/>
      <c r="C3" s="3235"/>
      <c r="D3" s="3235"/>
      <c r="E3" s="3235"/>
    </row>
    <row r="4" spans="1:5" ht="18" thickBot="1">
      <c r="A4" s="1390"/>
      <c r="B4" s="3233" t="s">
        <v>917</v>
      </c>
      <c r="C4" s="3233"/>
      <c r="D4" s="3233"/>
      <c r="E4" s="1390"/>
    </row>
    <row r="5" spans="1:5" ht="16.2" thickTop="1">
      <c r="B5" s="3231" t="s">
        <v>909</v>
      </c>
      <c r="C5" s="1391" t="s">
        <v>910</v>
      </c>
      <c r="D5" s="796">
        <f ca="1">结果表!H101</f>
        <v>448332</v>
      </c>
    </row>
    <row r="6" spans="1:5" ht="31.2">
      <c r="B6" s="3231"/>
      <c r="C6" s="1391" t="s">
        <v>911</v>
      </c>
      <c r="D6" s="796" t="str">
        <f ca="1">NUMBERSTRING(INT(D5*10000),2)&amp;"元整"</f>
        <v>肆拾肆亿捌仟叁佰叁拾贰万元整</v>
      </c>
    </row>
    <row r="7" spans="1:5" ht="15.6">
      <c r="B7" s="3236"/>
      <c r="C7" s="1392" t="s">
        <v>912</v>
      </c>
      <c r="D7" s="797">
        <f ca="1">结果表!H102</f>
        <v>37741</v>
      </c>
    </row>
    <row r="8" spans="1:5" ht="15.6">
      <c r="B8" s="3237" t="str">
        <f>结果表!E103</f>
        <v>2.估价师知悉的法定优先受偿款</v>
      </c>
      <c r="C8" s="1393" t="s">
        <v>913</v>
      </c>
      <c r="D8" s="797">
        <f>结果表!H103</f>
        <v>0</v>
      </c>
    </row>
    <row r="9" spans="1:5" ht="15.6">
      <c r="B9" s="3239"/>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30" t="str">
        <f>结果表!E107</f>
        <v>3.房地产抵押价值</v>
      </c>
      <c r="C13" s="1396" t="s">
        <v>910</v>
      </c>
      <c r="D13" s="799">
        <f ca="1">结果表!H107</f>
        <v>448332</v>
      </c>
    </row>
    <row r="14" spans="1:5" ht="31.2">
      <c r="B14" s="3231"/>
      <c r="C14" s="1391" t="s">
        <v>911</v>
      </c>
      <c r="D14" s="796" t="str">
        <f ca="1">NUMBERSTRING(INT(D13*10000),2)&amp;"元整"</f>
        <v>肆拾肆亿捌仟叁佰叁拾贰万元整</v>
      </c>
    </row>
    <row r="15" spans="1:5" ht="15.6">
      <c r="B15" s="3236"/>
      <c r="C15" s="1392" t="s">
        <v>921</v>
      </c>
      <c r="D15" s="805">
        <f ca="1">结果表!H108</f>
        <v>37741</v>
      </c>
    </row>
    <row r="16" spans="1:5" ht="15.6">
      <c r="B16" s="3237" t="str">
        <f>结果表!E109</f>
        <v>——</v>
      </c>
      <c r="C16" s="1396" t="s">
        <v>922</v>
      </c>
      <c r="D16" s="1397" t="str">
        <f>结果表!H109</f>
        <v>——</v>
      </c>
    </row>
    <row r="17" spans="1:5" ht="15.6">
      <c r="B17" s="3238"/>
      <c r="C17" s="1391" t="s">
        <v>923</v>
      </c>
      <c r="D17" s="796" t="e">
        <f>NUMBERSTRING(INT(D16*10000),2)&amp;"元整"</f>
        <v>#VALUE!</v>
      </c>
    </row>
    <row r="18" spans="1:5" ht="15.6">
      <c r="B18" s="3239"/>
      <c r="C18" s="1392" t="s">
        <v>912</v>
      </c>
      <c r="D18" s="805" t="str">
        <f>结果表!H110</f>
        <v>——</v>
      </c>
    </row>
    <row r="19" spans="1:5" ht="15.6">
      <c r="B19" s="3230" t="str">
        <f>结果表!E111</f>
        <v>4.抵押净值</v>
      </c>
      <c r="C19" s="1396" t="s">
        <v>910</v>
      </c>
      <c r="D19" s="797">
        <f ca="1">结果表!H111</f>
        <v>441386</v>
      </c>
    </row>
    <row r="20" spans="1:5" ht="15.6">
      <c r="B20" s="3231"/>
      <c r="C20" s="1391" t="s">
        <v>923</v>
      </c>
      <c r="D20" s="796" t="str">
        <f ca="1">NUMBERSTRING(INT(D19*10000),2)&amp;"元整"</f>
        <v>肆拾肆亿壹仟叁佰捌拾陆万元整</v>
      </c>
    </row>
    <row r="21" spans="1:5" ht="16.2" thickBot="1">
      <c r="B21" s="3232"/>
      <c r="C21" s="1398" t="s">
        <v>921</v>
      </c>
      <c r="D21" s="806">
        <f ca="1">结果表!H112</f>
        <v>24943</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544" t="s">
        <v>2605</v>
      </c>
      <c r="B20" s="3539" t="s">
        <v>2626</v>
      </c>
      <c r="C20" s="2842" t="s">
        <v>2437</v>
      </c>
      <c r="D20" s="2843"/>
      <c r="E20" s="2844">
        <v>1</v>
      </c>
      <c r="F20" s="2845" t="s">
        <v>2438</v>
      </c>
      <c r="G20" s="2845"/>
    </row>
    <row r="21" spans="1:13" ht="19.5" customHeight="1">
      <c r="A21" s="3545"/>
      <c r="B21" s="3538"/>
      <c r="C21" s="2846" t="s">
        <v>2439</v>
      </c>
      <c r="D21" s="2847"/>
      <c r="E21" s="2848">
        <v>1</v>
      </c>
      <c r="F21" s="2845" t="s">
        <v>2440</v>
      </c>
      <c r="G21" s="2845"/>
    </row>
    <row r="22" spans="1:13" ht="19.5" customHeight="1">
      <c r="A22" s="3545"/>
      <c r="B22" s="3538"/>
      <c r="C22" s="2846" t="s">
        <v>2441</v>
      </c>
      <c r="D22" s="2847"/>
      <c r="E22" s="2848">
        <v>0.9</v>
      </c>
      <c r="F22" s="2845" t="s">
        <v>2442</v>
      </c>
      <c r="G22" s="2845"/>
    </row>
    <row r="23" spans="1:13" ht="19.5" customHeight="1">
      <c r="A23" s="3545"/>
      <c r="B23" s="3538"/>
      <c r="C23" s="2846" t="s">
        <v>2443</v>
      </c>
      <c r="D23" s="2847"/>
      <c r="E23" s="2848">
        <v>0.9</v>
      </c>
      <c r="F23" s="2845" t="s">
        <v>2444</v>
      </c>
      <c r="G23" s="2845"/>
    </row>
    <row r="24" spans="1:13" ht="19.5" customHeight="1">
      <c r="A24" s="3545"/>
      <c r="B24" s="3538"/>
      <c r="C24" s="2846" t="s">
        <v>2445</v>
      </c>
      <c r="D24" s="2847"/>
      <c r="E24" s="2848">
        <v>0.8</v>
      </c>
      <c r="F24" s="2845" t="s">
        <v>2446</v>
      </c>
      <c r="G24" s="2845"/>
    </row>
    <row r="25" spans="1:13" ht="19.5" customHeight="1" thickBot="1">
      <c r="A25" s="3546"/>
      <c r="B25" s="3540"/>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541" t="s">
        <v>2629</v>
      </c>
      <c r="B27" s="3539" t="s">
        <v>2610</v>
      </c>
      <c r="C27" s="2842" t="s">
        <v>2450</v>
      </c>
      <c r="D27" s="2843"/>
      <c r="E27" s="2844">
        <v>1</v>
      </c>
      <c r="F27" s="2845" t="s">
        <v>2451</v>
      </c>
      <c r="G27" s="2845"/>
    </row>
    <row r="28" spans="1:13" ht="19.5" customHeight="1">
      <c r="A28" s="3542"/>
      <c r="B28" s="3538"/>
      <c r="C28" s="2846" t="s">
        <v>2452</v>
      </c>
      <c r="D28" s="2847"/>
      <c r="E28" s="2848">
        <v>1</v>
      </c>
      <c r="F28" s="2845" t="s">
        <v>2453</v>
      </c>
      <c r="G28" s="2845"/>
    </row>
    <row r="29" spans="1:13" ht="19.5" customHeight="1">
      <c r="A29" s="3542"/>
      <c r="B29" s="3538"/>
      <c r="C29" s="2846" t="s">
        <v>2454</v>
      </c>
      <c r="D29" s="2847"/>
      <c r="E29" s="2848">
        <v>0.8</v>
      </c>
      <c r="F29" s="2845" t="s">
        <v>2455</v>
      </c>
      <c r="G29" s="2845"/>
    </row>
    <row r="30" spans="1:13" ht="19.5" customHeight="1">
      <c r="A30" s="3542"/>
      <c r="B30" s="3538"/>
      <c r="C30" s="2846" t="s">
        <v>2456</v>
      </c>
      <c r="D30" s="2847"/>
      <c r="E30" s="2848">
        <v>0.8</v>
      </c>
      <c r="F30" s="2845" t="s">
        <v>2457</v>
      </c>
      <c r="G30" s="2845"/>
    </row>
    <row r="31" spans="1:13" ht="19.5" customHeight="1">
      <c r="A31" s="3542"/>
      <c r="B31" s="3538"/>
      <c r="C31" s="2846" t="s">
        <v>2458</v>
      </c>
      <c r="D31" s="2847"/>
      <c r="E31" s="2848">
        <v>0.8</v>
      </c>
      <c r="F31" s="2845" t="s">
        <v>2459</v>
      </c>
      <c r="G31" s="2845"/>
    </row>
    <row r="32" spans="1:13" ht="19.5" customHeight="1">
      <c r="A32" s="3542"/>
      <c r="B32" s="3538"/>
      <c r="C32" s="2846" t="s">
        <v>2460</v>
      </c>
      <c r="D32" s="2847"/>
      <c r="E32" s="2848">
        <v>0.7</v>
      </c>
      <c r="F32" s="2845" t="s">
        <v>2461</v>
      </c>
      <c r="G32" s="2845"/>
    </row>
    <row r="33" spans="1:7" ht="19.5" customHeight="1">
      <c r="A33" s="3542"/>
      <c r="B33" s="3538"/>
      <c r="C33" s="2846" t="s">
        <v>2462</v>
      </c>
      <c r="D33" s="2847"/>
      <c r="E33" s="2848">
        <v>0.8</v>
      </c>
      <c r="F33" s="2845" t="s">
        <v>2463</v>
      </c>
      <c r="G33" s="2845"/>
    </row>
    <row r="34" spans="1:7" ht="19.5" customHeight="1">
      <c r="A34" s="3542"/>
      <c r="B34" s="3538"/>
      <c r="C34" s="2846" t="s">
        <v>2464</v>
      </c>
      <c r="D34" s="2847"/>
      <c r="E34" s="2848">
        <v>0.6</v>
      </c>
      <c r="F34" s="2845" t="s">
        <v>2465</v>
      </c>
      <c r="G34" s="2845"/>
    </row>
    <row r="35" spans="1:7" ht="19.5" customHeight="1">
      <c r="A35" s="3542"/>
      <c r="B35" s="3538"/>
      <c r="C35" s="2846" t="s">
        <v>2466</v>
      </c>
      <c r="D35" s="2847"/>
      <c r="E35" s="2848">
        <v>0.2</v>
      </c>
      <c r="F35" s="2845" t="s">
        <v>2467</v>
      </c>
      <c r="G35" s="2845"/>
    </row>
    <row r="36" spans="1:7" ht="19.5" customHeight="1">
      <c r="A36" s="3542"/>
      <c r="B36" s="3538"/>
      <c r="C36" s="2846" t="s">
        <v>2468</v>
      </c>
      <c r="D36" s="2847"/>
      <c r="E36" s="2848">
        <v>0.2</v>
      </c>
      <c r="F36" s="2845" t="s">
        <v>2469</v>
      </c>
      <c r="G36" s="2845"/>
    </row>
    <row r="37" spans="1:7" ht="19.5" customHeight="1">
      <c r="A37" s="3542"/>
      <c r="B37" s="3536" t="s">
        <v>2630</v>
      </c>
      <c r="C37" s="2846" t="s">
        <v>2470</v>
      </c>
      <c r="D37" s="2847"/>
      <c r="E37" s="2848">
        <v>0.6</v>
      </c>
      <c r="F37" s="2845" t="s">
        <v>2471</v>
      </c>
      <c r="G37" s="2845"/>
    </row>
    <row r="38" spans="1:7" ht="19.5" customHeight="1">
      <c r="A38" s="3542"/>
      <c r="B38" s="3538"/>
      <c r="C38" s="2846" t="s">
        <v>2472</v>
      </c>
      <c r="D38" s="2847"/>
      <c r="E38" s="2848">
        <v>0.6</v>
      </c>
      <c r="F38" s="2845" t="s">
        <v>2473</v>
      </c>
      <c r="G38" s="2845"/>
    </row>
    <row r="39" spans="1:7" ht="19.5" customHeight="1" thickBot="1">
      <c r="A39" s="3543"/>
      <c r="B39" s="3540"/>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544" t="s">
        <v>2608</v>
      </c>
      <c r="B41" s="3539" t="s">
        <v>2632</v>
      </c>
      <c r="C41" s="2842" t="s">
        <v>2477</v>
      </c>
      <c r="D41" s="2843"/>
      <c r="E41" s="2844">
        <v>1</v>
      </c>
      <c r="F41" s="2845" t="s">
        <v>2478</v>
      </c>
      <c r="G41" s="2845"/>
    </row>
    <row r="42" spans="1:7" ht="19.5" customHeight="1">
      <c r="A42" s="3545"/>
      <c r="B42" s="3538"/>
      <c r="C42" s="2846" t="s">
        <v>2479</v>
      </c>
      <c r="D42" s="2847"/>
      <c r="E42" s="2848">
        <v>1</v>
      </c>
      <c r="F42" s="2845" t="s">
        <v>2480</v>
      </c>
      <c r="G42" s="2845"/>
    </row>
    <row r="43" spans="1:7" ht="19.5" customHeight="1">
      <c r="A43" s="3545"/>
      <c r="B43" s="3537"/>
      <c r="C43" s="2846" t="s">
        <v>2481</v>
      </c>
      <c r="D43" s="2847"/>
      <c r="E43" s="2848">
        <v>1.5</v>
      </c>
      <c r="F43" s="2845" t="s">
        <v>2482</v>
      </c>
      <c r="G43" s="2845"/>
    </row>
    <row r="44" spans="1:7" ht="19.5" customHeight="1">
      <c r="A44" s="3545"/>
      <c r="B44" s="2857" t="s">
        <v>2633</v>
      </c>
      <c r="C44" s="2846" t="s">
        <v>2634</v>
      </c>
      <c r="D44" s="2847"/>
      <c r="E44" s="2848">
        <v>2</v>
      </c>
      <c r="F44" s="2845" t="s">
        <v>2483</v>
      </c>
      <c r="G44" s="2845"/>
    </row>
    <row r="45" spans="1:7" ht="19.5" customHeight="1">
      <c r="A45" s="3545"/>
      <c r="B45" s="3536" t="s">
        <v>2635</v>
      </c>
      <c r="C45" s="2846" t="s">
        <v>2484</v>
      </c>
      <c r="D45" s="2847"/>
      <c r="E45" s="2848">
        <v>1</v>
      </c>
      <c r="F45" s="2845" t="s">
        <v>2485</v>
      </c>
      <c r="G45" s="2845"/>
    </row>
    <row r="46" spans="1:7" ht="19.5" customHeight="1">
      <c r="A46" s="3545"/>
      <c r="B46" s="3538"/>
      <c r="C46" s="2846" t="s">
        <v>2486</v>
      </c>
      <c r="D46" s="2847"/>
      <c r="E46" s="2848">
        <v>1</v>
      </c>
      <c r="F46" s="2845" t="s">
        <v>2487</v>
      </c>
      <c r="G46" s="2845"/>
    </row>
    <row r="47" spans="1:7" ht="19.5" customHeight="1">
      <c r="A47" s="3545"/>
      <c r="B47" s="3538"/>
      <c r="C47" s="2846" t="s">
        <v>2488</v>
      </c>
      <c r="D47" s="2847"/>
      <c r="E47" s="2848">
        <v>1</v>
      </c>
      <c r="F47" s="2845" t="s">
        <v>2489</v>
      </c>
      <c r="G47" s="2845"/>
    </row>
    <row r="48" spans="1:7" ht="19.5" customHeight="1">
      <c r="A48" s="3545"/>
      <c r="B48" s="3538"/>
      <c r="C48" s="2846" t="s">
        <v>2490</v>
      </c>
      <c r="D48" s="2847"/>
      <c r="E48" s="2848">
        <v>1</v>
      </c>
      <c r="F48" s="2845" t="s">
        <v>2491</v>
      </c>
      <c r="G48" s="2845"/>
    </row>
    <row r="49" spans="1:7" ht="19.5" customHeight="1">
      <c r="A49" s="3545"/>
      <c r="B49" s="3538"/>
      <c r="C49" s="2846" t="s">
        <v>2492</v>
      </c>
      <c r="D49" s="2847"/>
      <c r="E49" s="2848">
        <v>1</v>
      </c>
      <c r="F49" s="2845" t="s">
        <v>2493</v>
      </c>
      <c r="G49" s="2845"/>
    </row>
    <row r="50" spans="1:7" ht="19.5" customHeight="1">
      <c r="A50" s="3545"/>
      <c r="B50" s="3538"/>
      <c r="C50" s="2846" t="s">
        <v>2494</v>
      </c>
      <c r="D50" s="2847"/>
      <c r="E50" s="2848">
        <v>1</v>
      </c>
      <c r="F50" s="2845" t="s">
        <v>2495</v>
      </c>
      <c r="G50" s="2845"/>
    </row>
    <row r="51" spans="1:7" ht="19.5" customHeight="1" thickBot="1">
      <c r="A51" s="3546"/>
      <c r="B51" s="3540"/>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4.4">
      <c r="A72" s="2857"/>
      <c r="B72" s="2857"/>
      <c r="C72" s="2857" t="s">
        <v>2648</v>
      </c>
      <c r="D72" s="2857"/>
      <c r="E72" s="2857" t="s">
        <v>2619</v>
      </c>
      <c r="F72" s="2857" t="s">
        <v>2619</v>
      </c>
    </row>
    <row r="73" spans="1:7" ht="14.4">
      <c r="A73" s="2857">
        <v>1</v>
      </c>
      <c r="B73" s="3536" t="s">
        <v>2649</v>
      </c>
      <c r="C73" s="2831" t="s">
        <v>2650</v>
      </c>
      <c r="D73" s="2831" t="s">
        <v>2651</v>
      </c>
      <c r="E73" s="2857">
        <v>0.2</v>
      </c>
      <c r="F73" s="2857">
        <v>25</v>
      </c>
    </row>
    <row r="74" spans="1:7" ht="24">
      <c r="A74" s="2857">
        <v>2</v>
      </c>
      <c r="B74" s="3538"/>
      <c r="C74" s="2831" t="s">
        <v>2652</v>
      </c>
      <c r="D74" s="2831" t="s">
        <v>2653</v>
      </c>
      <c r="E74" s="2857">
        <v>0.2</v>
      </c>
      <c r="F74" s="2857">
        <v>25</v>
      </c>
    </row>
    <row r="75" spans="1:7" ht="24">
      <c r="A75" s="2857">
        <v>3</v>
      </c>
      <c r="B75" s="3538"/>
      <c r="C75" s="2831" t="s">
        <v>2654</v>
      </c>
      <c r="D75" s="2831" t="s">
        <v>2655</v>
      </c>
      <c r="E75" s="2857">
        <v>0.2</v>
      </c>
      <c r="F75" s="2857">
        <v>25</v>
      </c>
    </row>
    <row r="76" spans="1:7" ht="14.4">
      <c r="A76" s="2857">
        <v>4</v>
      </c>
      <c r="B76" s="3538"/>
      <c r="C76" s="2831" t="s">
        <v>2656</v>
      </c>
      <c r="D76" s="2831" t="s">
        <v>2657</v>
      </c>
      <c r="E76" s="2857">
        <v>0.15</v>
      </c>
      <c r="F76" s="2857">
        <v>20</v>
      </c>
    </row>
    <row r="77" spans="1:7" ht="24">
      <c r="A77" s="2857">
        <v>5</v>
      </c>
      <c r="B77" s="3538"/>
      <c r="C77" s="2831" t="s">
        <v>2658</v>
      </c>
      <c r="D77" s="2831" t="s">
        <v>2659</v>
      </c>
      <c r="E77" s="2857">
        <v>0.15</v>
      </c>
      <c r="F77" s="2857">
        <v>20</v>
      </c>
    </row>
    <row r="78" spans="1:7" ht="24">
      <c r="A78" s="2857">
        <v>6</v>
      </c>
      <c r="B78" s="3538"/>
      <c r="C78" s="2831" t="s">
        <v>2660</v>
      </c>
      <c r="D78" s="2831" t="s">
        <v>2661</v>
      </c>
      <c r="E78" s="2857">
        <v>0.15</v>
      </c>
      <c r="F78" s="2857">
        <v>20</v>
      </c>
    </row>
    <row r="79" spans="1:7" ht="24">
      <c r="A79" s="2857">
        <v>7</v>
      </c>
      <c r="B79" s="3538"/>
      <c r="C79" s="2831" t="s">
        <v>2662</v>
      </c>
      <c r="D79" s="2831" t="s">
        <v>2663</v>
      </c>
      <c r="E79" s="2857">
        <v>0.15</v>
      </c>
      <c r="F79" s="2857">
        <v>20</v>
      </c>
    </row>
    <row r="80" spans="1:7" ht="24">
      <c r="A80" s="2857">
        <v>8</v>
      </c>
      <c r="B80" s="3538"/>
      <c r="C80" s="2831" t="s">
        <v>2664</v>
      </c>
      <c r="D80" s="2831" t="s">
        <v>2665</v>
      </c>
      <c r="E80" s="2857">
        <v>0.1</v>
      </c>
      <c r="F80" s="2857">
        <v>15</v>
      </c>
    </row>
    <row r="81" spans="1:6" ht="24">
      <c r="A81" s="2857">
        <v>9</v>
      </c>
      <c r="B81" s="3538"/>
      <c r="C81" s="2831" t="s">
        <v>2666</v>
      </c>
      <c r="D81" s="2831" t="s">
        <v>2667</v>
      </c>
      <c r="E81" s="2857">
        <v>0.1</v>
      </c>
      <c r="F81" s="2857">
        <v>15</v>
      </c>
    </row>
    <row r="82" spans="1:6" ht="24">
      <c r="A82" s="2857">
        <v>10</v>
      </c>
      <c r="B82" s="3538"/>
      <c r="C82" s="2831" t="s">
        <v>2668</v>
      </c>
      <c r="D82" s="2831" t="s">
        <v>2669</v>
      </c>
      <c r="E82" s="2857">
        <v>0.1</v>
      </c>
      <c r="F82" s="2857">
        <v>15</v>
      </c>
    </row>
    <row r="83" spans="1:6" ht="24">
      <c r="A83" s="2857">
        <v>11</v>
      </c>
      <c r="B83" s="3538"/>
      <c r="C83" s="2831" t="s">
        <v>2670</v>
      </c>
      <c r="D83" s="2831" t="s">
        <v>2671</v>
      </c>
      <c r="E83" s="2857">
        <v>0.1</v>
      </c>
      <c r="F83" s="2857">
        <v>15</v>
      </c>
    </row>
    <row r="84" spans="1:6" ht="24">
      <c r="A84" s="2857">
        <v>12</v>
      </c>
      <c r="B84" s="3538"/>
      <c r="C84" s="2831" t="s">
        <v>2672</v>
      </c>
      <c r="D84" s="2831" t="s">
        <v>2673</v>
      </c>
      <c r="E84" s="2857">
        <v>0.1</v>
      </c>
      <c r="F84" s="2857">
        <v>15</v>
      </c>
    </row>
    <row r="85" spans="1:6" ht="24">
      <c r="A85" s="2857">
        <v>13</v>
      </c>
      <c r="B85" s="3538"/>
      <c r="C85" s="2831" t="s">
        <v>2674</v>
      </c>
      <c r="D85" s="2831" t="s">
        <v>2675</v>
      </c>
      <c r="E85" s="2857">
        <v>0.1</v>
      </c>
      <c r="F85" s="2857">
        <v>15</v>
      </c>
    </row>
    <row r="86" spans="1:6" ht="24">
      <c r="A86" s="2857">
        <v>14</v>
      </c>
      <c r="B86" s="3538"/>
      <c r="C86" s="2831" t="s">
        <v>2676</v>
      </c>
      <c r="D86" s="2831" t="s">
        <v>2677</v>
      </c>
      <c r="E86" s="2857">
        <v>0.1</v>
      </c>
      <c r="F86" s="2857">
        <v>15</v>
      </c>
    </row>
    <row r="87" spans="1:6" ht="24">
      <c r="A87" s="2857">
        <v>15</v>
      </c>
      <c r="B87" s="3538"/>
      <c r="C87" s="2831" t="s">
        <v>2678</v>
      </c>
      <c r="D87" s="2831" t="s">
        <v>2679</v>
      </c>
      <c r="E87" s="2857">
        <v>0.1</v>
      </c>
      <c r="F87" s="2857">
        <v>15</v>
      </c>
    </row>
    <row r="88" spans="1:6" ht="24">
      <c r="A88" s="2857">
        <v>16</v>
      </c>
      <c r="B88" s="3538"/>
      <c r="C88" s="2831" t="s">
        <v>2680</v>
      </c>
      <c r="D88" s="2831" t="s">
        <v>2681</v>
      </c>
      <c r="E88" s="2857">
        <v>0.1</v>
      </c>
      <c r="F88" s="2857">
        <v>15</v>
      </c>
    </row>
    <row r="89" spans="1:6" ht="24">
      <c r="A89" s="2857">
        <v>17</v>
      </c>
      <c r="B89" s="3537"/>
      <c r="C89" s="2831" t="s">
        <v>2682</v>
      </c>
      <c r="D89" s="2831" t="s">
        <v>2683</v>
      </c>
      <c r="E89" s="2857">
        <v>0.1</v>
      </c>
      <c r="F89" s="2857">
        <v>15</v>
      </c>
    </row>
    <row r="90" spans="1:6" ht="14.4">
      <c r="A90" s="2857">
        <v>18</v>
      </c>
      <c r="B90" s="3536" t="s">
        <v>2684</v>
      </c>
      <c r="C90" s="2831" t="s">
        <v>2685</v>
      </c>
      <c r="D90" s="2831" t="s">
        <v>2686</v>
      </c>
      <c r="E90" s="2857">
        <v>0.2</v>
      </c>
      <c r="F90" s="2857">
        <v>25</v>
      </c>
    </row>
    <row r="91" spans="1:6" ht="24">
      <c r="A91" s="2857">
        <v>19</v>
      </c>
      <c r="B91" s="3538"/>
      <c r="C91" s="2831" t="s">
        <v>2687</v>
      </c>
      <c r="D91" s="2831" t="s">
        <v>2688</v>
      </c>
      <c r="E91" s="2857">
        <v>0.2</v>
      </c>
      <c r="F91" s="2857">
        <v>25</v>
      </c>
    </row>
    <row r="92" spans="1:6" ht="14.4">
      <c r="A92" s="2857">
        <v>20</v>
      </c>
      <c r="B92" s="3538"/>
      <c r="C92" s="2831" t="s">
        <v>2689</v>
      </c>
      <c r="D92" s="2831" t="s">
        <v>2690</v>
      </c>
      <c r="E92" s="2857">
        <v>0.15</v>
      </c>
      <c r="F92" s="2857">
        <v>20</v>
      </c>
    </row>
    <row r="93" spans="1:6" ht="24">
      <c r="A93" s="2857">
        <v>21</v>
      </c>
      <c r="B93" s="3538"/>
      <c r="C93" s="2831" t="s">
        <v>2691</v>
      </c>
      <c r="D93" s="2831" t="s">
        <v>2692</v>
      </c>
      <c r="E93" s="2857">
        <v>0.15</v>
      </c>
      <c r="F93" s="2857">
        <v>20</v>
      </c>
    </row>
    <row r="94" spans="1:6" ht="24">
      <c r="A94" s="2857">
        <v>22</v>
      </c>
      <c r="B94" s="3538"/>
      <c r="C94" s="2831" t="s">
        <v>2693</v>
      </c>
      <c r="D94" s="2831" t="s">
        <v>2694</v>
      </c>
      <c r="E94" s="2857">
        <v>0.15</v>
      </c>
      <c r="F94" s="2857">
        <v>20</v>
      </c>
    </row>
    <row r="95" spans="1:6" ht="36">
      <c r="A95" s="2857">
        <v>23</v>
      </c>
      <c r="B95" s="3538"/>
      <c r="C95" s="2831" t="s">
        <v>2695</v>
      </c>
      <c r="D95" s="2831" t="s">
        <v>2696</v>
      </c>
      <c r="E95" s="2857">
        <v>0.15</v>
      </c>
      <c r="F95" s="2857">
        <v>20</v>
      </c>
    </row>
    <row r="96" spans="1:6" ht="24">
      <c r="A96" s="2857">
        <v>24</v>
      </c>
      <c r="B96" s="3538"/>
      <c r="C96" s="2831" t="s">
        <v>2697</v>
      </c>
      <c r="D96" s="2831" t="s">
        <v>2698</v>
      </c>
      <c r="E96" s="2857">
        <v>0.1</v>
      </c>
      <c r="F96" s="2857">
        <v>15</v>
      </c>
    </row>
    <row r="97" spans="1:6" ht="24">
      <c r="A97" s="2857">
        <v>25</v>
      </c>
      <c r="B97" s="3538"/>
      <c r="C97" s="2831" t="s">
        <v>2699</v>
      </c>
      <c r="D97" s="2831" t="s">
        <v>2700</v>
      </c>
      <c r="E97" s="2857">
        <v>0.1</v>
      </c>
      <c r="F97" s="2857">
        <v>15</v>
      </c>
    </row>
    <row r="98" spans="1:6" ht="24">
      <c r="A98" s="2857">
        <v>26</v>
      </c>
      <c r="B98" s="3538"/>
      <c r="C98" s="2831" t="s">
        <v>2701</v>
      </c>
      <c r="D98" s="2831" t="s">
        <v>2702</v>
      </c>
      <c r="E98" s="2857">
        <v>0.1</v>
      </c>
      <c r="F98" s="2857">
        <v>15</v>
      </c>
    </row>
    <row r="99" spans="1:6" ht="24">
      <c r="A99" s="2857">
        <v>27</v>
      </c>
      <c r="B99" s="3538"/>
      <c r="C99" s="2831" t="s">
        <v>2703</v>
      </c>
      <c r="D99" s="2831" t="s">
        <v>2704</v>
      </c>
      <c r="E99" s="2857">
        <v>0.1</v>
      </c>
      <c r="F99" s="2857">
        <v>15</v>
      </c>
    </row>
    <row r="100" spans="1:6" ht="24">
      <c r="A100" s="2857">
        <v>28</v>
      </c>
      <c r="B100" s="3538"/>
      <c r="C100" s="2831" t="s">
        <v>2705</v>
      </c>
      <c r="D100" s="2831" t="s">
        <v>2706</v>
      </c>
      <c r="E100" s="2857">
        <v>0.1</v>
      </c>
      <c r="F100" s="2857">
        <v>15</v>
      </c>
    </row>
    <row r="101" spans="1:6" ht="24">
      <c r="A101" s="2857">
        <v>29</v>
      </c>
      <c r="B101" s="3538"/>
      <c r="C101" s="2831" t="s">
        <v>2707</v>
      </c>
      <c r="D101" s="2831" t="s">
        <v>2708</v>
      </c>
      <c r="E101" s="2857">
        <v>0.1</v>
      </c>
      <c r="F101" s="2857">
        <v>15</v>
      </c>
    </row>
    <row r="102" spans="1:6" ht="24">
      <c r="A102" s="2857">
        <v>30</v>
      </c>
      <c r="B102" s="3538"/>
      <c r="C102" s="2831" t="s">
        <v>2709</v>
      </c>
      <c r="D102" s="2831" t="s">
        <v>2710</v>
      </c>
      <c r="E102" s="2857">
        <v>0.1</v>
      </c>
      <c r="F102" s="2857">
        <v>15</v>
      </c>
    </row>
    <row r="103" spans="1:6" ht="24">
      <c r="A103" s="2857">
        <v>31</v>
      </c>
      <c r="B103" s="3538"/>
      <c r="C103" s="2831" t="s">
        <v>2711</v>
      </c>
      <c r="D103" s="2831" t="s">
        <v>2712</v>
      </c>
      <c r="E103" s="2857">
        <v>0.1</v>
      </c>
      <c r="F103" s="2857">
        <v>15</v>
      </c>
    </row>
    <row r="104" spans="1:6" ht="24">
      <c r="A104" s="2857">
        <v>32</v>
      </c>
      <c r="B104" s="3538"/>
      <c r="C104" s="2831" t="s">
        <v>2713</v>
      </c>
      <c r="D104" s="2831" t="s">
        <v>2714</v>
      </c>
      <c r="E104" s="2857">
        <v>0.1</v>
      </c>
      <c r="F104" s="2857">
        <v>15</v>
      </c>
    </row>
    <row r="105" spans="1:6" ht="24">
      <c r="A105" s="2857">
        <v>33</v>
      </c>
      <c r="B105" s="3538"/>
      <c r="C105" s="2831" t="s">
        <v>2715</v>
      </c>
      <c r="D105" s="2831" t="s">
        <v>2716</v>
      </c>
      <c r="E105" s="2857">
        <v>0.1</v>
      </c>
      <c r="F105" s="2857">
        <v>15</v>
      </c>
    </row>
    <row r="106" spans="1:6" ht="24">
      <c r="A106" s="2857">
        <v>34</v>
      </c>
      <c r="B106" s="3537"/>
      <c r="C106" s="2831" t="s">
        <v>2717</v>
      </c>
      <c r="D106" s="2831" t="s">
        <v>2718</v>
      </c>
      <c r="E106" s="2857">
        <v>0.1</v>
      </c>
      <c r="F106" s="2857">
        <v>15</v>
      </c>
    </row>
    <row r="107" spans="1:6" ht="36">
      <c r="A107" s="2857">
        <v>35</v>
      </c>
      <c r="B107" s="3536" t="s">
        <v>2719</v>
      </c>
      <c r="C107" s="2857" t="s">
        <v>2720</v>
      </c>
      <c r="D107" s="2831" t="s">
        <v>2721</v>
      </c>
      <c r="E107" s="2857">
        <v>0.15</v>
      </c>
      <c r="F107" s="2857">
        <v>20</v>
      </c>
    </row>
    <row r="108" spans="1:6" ht="24">
      <c r="A108" s="2857">
        <v>36</v>
      </c>
      <c r="B108" s="3538"/>
      <c r="C108" s="2857" t="s">
        <v>2722</v>
      </c>
      <c r="D108" s="2831" t="s">
        <v>2723</v>
      </c>
      <c r="E108" s="2857">
        <v>0.15</v>
      </c>
      <c r="F108" s="2857">
        <v>20</v>
      </c>
    </row>
    <row r="109" spans="1:6" ht="24">
      <c r="A109" s="2857">
        <v>37</v>
      </c>
      <c r="B109" s="3538"/>
      <c r="C109" s="2857" t="s">
        <v>2724</v>
      </c>
      <c r="D109" s="2831" t="s">
        <v>2725</v>
      </c>
      <c r="E109" s="2857">
        <v>0.15</v>
      </c>
      <c r="F109" s="2857">
        <v>20</v>
      </c>
    </row>
    <row r="110" spans="1:6" ht="24">
      <c r="A110" s="2857">
        <v>38</v>
      </c>
      <c r="B110" s="3538"/>
      <c r="C110" s="2857" t="s">
        <v>2726</v>
      </c>
      <c r="D110" s="2831" t="s">
        <v>2727</v>
      </c>
      <c r="E110" s="2857">
        <v>0.1</v>
      </c>
      <c r="F110" s="2857">
        <v>15</v>
      </c>
    </row>
    <row r="111" spans="1:6" ht="24">
      <c r="A111" s="2857">
        <v>39</v>
      </c>
      <c r="B111" s="3538"/>
      <c r="C111" s="2857" t="s">
        <v>2728</v>
      </c>
      <c r="D111" s="2831" t="s">
        <v>2729</v>
      </c>
      <c r="E111" s="2857">
        <v>0.1</v>
      </c>
      <c r="F111" s="2857">
        <v>15</v>
      </c>
    </row>
    <row r="112" spans="1:6" ht="24">
      <c r="A112" s="2857">
        <v>40</v>
      </c>
      <c r="B112" s="3537"/>
      <c r="C112" s="2857" t="s">
        <v>2730</v>
      </c>
      <c r="D112" s="2831" t="s">
        <v>2731</v>
      </c>
      <c r="E112" s="2857">
        <v>0.1</v>
      </c>
      <c r="F112" s="2857">
        <v>15</v>
      </c>
    </row>
    <row r="113" spans="1:6" ht="24">
      <c r="A113" s="2857">
        <v>41</v>
      </c>
      <c r="B113" s="3535" t="s">
        <v>2732</v>
      </c>
      <c r="C113" s="2857" t="s">
        <v>2733</v>
      </c>
      <c r="D113" s="2831" t="s">
        <v>2734</v>
      </c>
      <c r="E113" s="2857">
        <v>0.1</v>
      </c>
      <c r="F113" s="2857">
        <v>15</v>
      </c>
    </row>
    <row r="114" spans="1:6" ht="24">
      <c r="A114" s="2857">
        <v>42</v>
      </c>
      <c r="B114" s="3535"/>
      <c r="C114" s="2857" t="s">
        <v>2735</v>
      </c>
      <c r="D114" s="2831" t="s">
        <v>2736</v>
      </c>
      <c r="E114" s="2857">
        <v>0.1</v>
      </c>
      <c r="F114" s="2857">
        <v>15</v>
      </c>
    </row>
    <row r="115" spans="1:6" ht="24">
      <c r="A115" s="2857">
        <v>43</v>
      </c>
      <c r="B115" s="3535"/>
      <c r="C115" s="2857" t="s">
        <v>2737</v>
      </c>
      <c r="D115" s="2831" t="s">
        <v>2738</v>
      </c>
      <c r="E115" s="2857">
        <v>0.1</v>
      </c>
      <c r="F115" s="2857">
        <v>15</v>
      </c>
    </row>
    <row r="116" spans="1:6" ht="24">
      <c r="A116" s="2857">
        <v>44</v>
      </c>
      <c r="B116" s="3536" t="s">
        <v>2739</v>
      </c>
      <c r="C116" s="2857" t="s">
        <v>2740</v>
      </c>
      <c r="D116" s="2831" t="s">
        <v>2741</v>
      </c>
      <c r="E116" s="2857">
        <v>0.1</v>
      </c>
      <c r="F116" s="2857">
        <v>15</v>
      </c>
    </row>
    <row r="117" spans="1:6" ht="24">
      <c r="A117" s="2857">
        <v>45</v>
      </c>
      <c r="B117" s="3537"/>
      <c r="C117" s="2831" t="s">
        <v>2742</v>
      </c>
      <c r="D117" s="2831" t="s">
        <v>2743</v>
      </c>
      <c r="E117" s="2857">
        <v>0.1</v>
      </c>
      <c r="F117" s="2857">
        <v>15</v>
      </c>
    </row>
    <row r="118" spans="1:6" ht="24">
      <c r="A118" s="2857">
        <v>46</v>
      </c>
      <c r="B118" s="3536" t="s">
        <v>2744</v>
      </c>
      <c r="C118" s="2857" t="s">
        <v>2745</v>
      </c>
      <c r="D118" s="2831" t="s">
        <v>2746</v>
      </c>
      <c r="E118" s="2857">
        <v>0.1</v>
      </c>
      <c r="F118" s="2857">
        <v>15</v>
      </c>
    </row>
    <row r="119" spans="1:6" ht="24">
      <c r="A119" s="2857">
        <v>47</v>
      </c>
      <c r="B119" s="3537"/>
      <c r="C119" s="2857" t="s">
        <v>2747</v>
      </c>
      <c r="D119" s="2831" t="s">
        <v>2748</v>
      </c>
      <c r="E119" s="2857">
        <v>0.1</v>
      </c>
      <c r="F119" s="2857">
        <v>15</v>
      </c>
    </row>
    <row r="120" spans="1:6" ht="24">
      <c r="A120" s="2857">
        <v>48</v>
      </c>
      <c r="B120" s="3536" t="s">
        <v>2749</v>
      </c>
      <c r="C120" s="2857" t="s">
        <v>2750</v>
      </c>
      <c r="D120" s="2831" t="s">
        <v>2751</v>
      </c>
      <c r="E120" s="2857">
        <v>0.1</v>
      </c>
      <c r="F120" s="2857">
        <v>15</v>
      </c>
    </row>
    <row r="121" spans="1:6" ht="24">
      <c r="A121" s="2857">
        <v>49</v>
      </c>
      <c r="B121" s="3537"/>
      <c r="C121" s="2857" t="s">
        <v>2752</v>
      </c>
      <c r="D121" s="2831" t="s">
        <v>2753</v>
      </c>
      <c r="E121" s="2857">
        <v>0.1</v>
      </c>
      <c r="F121" s="2857">
        <v>15</v>
      </c>
    </row>
    <row r="122" spans="1:6" ht="24">
      <c r="A122" s="2857">
        <v>50</v>
      </c>
      <c r="B122" s="3535" t="s">
        <v>2754</v>
      </c>
      <c r="C122" s="2857" t="s">
        <v>2755</v>
      </c>
      <c r="D122" s="2831" t="s">
        <v>2756</v>
      </c>
      <c r="E122" s="2857">
        <v>0.1</v>
      </c>
      <c r="F122" s="2857">
        <v>15</v>
      </c>
    </row>
    <row r="123" spans="1:6" ht="24">
      <c r="A123" s="2857">
        <v>51</v>
      </c>
      <c r="B123" s="3535"/>
      <c r="C123" s="2857" t="s">
        <v>2757</v>
      </c>
      <c r="D123" s="2831" t="s">
        <v>2758</v>
      </c>
      <c r="E123" s="2857">
        <v>0.1</v>
      </c>
      <c r="F123" s="2857">
        <v>15</v>
      </c>
    </row>
    <row r="124" spans="1:6" ht="24">
      <c r="A124" s="2857">
        <v>52</v>
      </c>
      <c r="B124" s="3535" t="s">
        <v>2759</v>
      </c>
      <c r="C124" s="2857" t="s">
        <v>2760</v>
      </c>
      <c r="D124" s="2831" t="s">
        <v>2761</v>
      </c>
      <c r="E124" s="2857">
        <v>0.1</v>
      </c>
      <c r="F124" s="2857">
        <v>15</v>
      </c>
    </row>
    <row r="125" spans="1:6" ht="24">
      <c r="A125" s="2857">
        <v>53</v>
      </c>
      <c r="B125" s="3535"/>
      <c r="C125" s="2857" t="s">
        <v>2762</v>
      </c>
      <c r="D125" s="2831" t="s">
        <v>2763</v>
      </c>
      <c r="E125" s="2857">
        <v>0.1</v>
      </c>
      <c r="F125" s="2857">
        <v>15</v>
      </c>
    </row>
    <row r="126" spans="1:6" ht="24">
      <c r="A126" s="2857">
        <v>54</v>
      </c>
      <c r="B126" s="2857" t="s">
        <v>2764</v>
      </c>
      <c r="C126" s="2857" t="s">
        <v>2765</v>
      </c>
      <c r="D126" s="2831" t="s">
        <v>2766</v>
      </c>
      <c r="E126" s="2857">
        <v>0.1</v>
      </c>
      <c r="F126" s="2857">
        <v>15</v>
      </c>
    </row>
    <row r="127" spans="1:6" ht="24">
      <c r="A127" s="2857">
        <v>55</v>
      </c>
      <c r="B127" s="3535" t="s">
        <v>2767</v>
      </c>
      <c r="C127" s="2857" t="s">
        <v>2768</v>
      </c>
      <c r="D127" s="2831" t="s">
        <v>2769</v>
      </c>
      <c r="E127" s="2857">
        <v>0.1</v>
      </c>
      <c r="F127" s="2857">
        <v>15</v>
      </c>
    </row>
    <row r="128" spans="1:6" ht="24">
      <c r="A128" s="2857">
        <v>56</v>
      </c>
      <c r="B128" s="3535"/>
      <c r="C128" s="2857" t="s">
        <v>2770</v>
      </c>
      <c r="D128" s="2831" t="s">
        <v>2771</v>
      </c>
      <c r="E128" s="2857">
        <v>0.1</v>
      </c>
      <c r="F128" s="2857">
        <v>15</v>
      </c>
    </row>
    <row r="129" spans="1:6" ht="24">
      <c r="A129" s="2857">
        <v>57</v>
      </c>
      <c r="B129" s="3535"/>
      <c r="C129" s="2857" t="s">
        <v>2772</v>
      </c>
      <c r="D129" s="2831" t="s">
        <v>2773</v>
      </c>
      <c r="E129" s="2857">
        <v>0.1</v>
      </c>
      <c r="F129" s="2857">
        <v>15</v>
      </c>
    </row>
    <row r="130" spans="1:6" ht="24">
      <c r="A130" s="2857">
        <v>58</v>
      </c>
      <c r="B130" s="3535" t="s">
        <v>2774</v>
      </c>
      <c r="C130" s="2857" t="s">
        <v>2775</v>
      </c>
      <c r="D130" s="2831" t="s">
        <v>2776</v>
      </c>
      <c r="E130" s="2857">
        <v>0.1</v>
      </c>
      <c r="F130" s="2857">
        <v>15</v>
      </c>
    </row>
    <row r="131" spans="1:6" ht="24">
      <c r="A131" s="2857">
        <v>59</v>
      </c>
      <c r="B131" s="3535"/>
      <c r="C131" s="2857" t="s">
        <v>2777</v>
      </c>
      <c r="D131" s="2831" t="s">
        <v>2778</v>
      </c>
      <c r="E131" s="2857">
        <v>0.1</v>
      </c>
      <c r="F131" s="2857">
        <v>15</v>
      </c>
    </row>
    <row r="132" spans="1:6" ht="24">
      <c r="A132" s="2857">
        <v>60</v>
      </c>
      <c r="B132" s="3536" t="s">
        <v>2779</v>
      </c>
      <c r="C132" s="2857" t="s">
        <v>2780</v>
      </c>
      <c r="D132" s="2831" t="s">
        <v>2781</v>
      </c>
      <c r="E132" s="2857">
        <v>0.1</v>
      </c>
      <c r="F132" s="2857">
        <v>15</v>
      </c>
    </row>
    <row r="133" spans="1:6" ht="24">
      <c r="A133" s="2857">
        <v>61</v>
      </c>
      <c r="B133" s="3537"/>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24">
      <c r="A135" s="2857">
        <v>63</v>
      </c>
      <c r="B135" s="3535" t="s">
        <v>2787</v>
      </c>
      <c r="C135" s="2857" t="s">
        <v>2788</v>
      </c>
      <c r="D135" s="2831" t="s">
        <v>2789</v>
      </c>
      <c r="E135" s="2857">
        <v>0.1</v>
      </c>
      <c r="F135" s="2857">
        <v>15</v>
      </c>
    </row>
    <row r="136" spans="1:6" ht="24">
      <c r="A136" s="2857">
        <v>64</v>
      </c>
      <c r="B136" s="3535"/>
      <c r="C136" s="2857" t="s">
        <v>2790</v>
      </c>
      <c r="D136" s="2831" t="s">
        <v>2791</v>
      </c>
      <c r="E136" s="2857">
        <v>0.1</v>
      </c>
      <c r="F136" s="2857">
        <v>15</v>
      </c>
    </row>
    <row r="137" spans="1:6" ht="24">
      <c r="A137" s="2857">
        <v>65</v>
      </c>
      <c r="B137" s="2857" t="s">
        <v>2792</v>
      </c>
      <c r="C137" s="2857" t="s">
        <v>2793</v>
      </c>
      <c r="D137" s="2831" t="s">
        <v>2794</v>
      </c>
      <c r="E137" s="2857">
        <v>0.1</v>
      </c>
      <c r="F137" s="2857">
        <v>15</v>
      </c>
    </row>
    <row r="138" spans="1:6" ht="14.4">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2796</v>
      </c>
      <c r="B1" s="2865"/>
      <c r="C1" s="2865"/>
      <c r="D1" s="2865"/>
      <c r="E1" s="2865"/>
      <c r="F1" s="2865"/>
      <c r="G1" s="2865"/>
      <c r="H1" s="2865"/>
      <c r="I1" s="2865"/>
      <c r="J1" s="2865"/>
      <c r="K1" s="2865"/>
      <c r="L1" s="2865"/>
      <c r="M1" s="2865"/>
      <c r="N1" s="706"/>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1.0089999999999999</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0.95979999999999999</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160764</v>
      </c>
      <c r="C2" s="2" t="s">
        <v>106</v>
      </c>
      <c r="D2" s="190"/>
      <c r="E2" s="190"/>
      <c r="F2" s="190"/>
      <c r="G2" s="190"/>
    </row>
    <row r="3" spans="1:7" s="191" customFormat="1" ht="18" customHeight="1" thickBot="1">
      <c r="A3" s="194" t="s">
        <v>58</v>
      </c>
      <c r="B3" s="195">
        <f ca="1">ROUND(B2*10000/'数据-汇总表'!E3,0)</f>
        <v>9085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3539</v>
      </c>
      <c r="D10" s="794">
        <f>'数据-汇总表'!E6</f>
        <v>176954.78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3539</v>
      </c>
      <c r="D19" s="203">
        <f>'数据-汇总表'!E3</f>
        <v>176954.78</v>
      </c>
      <c r="E19" s="202">
        <f>'数据-取费表'!B31</f>
        <v>200</v>
      </c>
      <c r="F19" s="222"/>
      <c r="G19" s="1" t="s">
        <v>436</v>
      </c>
    </row>
    <row r="20" spans="1:7" s="205" customFormat="1" ht="13.5" customHeight="1">
      <c r="A20" s="730" t="s">
        <v>419</v>
      </c>
      <c r="B20" s="201" t="s">
        <v>77</v>
      </c>
      <c r="C20" s="223">
        <f>ROUND((C5+C19)*F20,0)</f>
        <v>724</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1944</v>
      </c>
      <c r="D22" s="226">
        <f ca="1">C26</f>
        <v>8.0000000000000004E-4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281</v>
      </c>
      <c r="D24" s="229"/>
      <c r="E24" s="229"/>
      <c r="F24" s="230"/>
      <c r="G24" s="231" t="s">
        <v>82</v>
      </c>
    </row>
    <row r="25" spans="1:7" s="205" customFormat="1" ht="24">
      <c r="A25" s="733" t="s">
        <v>348</v>
      </c>
      <c r="B25" s="206" t="s">
        <v>420</v>
      </c>
      <c r="C25" s="1041">
        <f ca="1">ROUND(IF('数据-取费表'!B22&lt;=1,C20*F22*'数据-取费表'!B23/2,C20*(POWER((1+F22),'数据-取费表'!B23/2)-1)),0)</f>
        <v>28</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4975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4975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34487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114032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103265</v>
      </c>
      <c r="D34" s="208"/>
      <c r="E34" s="211"/>
      <c r="F34" s="248">
        <f>IF('数据-取费表'!B24=0,1,'数据-取费表'!N16)</f>
        <v>1</v>
      </c>
      <c r="G34" s="210" t="s">
        <v>89</v>
      </c>
    </row>
    <row r="35" spans="1:7" ht="13.5" customHeight="1">
      <c r="A35" s="733" t="s">
        <v>351</v>
      </c>
      <c r="B35" s="206" t="s">
        <v>33</v>
      </c>
      <c r="C35" s="211">
        <f>ROUND(C34*F35,0)</f>
        <v>5163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3539</v>
      </c>
      <c r="D37" s="208">
        <f>'数据-汇总表'!E3</f>
        <v>176954.78</v>
      </c>
      <c r="E37" s="240">
        <f>'数据-取费表'!B35</f>
        <v>200</v>
      </c>
      <c r="F37" s="250"/>
      <c r="G37" s="252" t="s">
        <v>92</v>
      </c>
    </row>
    <row r="38" spans="1:7" ht="13.5" customHeight="1">
      <c r="A38" s="733" t="s">
        <v>354</v>
      </c>
      <c r="B38" s="206" t="s">
        <v>36</v>
      </c>
      <c r="C38" s="211">
        <f>ROUND(C34*F38,0)</f>
        <v>2065</v>
      </c>
      <c r="D38" s="211"/>
      <c r="E38" s="211"/>
      <c r="F38" s="250">
        <f>'数据-取费表'!B36</f>
        <v>0.02</v>
      </c>
      <c r="G38" s="210" t="s">
        <v>90</v>
      </c>
    </row>
    <row r="39" spans="1:7" s="205" customFormat="1" ht="13.5" customHeight="1">
      <c r="A39" s="730" t="s">
        <v>338</v>
      </c>
      <c r="B39" s="201" t="s">
        <v>77</v>
      </c>
      <c r="C39" s="223">
        <f>ROUND(C33*F20,0)</f>
        <v>3421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4569</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4436</v>
      </c>
      <c r="D42" s="229"/>
      <c r="E42" s="229"/>
      <c r="F42" s="230"/>
      <c r="G42" s="3486" t="s">
        <v>94</v>
      </c>
    </row>
    <row r="43" spans="1:7" ht="13.5" customHeight="1">
      <c r="A43" s="733" t="s">
        <v>347</v>
      </c>
      <c r="B43" s="206" t="s">
        <v>426</v>
      </c>
      <c r="C43" s="229">
        <f ca="1">ROUND(IF('数据-取费表'!B22&lt;=1,C39*F22*'数据-取费表'!B21/2,C39*(POWER((1+F22),'数据-取费表'!B21/2)-1)),0)</f>
        <v>133</v>
      </c>
      <c r="D43" s="229"/>
      <c r="E43" s="229"/>
      <c r="F43" s="230"/>
      <c r="G43" s="3487"/>
    </row>
    <row r="44" spans="1:7" ht="13.5" customHeight="1">
      <c r="A44" s="733" t="s">
        <v>348</v>
      </c>
      <c r="B44" s="206" t="s">
        <v>428</v>
      </c>
      <c r="C44" s="229">
        <f ca="1">ROUND(IF('数据-取费表'!B22&lt;=1,C40*F22*'数据-取费表'!B21/2,C40*(POWER((1+F22),'数据-取费表'!B21/2)-1)),4)</f>
        <v>8.0000000000000004E-4</v>
      </c>
      <c r="D44" s="229"/>
      <c r="E44" s="229"/>
      <c r="F44" s="230"/>
      <c r="G44" s="3488"/>
    </row>
    <row r="45" spans="1:7" s="205" customFormat="1" ht="13.5" customHeight="1">
      <c r="A45" s="730" t="s">
        <v>341</v>
      </c>
      <c r="B45" s="235" t="s">
        <v>85</v>
      </c>
      <c r="C45" s="236">
        <f>C46</f>
        <v>23491</v>
      </c>
      <c r="D45" s="226">
        <f>C47</f>
        <v>4.0000000000000001E-3</v>
      </c>
      <c r="E45" s="227" t="s">
        <v>102</v>
      </c>
      <c r="F45" s="237"/>
      <c r="G45" s="238" t="s">
        <v>434</v>
      </c>
    </row>
    <row r="46" spans="1:7" s="205" customFormat="1" ht="13.5" customHeight="1">
      <c r="A46" s="733" t="s">
        <v>349</v>
      </c>
      <c r="B46" s="239" t="s">
        <v>427</v>
      </c>
      <c r="C46" s="240">
        <f>ROUND((C33+C39)*F27,0)</f>
        <v>23491</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157846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126277</v>
      </c>
      <c r="D51" s="223"/>
      <c r="E51" s="223"/>
      <c r="F51" s="255"/>
      <c r="G51" s="225" t="s">
        <v>37</v>
      </c>
    </row>
    <row r="52" spans="1:7" s="199" customFormat="1" ht="16.8" thickBot="1">
      <c r="A52" s="256" t="s">
        <v>38</v>
      </c>
      <c r="B52" s="257"/>
      <c r="C52" s="258">
        <f ca="1">C31+C51</f>
        <v>160764</v>
      </c>
      <c r="D52" s="257"/>
      <c r="E52" s="257"/>
      <c r="F52" s="257"/>
      <c r="G52" s="259"/>
    </row>
    <row r="55" spans="1:7" ht="15">
      <c r="B55" s="261" t="s">
        <v>39</v>
      </c>
      <c r="C55" s="262"/>
    </row>
    <row r="56" spans="1:7">
      <c r="B56" s="264" t="s">
        <v>40</v>
      </c>
      <c r="C56" s="265">
        <f ca="1">ROUND(C51/C52,3)</f>
        <v>0.78500000000000003</v>
      </c>
    </row>
    <row r="57" spans="1:7">
      <c r="B57" s="264" t="s">
        <v>41</v>
      </c>
      <c r="C57" s="266">
        <f ca="1">1-C56</f>
        <v>0.21499999999999997</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47" t="s">
        <v>3179</v>
      </c>
      <c r="B1" s="3547"/>
    </row>
    <row r="2" spans="1:7" ht="15" thickBot="1">
      <c r="A2" s="2968"/>
      <c r="B2" s="2968"/>
    </row>
    <row r="3" spans="1:7" ht="15" thickBot="1">
      <c r="A3" s="2968"/>
      <c r="B3" s="2968"/>
      <c r="C3" s="2969" t="s">
        <v>2809</v>
      </c>
      <c r="D3" s="2969" t="s">
        <v>2865</v>
      </c>
      <c r="E3" s="2969" t="s">
        <v>2811</v>
      </c>
      <c r="F3" s="2969" t="s">
        <v>2866</v>
      </c>
      <c r="G3" s="2969" t="s">
        <v>2629</v>
      </c>
    </row>
    <row r="4" spans="1:7" ht="1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3"/>
  </cols>
  <sheetData>
    <row r="1" spans="1:6">
      <c r="A1" s="3548" t="s">
        <v>3230</v>
      </c>
      <c r="B1" s="3548"/>
      <c r="C1" s="3548"/>
      <c r="D1" s="3548"/>
      <c r="E1" s="3548"/>
      <c r="F1" s="3549"/>
    </row>
    <row r="2" spans="1:6">
      <c r="A2" s="3002" t="s">
        <v>3231</v>
      </c>
    </row>
    <row r="3" spans="1:6">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topLeftCell="A7" zoomScale="70" zoomScaleNormal="70" zoomScaleSheetLayoutView="70" workbookViewId="0">
      <selection activeCell="D5" sqref="D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3471</v>
      </c>
      <c r="D1" s="1270" t="s">
        <v>43</v>
      </c>
      <c r="E1" s="1271" t="s">
        <v>678</v>
      </c>
      <c r="F1" s="998">
        <f ca="1">J53</f>
        <v>35.06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31566</v>
      </c>
      <c r="C2" s="1288" t="s">
        <v>805</v>
      </c>
      <c r="D2" s="1288"/>
      <c r="E2" s="1294"/>
      <c r="F2" s="1295"/>
      <c r="G2" s="2478"/>
      <c r="H2" s="2468"/>
      <c r="I2" s="2468"/>
      <c r="J2" s="2468"/>
      <c r="K2" s="2469"/>
      <c r="L2" s="2468"/>
      <c r="M2" s="2468"/>
    </row>
    <row r="3" spans="1:37" ht="18" customHeight="1" thickBot="1">
      <c r="A3" s="1296" t="s">
        <v>806</v>
      </c>
      <c r="B3" s="1297">
        <f ca="1">IF(ISERROR(B2*10000/F43),0,ROUND(B2*10000/F43,0))</f>
        <v>5427</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2211</v>
      </c>
      <c r="D5" s="1272" t="s">
        <v>693</v>
      </c>
      <c r="E5" s="1007"/>
      <c r="F5" s="1008"/>
      <c r="G5" s="1291"/>
      <c r="H5" s="290">
        <v>1</v>
      </c>
      <c r="I5" s="291" t="s">
        <v>692</v>
      </c>
      <c r="J5" s="1006">
        <f ca="1">J6+J10+J12</f>
        <v>0</v>
      </c>
      <c r="K5" s="1272" t="s">
        <v>693</v>
      </c>
      <c r="L5" s="1007"/>
      <c r="M5" s="1008"/>
    </row>
    <row r="6" spans="1:37" ht="18" customHeight="1">
      <c r="A6" s="1005" t="s">
        <v>398</v>
      </c>
      <c r="B6" s="3464" t="s">
        <v>694</v>
      </c>
      <c r="C6" s="1010">
        <f ca="1">ROUND(F6*F8*F7*(1-F9)/10000,0)</f>
        <v>2208</v>
      </c>
      <c r="D6" s="146" t="s">
        <v>2107</v>
      </c>
      <c r="E6" s="293" t="s">
        <v>696</v>
      </c>
      <c r="F6" s="294">
        <f ca="1">INDIRECT("'数据-取费表'!u"&amp;$G$1)</f>
        <v>1.3</v>
      </c>
      <c r="G6" s="1291"/>
      <c r="H6" s="1005" t="s">
        <v>398</v>
      </c>
      <c r="I6" s="3464" t="s">
        <v>694</v>
      </c>
      <c r="J6" s="292">
        <f ca="1">ROUND(M6*M8*M7*(1-M9)/10000,0)</f>
        <v>0</v>
      </c>
      <c r="K6" s="146" t="s">
        <v>2106</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58162.89</v>
      </c>
      <c r="G7" s="1291"/>
      <c r="H7" s="295"/>
      <c r="I7" s="3465"/>
      <c r="J7" s="297"/>
      <c r="K7" s="298"/>
      <c r="L7" s="293" t="s">
        <v>697</v>
      </c>
      <c r="M7" s="294">
        <f ca="1">F7</f>
        <v>58162.89</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0.2</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3</v>
      </c>
      <c r="D10" s="149" t="s">
        <v>2114</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35951</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31990</v>
      </c>
      <c r="D14" s="1256" t="s">
        <v>708</v>
      </c>
      <c r="E14" s="1254"/>
      <c r="F14" s="310"/>
      <c r="G14" s="1291"/>
      <c r="H14" s="927" t="s">
        <v>398</v>
      </c>
      <c r="I14" s="293" t="s">
        <v>709</v>
      </c>
      <c r="J14" s="21">
        <f ca="1">C29</f>
        <v>44939</v>
      </c>
      <c r="K14" s="12"/>
      <c r="L14" s="758"/>
      <c r="M14" s="759"/>
    </row>
    <row r="15" spans="1:37" s="1303" customFormat="1" ht="18" customHeight="1" thickBot="1">
      <c r="A15" s="927" t="s">
        <v>399</v>
      </c>
      <c r="B15" s="293" t="s">
        <v>710</v>
      </c>
      <c r="C15" s="21">
        <f ca="1">ROUND(C14*F15,0)</f>
        <v>1600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244</v>
      </c>
      <c r="K16" s="1023" t="s">
        <v>715</v>
      </c>
      <c r="L16" s="1024"/>
      <c r="M16" s="1008"/>
    </row>
    <row r="17" spans="1:37" s="1303" customFormat="1" ht="18" customHeight="1">
      <c r="A17" s="927" t="s">
        <v>681</v>
      </c>
      <c r="B17" s="293" t="s">
        <v>716</v>
      </c>
      <c r="C17" s="21">
        <f ca="1">ROUND(F17*(F43+INDIRECT("'数据-取费表'!S"&amp;$G$1))/10000,0)</f>
        <v>1163</v>
      </c>
      <c r="D17" s="293" t="s">
        <v>717</v>
      </c>
      <c r="E17" s="293" t="s">
        <v>718</v>
      </c>
      <c r="F17" s="23">
        <f>'数据-取费表'!B35</f>
        <v>200</v>
      </c>
      <c r="G17" s="1302"/>
      <c r="H17" s="927" t="s">
        <v>398</v>
      </c>
      <c r="I17" s="293" t="s">
        <v>719</v>
      </c>
      <c r="J17" s="2139">
        <f ca="1">ROUND(IF(AND(项目基本情况!B11="自然人",项目基本情况!B10="北京市"),J6*M17/(1+'数据-取费表'!C42),J18+J19+J20),2)</f>
        <v>19.47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640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35393</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1062</v>
      </c>
      <c r="D20" s="314" t="s">
        <v>729</v>
      </c>
      <c r="E20" s="293" t="s">
        <v>712</v>
      </c>
      <c r="F20" s="313">
        <f>'数据-取费表'!B37</f>
        <v>0.03</v>
      </c>
      <c r="G20" s="1302"/>
      <c r="H20" s="927" t="s">
        <v>680</v>
      </c>
      <c r="I20" s="146" t="s">
        <v>730</v>
      </c>
      <c r="J20" s="22">
        <f ca="1">ROUND(M20*M21/10000,2)</f>
        <v>19.47</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16225.21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1418</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712</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-244</v>
      </c>
      <c r="K25" s="1031" t="s">
        <v>753</v>
      </c>
      <c r="L25" s="1032"/>
      <c r="M25" s="1033"/>
    </row>
    <row r="26" spans="1:37">
      <c r="A26" s="927" t="s">
        <v>397</v>
      </c>
      <c r="B26" s="293" t="s">
        <v>754</v>
      </c>
      <c r="C26" s="21">
        <f ca="1">ROUND((C19+C20)*F26,0)</f>
        <v>3646</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44939</v>
      </c>
      <c r="D29" s="1028"/>
      <c r="E29" s="1026"/>
      <c r="F29" s="1029"/>
      <c r="G29" s="1302"/>
      <c r="H29" s="324" t="s">
        <v>396</v>
      </c>
      <c r="I29" s="325" t="s">
        <v>768</v>
      </c>
      <c r="J29" s="326">
        <f ca="1">ROUND(J26/(1+F40)^F41,0)</f>
        <v>0</v>
      </c>
      <c r="K29" s="327" t="s">
        <v>769</v>
      </c>
      <c r="L29" s="328"/>
      <c r="M29" s="329">
        <f ca="1">INDIRECT("'数据-取费表'!k"&amp;$G$1)</f>
        <v>58162.89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690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389.57</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117.76</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252.34</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19.47</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16225.21</v>
      </c>
      <c r="G35" s="1291"/>
      <c r="H35" s="2470"/>
      <c r="I35" s="1304"/>
      <c r="J35" s="1305"/>
      <c r="K35" s="2474"/>
      <c r="L35" s="2473"/>
      <c r="M35" s="2473"/>
    </row>
    <row r="36" spans="1:18" ht="18" customHeight="1">
      <c r="A36" s="1038" t="s">
        <v>402</v>
      </c>
      <c r="B36" s="293" t="s">
        <v>738</v>
      </c>
      <c r="C36" s="21">
        <f ca="1">ROUND(C29*F36,2)</f>
        <v>224.7</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53.93</v>
      </c>
      <c r="D37" s="1255" t="s">
        <v>743</v>
      </c>
      <c r="E37" s="293" t="s">
        <v>712</v>
      </c>
      <c r="F37" s="320">
        <f ca="1">INDIRECT("'数据-取费表'!Al"&amp;$G$1)</f>
        <v>1.5E-3</v>
      </c>
      <c r="G37" s="1291"/>
      <c r="H37" s="2473"/>
      <c r="I37" s="1304"/>
      <c r="J37" s="1305"/>
      <c r="K37" s="2330"/>
      <c r="L37" s="2473"/>
      <c r="M37" s="2473"/>
    </row>
    <row r="38" spans="1:18" ht="18" customHeight="1" thickBot="1">
      <c r="A38" s="1025" t="s">
        <v>683</v>
      </c>
      <c r="B38" s="1026" t="s">
        <v>728</v>
      </c>
      <c r="C38" s="1027">
        <f ca="1">ROUND(C5*F38,2)</f>
        <v>22.11</v>
      </c>
      <c r="D38" s="1028" t="s">
        <v>748</v>
      </c>
      <c r="E38" s="1026" t="s">
        <v>712</v>
      </c>
      <c r="F38" s="1022">
        <f ca="1">INDIRECT("'数据-取费表'!Am"&amp;$G$1)</f>
        <v>0.01</v>
      </c>
      <c r="G38" s="1291"/>
      <c r="H38" s="2473"/>
      <c r="I38" s="1304"/>
      <c r="J38" s="1305"/>
      <c r="K38" s="2471"/>
      <c r="L38" s="2473"/>
      <c r="M38" s="2473"/>
    </row>
    <row r="39" spans="1:18" ht="24.6" customHeight="1" thickTop="1">
      <c r="A39" s="1015" t="s">
        <v>394</v>
      </c>
      <c r="B39" s="1030" t="s">
        <v>752</v>
      </c>
      <c r="C39" s="301">
        <f ca="1">C5-C30</f>
        <v>1521</v>
      </c>
      <c r="D39" s="1031" t="s">
        <v>753</v>
      </c>
      <c r="E39" s="1032"/>
      <c r="F39" s="1033"/>
      <c r="G39" s="1291"/>
      <c r="H39" s="2473"/>
      <c r="I39" s="1304"/>
      <c r="J39" s="1305"/>
      <c r="K39" s="2471"/>
      <c r="L39" s="2473"/>
      <c r="M39" s="2473"/>
    </row>
    <row r="40" spans="1:18" ht="18" customHeight="1">
      <c r="A40" s="290" t="s">
        <v>395</v>
      </c>
      <c r="B40" s="291" t="s">
        <v>774</v>
      </c>
      <c r="C40" s="292">
        <f ca="1">ROUND(C39*(1-((1+F42)/(1+F40))^F41)/(F40-F42),0)</f>
        <v>30142</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5182</v>
      </c>
      <c r="D43" s="327" t="s">
        <v>777</v>
      </c>
      <c r="E43" s="328" t="s">
        <v>778</v>
      </c>
      <c r="F43" s="329">
        <f ca="1">INDIRECT("'数据-取费表'!k"&amp;$G$1)</f>
        <v>58162.89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-34731</v>
      </c>
      <c r="D46" s="1312" t="str">
        <f>C2</f>
        <v>万元</v>
      </c>
      <c r="E46" s="1306"/>
      <c r="F46" s="1306"/>
      <c r="I46" s="1313" t="s">
        <v>810</v>
      </c>
      <c r="J46" s="1314"/>
      <c r="K46" s="1315"/>
      <c r="L46" s="1316">
        <f ca="1">IF(M47="住宅",0,IF(L48&gt;J51,L60,J60))</f>
        <v>1424</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30142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1424</v>
      </c>
      <c r="R48" s="1326" t="s">
        <v>822</v>
      </c>
    </row>
    <row r="49" spans="1:18" s="1291" customFormat="1" ht="13.8" thickBot="1">
      <c r="A49" s="920" t="s">
        <v>439</v>
      </c>
      <c r="B49" s="1278" t="s">
        <v>779</v>
      </c>
      <c r="C49" s="1050">
        <f ca="1">ROUND(F49*F51*F50*(1-F52)/10000,0)</f>
        <v>0</v>
      </c>
      <c r="D49" s="991" t="s">
        <v>2106</v>
      </c>
      <c r="E49" s="1279" t="s">
        <v>780</v>
      </c>
      <c r="F49" s="996"/>
      <c r="H49" s="681"/>
      <c r="I49" s="1327" t="s">
        <v>823</v>
      </c>
      <c r="J49" s="1331">
        <f>面积清单!C32</f>
        <v>2013</v>
      </c>
      <c r="K49" s="1329" t="s">
        <v>824</v>
      </c>
      <c r="L49" s="1332"/>
      <c r="O49" s="1333" t="s">
        <v>405</v>
      </c>
      <c r="P49" s="1325" t="s">
        <v>825</v>
      </c>
      <c r="Q49" s="1326">
        <f ca="1">C29</f>
        <v>44939</v>
      </c>
      <c r="R49" s="1326" t="s">
        <v>818</v>
      </c>
    </row>
    <row r="50" spans="1:18" s="1291" customFormat="1" ht="13.8" thickBot="1">
      <c r="A50" s="921"/>
      <c r="B50" s="924"/>
      <c r="C50" s="1054"/>
      <c r="D50" s="898"/>
      <c r="E50" s="992" t="s">
        <v>697</v>
      </c>
      <c r="F50" s="993">
        <f ca="1">F7</f>
        <v>58162.89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-19449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2" t="s">
        <v>837</v>
      </c>
      <c r="L53" s="3463"/>
      <c r="O53" s="1324" t="s">
        <v>409</v>
      </c>
      <c r="P53" s="1325" t="s">
        <v>838</v>
      </c>
      <c r="Q53" s="1326">
        <f ca="1">Q47+Q48</f>
        <v>31566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35951</v>
      </c>
      <c r="D56" s="1351"/>
      <c r="E56" s="1352"/>
      <c r="F56" s="1344"/>
      <c r="I56" s="1353" t="s">
        <v>842</v>
      </c>
      <c r="J56" s="1354" t="s">
        <v>3799</v>
      </c>
      <c r="K56" s="1327" t="s">
        <v>843</v>
      </c>
      <c r="L56" s="1330" t="str">
        <f ca="1">IF(L48&lt;J51,"——",L48-J53)</f>
        <v>——</v>
      </c>
      <c r="O56" s="1324" t="s">
        <v>403</v>
      </c>
      <c r="P56" s="1325" t="s">
        <v>817</v>
      </c>
      <c r="Q56" s="1326">
        <f ca="1">C40+J29</f>
        <v>30142</v>
      </c>
      <c r="R56" s="1326" t="s">
        <v>818</v>
      </c>
    </row>
    <row r="57" spans="1:18" s="1291" customFormat="1" ht="24.6" thickBot="1">
      <c r="A57" s="1355"/>
      <c r="B57" s="895" t="s">
        <v>767</v>
      </c>
      <c r="C57" s="229">
        <f ca="1">C29</f>
        <v>44939</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298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19</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17976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1424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3334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IF(项目基本情况!B11="自然人","——",ROUND(F62*F63/10000,2))</f>
        <v>19.47</v>
      </c>
      <c r="D62" s="910" t="s">
        <v>731</v>
      </c>
      <c r="E62" s="895" t="s">
        <v>732</v>
      </c>
      <c r="F62" s="316">
        <f t="shared" si="0"/>
        <v>12</v>
      </c>
      <c r="I62" s="1366" t="s">
        <v>858</v>
      </c>
      <c r="J62" s="609" t="s">
        <v>859</v>
      </c>
      <c r="K62" s="609" t="s">
        <v>860</v>
      </c>
      <c r="L62" s="609" t="s">
        <v>861</v>
      </c>
      <c r="M62" s="1367" t="s">
        <v>862</v>
      </c>
      <c r="O62" s="1324" t="s">
        <v>409</v>
      </c>
      <c r="P62" s="1325" t="s">
        <v>838</v>
      </c>
      <c r="Q62" s="1326">
        <f ca="1">Q56+Q57</f>
        <v>30142</v>
      </c>
      <c r="R62" s="1326" t="s">
        <v>410</v>
      </c>
    </row>
    <row r="63" spans="1:18" s="1291" customFormat="1" ht="13.8" thickBot="1">
      <c r="A63" s="317"/>
      <c r="B63" s="901"/>
      <c r="C63" s="26"/>
      <c r="D63" s="911"/>
      <c r="E63" s="895" t="s">
        <v>736</v>
      </c>
      <c r="F63" s="294">
        <f t="shared" ca="1" si="0"/>
        <v>16225.21</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ROUND(C57*F64,2)</f>
        <v>224.7</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53.93</v>
      </c>
      <c r="D65" s="909" t="s">
        <v>743</v>
      </c>
      <c r="E65" s="895" t="s">
        <v>712</v>
      </c>
      <c r="F65" s="320">
        <f t="shared" ca="1" si="0"/>
        <v>1.5E-3</v>
      </c>
      <c r="I65" s="1366" t="s">
        <v>867</v>
      </c>
      <c r="J65" s="609">
        <v>40</v>
      </c>
      <c r="K65" s="609">
        <v>30</v>
      </c>
      <c r="L65" s="609">
        <v>50</v>
      </c>
      <c r="M65" s="1368">
        <v>0.02</v>
      </c>
      <c r="O65" s="1324" t="s">
        <v>403</v>
      </c>
      <c r="P65" s="1325" t="s">
        <v>817</v>
      </c>
      <c r="Q65" s="1326">
        <f ca="1">C40+J29</f>
        <v>30142</v>
      </c>
      <c r="R65" s="1326" t="s">
        <v>818</v>
      </c>
    </row>
    <row r="66" spans="1:18" s="1291" customFormat="1" ht="16.2" thickBot="1">
      <c r="A66" s="927" t="s">
        <v>793</v>
      </c>
      <c r="B66" s="895" t="s">
        <v>728</v>
      </c>
      <c r="C66" s="21">
        <f ca="1">ROUND(C48*F66,2)</f>
        <v>0</v>
      </c>
      <c r="D66" s="909" t="s">
        <v>748</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-298</v>
      </c>
      <c r="D67" s="908" t="s">
        <v>753</v>
      </c>
      <c r="E67" s="913"/>
      <c r="F67" s="914"/>
      <c r="O67" s="1333" t="s">
        <v>405</v>
      </c>
      <c r="P67" s="1325" t="s">
        <v>850</v>
      </c>
      <c r="Q67" s="1369">
        <f ca="1">L51</f>
        <v>-19449</v>
      </c>
      <c r="R67" s="1326" t="s">
        <v>870</v>
      </c>
    </row>
    <row r="68" spans="1:18" s="1291" customFormat="1" ht="16.2" thickBot="1">
      <c r="A68" s="892" t="s">
        <v>395</v>
      </c>
      <c r="B68" s="893" t="s">
        <v>774</v>
      </c>
      <c r="C68" s="292">
        <f ca="1">ROUND(C67*(1-((1+F70)/(1+F68))^F69)/(F68-F70),0)</f>
        <v>-4589</v>
      </c>
      <c r="D68" s="910" t="s">
        <v>758</v>
      </c>
      <c r="E68" s="895" t="s">
        <v>759</v>
      </c>
      <c r="F68" s="303">
        <f ca="1">F40</f>
        <v>5.5E-2</v>
      </c>
      <c r="O68" s="1333" t="s">
        <v>406</v>
      </c>
      <c r="P68" s="1370" t="s">
        <v>871</v>
      </c>
      <c r="Q68" s="1326">
        <f ca="1">ROUND(Q69-Q70*Q71,0)</f>
        <v>-996</v>
      </c>
      <c r="R68" s="1326" t="s">
        <v>414</v>
      </c>
    </row>
    <row r="69" spans="1:18" s="1291" customFormat="1" ht="13.8" thickBot="1">
      <c r="A69" s="896"/>
      <c r="B69" s="897"/>
      <c r="C69" s="297"/>
      <c r="D69" s="915" t="s">
        <v>762</v>
      </c>
      <c r="E69" s="895" t="s">
        <v>763</v>
      </c>
      <c r="F69" s="323">
        <f ca="1">F41</f>
        <v>35.06</v>
      </c>
      <c r="O69" s="1333" t="s">
        <v>411</v>
      </c>
      <c r="P69" s="1370" t="s">
        <v>872</v>
      </c>
      <c r="Q69" s="1326">
        <f ca="1">C39</f>
        <v>1521</v>
      </c>
      <c r="R69" s="1326" t="s">
        <v>818</v>
      </c>
    </row>
    <row r="70" spans="1:18" s="1291" customFormat="1" ht="13.8" thickBot="1">
      <c r="A70" s="899"/>
      <c r="B70" s="900"/>
      <c r="C70" s="301"/>
      <c r="D70" s="911"/>
      <c r="E70" s="895" t="s">
        <v>766</v>
      </c>
      <c r="F70" s="990"/>
      <c r="O70" s="1333" t="s">
        <v>412</v>
      </c>
      <c r="P70" s="1370" t="s">
        <v>873</v>
      </c>
      <c r="Q70" s="1326">
        <f ca="1">C13</f>
        <v>35951</v>
      </c>
      <c r="R70" s="1326" t="s">
        <v>818</v>
      </c>
    </row>
    <row r="71" spans="1:18" s="1291" customFormat="1" ht="13.8" thickBot="1">
      <c r="A71" s="916" t="s">
        <v>396</v>
      </c>
      <c r="B71" s="917" t="s">
        <v>776</v>
      </c>
      <c r="C71" s="326">
        <f ca="1">ROUND(C68*10000/F71,0)</f>
        <v>-789</v>
      </c>
      <c r="D71" s="918" t="s">
        <v>777</v>
      </c>
      <c r="E71" s="919" t="s">
        <v>778</v>
      </c>
      <c r="F71" s="329">
        <f ca="1">F43</f>
        <v>58162.89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2517</v>
      </c>
      <c r="D75" s="1291"/>
      <c r="E75" s="1291"/>
      <c r="F75" s="1291"/>
      <c r="K75" s="1308"/>
      <c r="L75" s="1291"/>
      <c r="O75" s="1324" t="s">
        <v>409</v>
      </c>
      <c r="P75" s="1325" t="s">
        <v>838</v>
      </c>
      <c r="Q75" s="1326">
        <f ca="1">Q65+Q66</f>
        <v>30142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-0.65500000000000003</v>
      </c>
    </row>
    <row r="80" spans="1:18">
      <c r="B80" s="330" t="s">
        <v>800</v>
      </c>
      <c r="C80" s="265">
        <f ca="1">ROUND(C75/C39,3)</f>
        <v>1.655</v>
      </c>
    </row>
    <row r="81" spans="2:3">
      <c r="B81" s="261" t="s">
        <v>801</v>
      </c>
      <c r="C81" s="229"/>
    </row>
    <row r="82" spans="2:3">
      <c r="B82" s="264" t="s">
        <v>802</v>
      </c>
      <c r="C82" s="266">
        <f ca="1">1-C83</f>
        <v>-0.19300000000000006</v>
      </c>
    </row>
    <row r="83" spans="2:3">
      <c r="B83" s="264" t="s">
        <v>803</v>
      </c>
      <c r="C83" s="265">
        <f ca="1">ROUND(C13/C40,3)</f>
        <v>1.1930000000000001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45749</v>
      </c>
      <c r="B1" s="2929" t="s">
        <v>3376</v>
      </c>
      <c r="C1" s="2930"/>
      <c r="D1" s="2930"/>
      <c r="E1" s="2930"/>
      <c r="F1" s="2930"/>
      <c r="G1" s="2930"/>
      <c r="H1" s="2930"/>
      <c r="I1" s="2930"/>
      <c r="J1" s="2896"/>
      <c r="K1" s="2930" t="s">
        <v>454</v>
      </c>
      <c r="L1" s="2930"/>
      <c r="M1" s="2930"/>
      <c r="N1" s="2930"/>
      <c r="O1" s="2930"/>
      <c r="P1" s="2930"/>
      <c r="Q1" s="2896"/>
      <c r="R1" s="3550" t="s">
        <v>456</v>
      </c>
      <c r="S1" s="3551"/>
      <c r="T1" s="3551"/>
      <c r="U1" s="3551"/>
      <c r="V1" s="3551"/>
      <c r="W1" s="3551"/>
      <c r="X1" s="2896"/>
      <c r="Y1" s="3550" t="s">
        <v>457</v>
      </c>
      <c r="Z1" s="3551"/>
      <c r="AA1" s="3551"/>
      <c r="AB1" s="3551"/>
      <c r="AC1" s="3551"/>
      <c r="AD1" s="3551"/>
    </row>
    <row r="2" spans="1:44" s="2009" customFormat="1" ht="15" thickBot="1">
      <c r="B2" s="2881"/>
      <c r="C2" s="2882"/>
      <c r="D2" s="2010" t="s">
        <v>2808</v>
      </c>
      <c r="E2" s="2011" t="s">
        <v>2809</v>
      </c>
      <c r="F2" s="2011" t="s">
        <v>2810</v>
      </c>
      <c r="G2" s="2011" t="s">
        <v>2811</v>
      </c>
      <c r="H2" s="2011" t="s">
        <v>2812</v>
      </c>
      <c r="I2" s="2011" t="s">
        <v>2629</v>
      </c>
      <c r="J2" s="2883"/>
      <c r="K2" s="2010" t="s">
        <v>2808</v>
      </c>
      <c r="L2" s="2011" t="s">
        <v>2809</v>
      </c>
      <c r="M2" s="2011" t="s">
        <v>2810</v>
      </c>
      <c r="N2" s="2011" t="s">
        <v>2811</v>
      </c>
      <c r="O2" s="2011" t="s">
        <v>2813</v>
      </c>
      <c r="P2" s="2011" t="s">
        <v>2629</v>
      </c>
      <c r="Q2" s="2883"/>
      <c r="R2" s="2010" t="s">
        <v>2808</v>
      </c>
      <c r="S2" s="2011" t="s">
        <v>2809</v>
      </c>
      <c r="T2" s="2011" t="s">
        <v>2810</v>
      </c>
      <c r="U2" s="2011" t="s">
        <v>2814</v>
      </c>
      <c r="V2" s="2011" t="s">
        <v>2815</v>
      </c>
      <c r="W2" s="2011" t="s">
        <v>2629</v>
      </c>
      <c r="X2" s="2883"/>
      <c r="Y2" s="2010" t="s">
        <v>2808</v>
      </c>
      <c r="Z2" s="2011" t="s">
        <v>2809</v>
      </c>
      <c r="AA2" s="2011" t="s">
        <v>2810</v>
      </c>
      <c r="AB2" s="2011" t="s">
        <v>2816</v>
      </c>
      <c r="AC2" s="2011" t="s">
        <v>2815</v>
      </c>
      <c r="AD2" s="2011" t="s">
        <v>2629</v>
      </c>
      <c r="AF2" t="s">
        <v>3403</v>
      </c>
      <c r="AG2" t="s">
        <v>673</v>
      </c>
      <c r="AH2" t="s">
        <v>21</v>
      </c>
      <c r="AI2" t="s">
        <v>3404</v>
      </c>
      <c r="AJ2" t="s">
        <v>3</v>
      </c>
      <c r="AK2" t="s">
        <v>3405</v>
      </c>
      <c r="AM2" t="s">
        <v>3403</v>
      </c>
      <c r="AN2" t="s">
        <v>673</v>
      </c>
      <c r="AO2" t="s">
        <v>21</v>
      </c>
      <c r="AP2" t="s">
        <v>3404</v>
      </c>
      <c r="AQ2" t="s">
        <v>3</v>
      </c>
      <c r="AR2" t="s">
        <v>3405</v>
      </c>
    </row>
    <row r="3" spans="1:44" s="2886" customFormat="1" ht="13.2">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3400</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2818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2819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2820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2821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3379</v>
      </c>
    </row>
    <row r="27" spans="1:44">
      <c r="I27" s="1404" t="s">
        <v>2823</v>
      </c>
    </row>
    <row r="29" spans="1:44" s="2008" customFormat="1" ht="13.2">
      <c r="B29" s="2929" t="s">
        <v>3377</v>
      </c>
      <c r="C29" s="2930"/>
      <c r="D29" s="2930"/>
      <c r="E29" s="2930"/>
      <c r="F29" s="2930"/>
      <c r="G29" s="2930"/>
      <c r="H29" s="2930"/>
      <c r="I29" s="2930"/>
      <c r="J29" s="2896"/>
      <c r="K29" s="2930" t="s">
        <v>2824</v>
      </c>
      <c r="L29" s="2930"/>
      <c r="M29" s="2930"/>
      <c r="N29" s="2930"/>
      <c r="O29" s="2930"/>
      <c r="P29" s="2930"/>
      <c r="Q29" s="2896"/>
      <c r="R29" s="3550" t="s">
        <v>2825</v>
      </c>
      <c r="S29" s="3551"/>
      <c r="T29" s="3551"/>
      <c r="U29" s="3551"/>
      <c r="V29" s="3551"/>
      <c r="W29" s="3551"/>
      <c r="X29" s="2896"/>
      <c r="Y29" s="3550" t="s">
        <v>2826</v>
      </c>
      <c r="Z29" s="3551"/>
      <c r="AA29" s="3551"/>
      <c r="AB29" s="3551"/>
      <c r="AC29" s="3551"/>
      <c r="AD29" s="3551"/>
    </row>
    <row r="30" spans="1:44" s="2009" customFormat="1" ht="15" thickBot="1">
      <c r="B30" s="2881"/>
      <c r="C30" s="2882"/>
      <c r="D30" s="2010" t="s">
        <v>2827</v>
      </c>
      <c r="E30" s="2011" t="s">
        <v>2828</v>
      </c>
      <c r="F30" s="2011" t="s">
        <v>2829</v>
      </c>
      <c r="G30" s="2011" t="s">
        <v>2830</v>
      </c>
      <c r="H30" s="2011"/>
      <c r="I30" s="2011" t="s">
        <v>2831</v>
      </c>
      <c r="J30" s="2883"/>
      <c r="K30" s="2010" t="s">
        <v>2827</v>
      </c>
      <c r="L30" s="2011" t="s">
        <v>2828</v>
      </c>
      <c r="M30" s="2011" t="s">
        <v>2829</v>
      </c>
      <c r="N30" s="2011" t="s">
        <v>2830</v>
      </c>
      <c r="O30" s="2011"/>
      <c r="P30" s="2011" t="s">
        <v>2831</v>
      </c>
      <c r="Q30" s="2883"/>
      <c r="R30" s="2010" t="s">
        <v>2827</v>
      </c>
      <c r="S30" s="2011" t="s">
        <v>2828</v>
      </c>
      <c r="T30" s="2011" t="s">
        <v>2829</v>
      </c>
      <c r="U30" s="2011" t="s">
        <v>2830</v>
      </c>
      <c r="V30" s="2011"/>
      <c r="W30" s="2011" t="s">
        <v>2831</v>
      </c>
      <c r="X30" s="2883"/>
      <c r="Y30" s="2010" t="s">
        <v>2827</v>
      </c>
      <c r="Z30" s="2011" t="s">
        <v>2828</v>
      </c>
      <c r="AA30" s="2011" t="s">
        <v>2829</v>
      </c>
      <c r="AB30" s="2011" t="s">
        <v>2830</v>
      </c>
      <c r="AC30" s="2011"/>
      <c r="AD30" s="2011" t="s">
        <v>2831</v>
      </c>
      <c r="AG30" t="s">
        <v>673</v>
      </c>
      <c r="AH30" t="s">
        <v>21</v>
      </c>
      <c r="AI30" t="s">
        <v>3404</v>
      </c>
      <c r="AJ30"/>
      <c r="AK30" t="s">
        <v>3405</v>
      </c>
      <c r="AN30" t="s">
        <v>673</v>
      </c>
      <c r="AO30" t="s">
        <v>21</v>
      </c>
      <c r="AP30" t="s">
        <v>3404</v>
      </c>
      <c r="AQ30"/>
      <c r="AR30" t="s">
        <v>3405</v>
      </c>
    </row>
    <row r="31" spans="1:44" s="2886" customFormat="1" ht="13.2">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3409</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55" t="s">
        <v>452</v>
      </c>
      <c r="C1" s="3555"/>
      <c r="D1" s="3555"/>
      <c r="E1" s="3555"/>
      <c r="F1" s="3555"/>
      <c r="G1" s="3551" t="s">
        <v>453</v>
      </c>
      <c r="H1" s="3551"/>
      <c r="I1" s="3551"/>
      <c r="J1" s="3551"/>
      <c r="K1" s="3551"/>
      <c r="L1" s="3551"/>
      <c r="N1" s="3551" t="s">
        <v>454</v>
      </c>
      <c r="O1" s="3551"/>
      <c r="P1" s="3551"/>
      <c r="Q1" s="3551"/>
      <c r="S1" s="3551" t="s">
        <v>455</v>
      </c>
      <c r="T1" s="3551"/>
      <c r="U1" s="3551"/>
      <c r="V1" s="3551"/>
      <c r="X1" s="3550" t="s">
        <v>456</v>
      </c>
      <c r="Y1" s="3551"/>
      <c r="Z1" s="3551"/>
      <c r="AA1" s="3551"/>
      <c r="AB1" s="3551"/>
      <c r="AD1" s="3550" t="s">
        <v>457</v>
      </c>
      <c r="AE1" s="3551"/>
      <c r="AF1" s="3551"/>
      <c r="AG1" s="3551"/>
      <c r="AH1" s="355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6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5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6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5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5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5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5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5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5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5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5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5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5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5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5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5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5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5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5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5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63" t="s">
        <v>2837</v>
      </c>
      <c r="B1" s="3563"/>
      <c r="C1" s="3563"/>
      <c r="D1" s="3563"/>
      <c r="E1" s="3563"/>
      <c r="F1" s="3563"/>
      <c r="G1" s="3564"/>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1.4"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561"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1.4" thickBot="1">
      <c r="A4" s="3562"/>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1.4"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1.4"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1.4"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1.4"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45749</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47" t="str">
        <f>IF(项目基本情况!B9="房地产市场价值","估价结果一览表","结果表-2")</f>
        <v>结果表-2</v>
      </c>
      <c r="B1" s="3247"/>
      <c r="C1" s="3247"/>
      <c r="D1" s="3247"/>
      <c r="E1" s="3247"/>
      <c r="F1" s="3247"/>
      <c r="G1" s="3247"/>
      <c r="H1" s="3247"/>
      <c r="I1" s="3247"/>
    </row>
    <row r="2" spans="1:9" ht="30" customHeight="1" thickTop="1">
      <c r="A2" s="3248" t="s">
        <v>928</v>
      </c>
      <c r="B2" s="3248" t="s">
        <v>929</v>
      </c>
      <c r="C2" s="3248" t="s">
        <v>930</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6">
      <c r="A3" s="3243"/>
      <c r="B3" s="3243"/>
      <c r="C3" s="3243"/>
      <c r="D3" s="800" t="s">
        <v>925</v>
      </c>
      <c r="E3" s="800" t="s">
        <v>931</v>
      </c>
      <c r="F3" s="800" t="s">
        <v>925</v>
      </c>
      <c r="G3" s="800" t="s">
        <v>926</v>
      </c>
      <c r="H3" s="800" t="s">
        <v>925</v>
      </c>
      <c r="I3" s="800" t="s">
        <v>926</v>
      </c>
    </row>
    <row r="4" spans="1:9" ht="15">
      <c r="A4" s="1402" t="str">
        <f>项目基本情况!S2</f>
        <v>北京市房地产</v>
      </c>
      <c r="B4" s="800">
        <f>项目基本情况!C17</f>
        <v>176954.78</v>
      </c>
      <c r="C4" s="800">
        <f>项目基本情况!C18</f>
        <v>49363.59</v>
      </c>
      <c r="D4" s="800">
        <f ca="1">结果表!D118</f>
        <v>274828</v>
      </c>
      <c r="E4" s="800">
        <f ca="1">结果表!E118</f>
        <v>23135</v>
      </c>
      <c r="F4" s="800">
        <f ca="1">结果表!F118</f>
        <v>173504</v>
      </c>
      <c r="G4" s="800">
        <f ca="1">结果表!G118</f>
        <v>14606</v>
      </c>
      <c r="H4" s="800">
        <f ca="1">结果表!H118</f>
        <v>448332</v>
      </c>
      <c r="I4" s="800">
        <f ca="1">结果表!I118</f>
        <v>37741</v>
      </c>
    </row>
    <row r="5" spans="1:9" ht="30" customHeight="1">
      <c r="A5" s="3243" t="s">
        <v>927</v>
      </c>
      <c r="B5" s="3243"/>
      <c r="C5" s="3243"/>
      <c r="D5" s="3243" t="str">
        <f ca="1">结果表!D119</f>
        <v>贰拾柒亿肆仟捌佰贰拾捌万元整</v>
      </c>
      <c r="E5" s="3243"/>
      <c r="F5" s="3243" t="str">
        <f ca="1">结果表!F119</f>
        <v>壹拾柒亿叁仟伍佰零肆万元整</v>
      </c>
      <c r="G5" s="3243"/>
      <c r="H5" s="3243" t="str">
        <f ca="1">结果表!H119</f>
        <v>肆拾肆亿捌仟叁佰叁拾贰万元整</v>
      </c>
      <c r="I5" s="3243"/>
    </row>
    <row r="6" spans="1:9" ht="15.6">
      <c r="A6" s="3242" t="str">
        <f>结果表!A120</f>
        <v>估价师知悉的法定优先受偿款</v>
      </c>
      <c r="B6" s="3242"/>
      <c r="C6" s="3242"/>
      <c r="D6" s="3242">
        <f>结果表!D120</f>
        <v>0</v>
      </c>
      <c r="E6" s="3242"/>
      <c r="F6" s="3242"/>
      <c r="G6" s="3242"/>
      <c r="H6" s="3242"/>
      <c r="I6" s="3242"/>
    </row>
    <row r="7" spans="1:9" ht="15">
      <c r="A7" s="3243" t="s">
        <v>927</v>
      </c>
      <c r="B7" s="3243"/>
      <c r="C7" s="3243"/>
      <c r="D7" s="3244" t="str">
        <f>结果表!D121</f>
        <v>零元整</v>
      </c>
      <c r="E7" s="3245"/>
      <c r="F7" s="3245"/>
      <c r="G7" s="3245"/>
      <c r="H7" s="3245"/>
      <c r="I7" s="3246"/>
    </row>
    <row r="8" spans="1:9" ht="15.6">
      <c r="A8" s="3242" t="str">
        <f>结果表!A122</f>
        <v>房地产抵押价值</v>
      </c>
      <c r="B8" s="3242"/>
      <c r="C8" s="3242"/>
      <c r="D8" s="3242">
        <f ca="1">结果表!D122</f>
        <v>448332</v>
      </c>
      <c r="E8" s="3242"/>
      <c r="F8" s="3242"/>
      <c r="G8" s="3242"/>
      <c r="H8" s="3242"/>
      <c r="I8" s="3242"/>
    </row>
    <row r="9" spans="1:9" ht="15">
      <c r="A9" s="3243" t="s">
        <v>927</v>
      </c>
      <c r="B9" s="3243"/>
      <c r="C9" s="3243"/>
      <c r="D9" s="3243" t="str">
        <f ca="1">结果表!D123</f>
        <v>肆拾肆亿捌仟叁佰叁拾贰万元整</v>
      </c>
      <c r="E9" s="3243"/>
      <c r="F9" s="3243"/>
      <c r="G9" s="3243"/>
      <c r="H9" s="3243"/>
      <c r="I9" s="3243"/>
    </row>
    <row r="10" spans="1:9" ht="15.6">
      <c r="A10" s="3242" t="str">
        <f>结果表!A124</f>
        <v/>
      </c>
      <c r="B10" s="3242"/>
      <c r="C10" s="3242"/>
      <c r="D10" s="3242" t="str">
        <f>结果表!D124</f>
        <v>——</v>
      </c>
      <c r="E10" s="3242"/>
      <c r="F10" s="3242"/>
      <c r="G10" s="3242"/>
      <c r="H10" s="3242"/>
      <c r="I10" s="3242"/>
    </row>
    <row r="11" spans="1:9" ht="15">
      <c r="A11" s="3243" t="s">
        <v>927</v>
      </c>
      <c r="B11" s="3243"/>
      <c r="C11" s="3243"/>
      <c r="D11" s="3243" t="e">
        <f>结果表!D125</f>
        <v>#VALUE!</v>
      </c>
      <c r="E11" s="3243"/>
      <c r="F11" s="3243"/>
      <c r="G11" s="3243"/>
      <c r="H11" s="3243"/>
      <c r="I11" s="3243"/>
    </row>
    <row r="12" spans="1:9" ht="15.6">
      <c r="A12" s="3242" t="str">
        <f>结果表!A126</f>
        <v>抵押净值</v>
      </c>
      <c r="B12" s="3242"/>
      <c r="C12" s="3242"/>
      <c r="D12" s="3242">
        <f ca="1">结果表!D126</f>
        <v>441386</v>
      </c>
      <c r="E12" s="3242"/>
      <c r="F12" s="3242"/>
      <c r="G12" s="3242"/>
      <c r="H12" s="3242"/>
      <c r="I12" s="3242"/>
    </row>
    <row r="13" spans="1:9" ht="15.6" thickBot="1">
      <c r="A13" s="3240" t="s">
        <v>927</v>
      </c>
      <c r="B13" s="3240"/>
      <c r="C13" s="3240"/>
      <c r="D13" s="3240" t="str">
        <f ca="1">结果表!D127</f>
        <v>肆拾肆亿壹仟叁佰捌拾陆万元整</v>
      </c>
      <c r="E13" s="3240"/>
      <c r="F13" s="3240"/>
      <c r="G13" s="3240"/>
      <c r="H13" s="3240"/>
      <c r="I13" s="3240"/>
    </row>
    <row r="14" spans="1:9" ht="14.4" thickTop="1">
      <c r="A14" s="3241" t="s">
        <v>932</v>
      </c>
      <c r="B14" s="3241"/>
      <c r="C14" s="3241"/>
      <c r="D14" s="3241"/>
      <c r="E14" s="3241"/>
      <c r="F14" s="3241"/>
      <c r="G14" s="3241"/>
      <c r="H14" s="3241"/>
      <c r="I14" s="3241"/>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55" t="s">
        <v>949</v>
      </c>
      <c r="B1" s="3255"/>
      <c r="C1" s="3255"/>
      <c r="D1" s="3255"/>
    </row>
    <row r="2" spans="1:4" ht="17.399999999999999">
      <c r="A2" s="3256" t="s">
        <v>933</v>
      </c>
      <c r="B2" s="3256"/>
      <c r="C2" s="3256"/>
      <c r="D2" s="3256"/>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7.399999999999999">
      <c r="A6" s="3256" t="s">
        <v>939</v>
      </c>
      <c r="B6" s="3256"/>
      <c r="C6" s="3256"/>
      <c r="D6" s="325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57" t="s">
        <v>942</v>
      </c>
      <c r="B11" s="3249"/>
      <c r="C11" s="3249"/>
      <c r="D11" s="3249"/>
    </row>
    <row r="12" spans="1:4" ht="15.6">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49" t="str">
        <f>IF(项目基本情况!B8="抵押","4.本次评估估价师所知悉的法定优先受偿款情况说明如下：","——")</f>
        <v>4.本次评估估价师所知悉的法定优先受偿款情况说明如下：</v>
      </c>
      <c r="B14" s="3254"/>
      <c r="C14" s="3254"/>
      <c r="D14" s="3254"/>
    </row>
    <row r="15" spans="1:4" ht="42" customHeight="1">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1" t="s">
        <v>943</v>
      </c>
      <c r="B16" s="3251"/>
      <c r="C16" s="3251"/>
      <c r="D16" s="3251"/>
    </row>
    <row r="17" spans="1:4" ht="144" customHeight="1">
      <c r="A17" s="3251" t="s">
        <v>944</v>
      </c>
      <c r="B17" s="3251"/>
      <c r="C17" s="3251"/>
      <c r="D17" s="3251"/>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9"/>
      <c r="C20" s="3249"/>
      <c r="D20" s="3249"/>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2"/>
      <c r="C21" s="3252"/>
      <c r="D21" s="3252"/>
    </row>
    <row r="22" spans="1:4" ht="18.75" customHeight="1">
      <c r="A22" s="3253" t="s">
        <v>945</v>
      </c>
      <c r="B22" s="3253"/>
      <c r="C22" s="3253"/>
      <c r="D22" s="3253"/>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50">
        <v>42551</v>
      </c>
      <c r="D31" s="32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63" t="s">
        <v>956</v>
      </c>
      <c r="B15" s="3258" t="s">
        <v>109</v>
      </c>
      <c r="C15" s="3259"/>
    </row>
    <row r="16" spans="1:7" ht="14.4">
      <c r="A16" s="3264"/>
      <c r="B16" s="3258" t="s">
        <v>42</v>
      </c>
      <c r="C16" s="3259"/>
    </row>
    <row r="17" spans="1:3" ht="14.4">
      <c r="A17" s="3264"/>
      <c r="B17" s="3261" t="s">
        <v>957</v>
      </c>
      <c r="C17" s="1428" t="s">
        <v>956</v>
      </c>
    </row>
    <row r="18" spans="1:3" ht="14.4">
      <c r="A18" s="3264"/>
      <c r="B18" s="3261"/>
      <c r="C18" s="1428" t="s">
        <v>958</v>
      </c>
    </row>
    <row r="19" spans="1:3" ht="14.4">
      <c r="A19" s="3264"/>
      <c r="B19" s="3261"/>
      <c r="C19" s="1428" t="s">
        <v>959</v>
      </c>
    </row>
    <row r="20" spans="1:3" ht="14.4">
      <c r="A20" s="3265"/>
      <c r="B20" s="3260" t="s">
        <v>960</v>
      </c>
      <c r="C20" s="3259"/>
    </row>
    <row r="21" spans="1:3" ht="14.4">
      <c r="A21" s="1429" t="s">
        <v>961</v>
      </c>
      <c r="B21" s="1430"/>
      <c r="C21" s="1431"/>
    </row>
    <row r="22" spans="1:3" ht="14.4">
      <c r="A22" s="3262" t="s">
        <v>962</v>
      </c>
      <c r="B22" s="3260" t="s">
        <v>963</v>
      </c>
      <c r="C22" s="3259"/>
    </row>
    <row r="23" spans="1:3" ht="14.4">
      <c r="A23" s="3262"/>
      <c r="B23" s="3260" t="s">
        <v>964</v>
      </c>
      <c r="C23" s="3259"/>
    </row>
    <row r="24" spans="1:3" ht="14.4">
      <c r="A24" s="3262"/>
      <c r="B24" s="3260" t="s">
        <v>965</v>
      </c>
      <c r="C24" s="3259"/>
    </row>
    <row r="25" spans="1:3" ht="14.4">
      <c r="A25" s="3262"/>
      <c r="B25" s="3261" t="s">
        <v>966</v>
      </c>
      <c r="C25" s="1428" t="s">
        <v>967</v>
      </c>
    </row>
    <row r="26" spans="1:3" ht="14.4">
      <c r="A26" s="3262"/>
      <c r="B26" s="3261"/>
      <c r="C26" s="1428" t="s">
        <v>968</v>
      </c>
    </row>
    <row r="27" spans="1:3" ht="14.4">
      <c r="A27" s="3262"/>
      <c r="B27" s="3261"/>
      <c r="C27" s="1428" t="s">
        <v>969</v>
      </c>
    </row>
    <row r="28" spans="1:3" ht="14.4">
      <c r="A28" s="3262"/>
      <c r="B28" s="3261"/>
      <c r="C28" s="1428" t="s">
        <v>970</v>
      </c>
    </row>
    <row r="29" spans="1:3" ht="14.4">
      <c r="A29" s="3262"/>
      <c r="B29" s="3261"/>
      <c r="C29" s="1428" t="s">
        <v>971</v>
      </c>
    </row>
    <row r="30" spans="1:3" ht="14.4">
      <c r="A30" s="3262"/>
      <c r="B30" s="3261"/>
      <c r="C30" s="1428" t="s">
        <v>972</v>
      </c>
    </row>
    <row r="31" spans="1:3" ht="14.4">
      <c r="A31" s="3262"/>
      <c r="B31" s="3261"/>
      <c r="C31" s="1428" t="s">
        <v>973</v>
      </c>
    </row>
    <row r="32" spans="1:3" ht="14.4">
      <c r="A32" s="3262"/>
      <c r="B32" s="3261"/>
      <c r="C32" s="1428" t="s">
        <v>974</v>
      </c>
    </row>
    <row r="33" spans="1:3" ht="14.4">
      <c r="A33" s="3262"/>
      <c r="B33" s="326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45755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66" t="s">
        <v>2158</v>
      </c>
      <c r="B17" s="3266"/>
      <c r="C17" s="3266"/>
      <c r="D17" s="3266"/>
      <c r="E17" s="3266"/>
      <c r="F17" s="3266"/>
      <c r="G17" s="3266"/>
      <c r="H17" s="3266"/>
    </row>
    <row r="18" spans="1:8" ht="24" customHeight="1">
      <c r="A18" s="3267" t="s">
        <v>2159</v>
      </c>
      <c r="B18" s="3267"/>
      <c r="C18" s="3267"/>
      <c r="D18" s="2159"/>
      <c r="E18" s="3268" t="s">
        <v>2160</v>
      </c>
      <c r="F18" s="3267"/>
      <c r="G18" s="326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比较法-办公</vt:lpstr>
      <vt:lpstr>Sheet1</vt:lpstr>
      <vt:lpstr>收益法</vt:lpstr>
      <vt:lpstr>结果表 (2)</vt:lpstr>
      <vt:lpstr>基准地价修正</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收益法地下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2025-04-08T02:44:49Z</dcterms:modified>
</cp:coreProperties>
</file>