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9" state="hidden" r:id="rId20"/>
    <sheet name="土地案例" sheetId="68" r:id="rId21"/>
    <sheet name="剩余法-待开发" sheetId="12"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商业）" sheetId="70" r:id="rId32"/>
    <sheet name="不动产收益法（办公）"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(2)'!$B$108:$M$108</definedName>
    <definedName name="套综道路等级">'比较法-住宅、综合'!$B$108:$M$108</definedName>
    <definedName name="套综工程地质条件" localSheetId="19">'比较法-住宅、综合 (2)'!$B$127:$M$127</definedName>
    <definedName name="套综工程地质条件">'比较法-住宅、综合'!$B$127:$M$127</definedName>
    <definedName name="套综交易情况" localSheetId="19">'比较法-住宅、综合 (2)'!$A$75:$M$75</definedName>
    <definedName name="套综交易情况">'比较法-住宅、综合'!$A$75:$M$75</definedName>
    <definedName name="套综临街宽度及深度" localSheetId="19">'比较法-住宅、综合 (2)'!$B$123:$M$123</definedName>
    <definedName name="套综临街宽度及深度">'比较法-住宅、综合'!$B$123:$M$123</definedName>
    <definedName name="套综土地级别" localSheetId="19">'比较法-住宅、综合 (2)'!$B$110:$M$110</definedName>
    <definedName name="套综土地级别">'比较法-住宅、综合'!$B$110:$M$110</definedName>
    <definedName name="套综用途" localSheetId="19">'比较法-住宅、综合 (2)'!$B$77:$M$77</definedName>
    <definedName name="套综用途">'比较法-住宅、综合'!$B$77:$M$77</definedName>
    <definedName name="套综宗地内开发程度" localSheetId="19">'比较法-住宅、综合 (2)'!$B$125:$M$125</definedName>
    <definedName name="套综宗地内开发程度">'比较法-住宅、综合'!$B$125:$M$125</definedName>
    <definedName name="套综宗地形状" localSheetId="19">'比较法-住宅、综合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7" i="66" l="1"/>
  <c r="C16" i="66"/>
  <c r="C15" i="66"/>
  <c r="B17" i="66"/>
  <c r="B16" i="66"/>
  <c r="B15" i="66"/>
  <c r="I13" i="3"/>
  <c r="K13" i="3"/>
  <c r="P75" i="70"/>
  <c r="Q73" i="70"/>
  <c r="P62" i="70"/>
  <c r="Q60" i="70"/>
  <c r="D60" i="70"/>
  <c r="Q59" i="70"/>
  <c r="K59" i="70"/>
  <c r="F58" i="70"/>
  <c r="Q52" i="70"/>
  <c r="J50" i="70"/>
  <c r="J51" i="70" s="1"/>
  <c r="M47" i="70"/>
  <c r="F34" i="70"/>
  <c r="F61" i="70" s="1"/>
  <c r="F33" i="70"/>
  <c r="F60" i="70" s="1"/>
  <c r="F32" i="70"/>
  <c r="F59" i="70" s="1"/>
  <c r="F31" i="70"/>
  <c r="F28" i="70"/>
  <c r="C28" i="70"/>
  <c r="F23" i="70"/>
  <c r="D24" i="70" s="1"/>
  <c r="D23" i="70"/>
  <c r="D22" i="70"/>
  <c r="F21" i="70"/>
  <c r="M20" i="70"/>
  <c r="F20" i="70"/>
  <c r="M19" i="70"/>
  <c r="M18" i="70"/>
  <c r="F18" i="70"/>
  <c r="M17" i="70"/>
  <c r="F17" i="70"/>
  <c r="F15" i="70"/>
  <c r="G1" i="70"/>
  <c r="F19" i="6"/>
  <c r="M28" i="70"/>
  <c r="M24" i="70"/>
  <c r="M22" i="70"/>
  <c r="L47" i="70"/>
  <c r="F8" i="70"/>
  <c r="F9" i="70"/>
  <c r="F20" i="6" l="1"/>
  <c r="L59" i="70"/>
  <c r="F50" i="70"/>
  <c r="M6" i="70"/>
  <c r="F16" i="70"/>
  <c r="M26" i="70"/>
  <c r="F40" i="70"/>
  <c r="F6" i="70"/>
  <c r="F13" i="70"/>
  <c r="F26" i="70"/>
  <c r="J36" i="70"/>
  <c r="F42" i="70"/>
  <c r="F38" i="70"/>
  <c r="M9" i="70"/>
  <c r="M23" i="70"/>
  <c r="F37" i="70"/>
  <c r="F36" i="70"/>
  <c r="M8" i="70"/>
  <c r="J15" i="70"/>
  <c r="M27" i="70"/>
  <c r="L48" i="70"/>
  <c r="L56" i="70" l="1"/>
  <c r="L57" i="70"/>
  <c r="J60" i="70"/>
  <c r="Q49" i="70" s="1"/>
  <c r="L58" i="70"/>
  <c r="L60" i="70"/>
  <c r="J57" i="70"/>
  <c r="J55" i="70" s="1"/>
  <c r="J58" i="70" s="1"/>
  <c r="Q51" i="70" s="1"/>
  <c r="I54" i="70"/>
  <c r="J59" i="70"/>
  <c r="J53" i="70"/>
  <c r="Q72" i="70"/>
  <c r="C27" i="70"/>
  <c r="F63" i="70"/>
  <c r="F67" i="70"/>
  <c r="F64" i="70"/>
  <c r="F65" i="70"/>
  <c r="Q75" i="70"/>
  <c r="Q62" i="70"/>
  <c r="Q61" i="70" l="1"/>
  <c r="Q74" i="70"/>
  <c r="Q67" i="70"/>
  <c r="Q58" i="70"/>
  <c r="L46" i="70"/>
  <c r="Q53" i="70"/>
  <c r="F1" i="70"/>
  <c r="D17" i="66" l="1"/>
  <c r="D16" i="66" l="1"/>
  <c r="D15" i="66" l="1"/>
  <c r="B133" i="69" l="1"/>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E103" i="69"/>
  <c r="F103" i="69" s="1"/>
  <c r="G103" i="69" s="1"/>
  <c r="D103" i="69"/>
  <c r="E101" i="69"/>
  <c r="F101" i="69" s="1"/>
  <c r="G101" i="69" s="1"/>
  <c r="D101" i="69"/>
  <c r="E99" i="69"/>
  <c r="F99" i="69" s="1"/>
  <c r="G99" i="69" s="1"/>
  <c r="D99" i="69"/>
  <c r="E97" i="69"/>
  <c r="F97" i="69" s="1"/>
  <c r="G97" i="69" s="1"/>
  <c r="D97" i="69"/>
  <c r="E95" i="69"/>
  <c r="F95" i="69" s="1"/>
  <c r="G95" i="69" s="1"/>
  <c r="D95" i="69"/>
  <c r="E93" i="69"/>
  <c r="F93" i="69" s="1"/>
  <c r="G93" i="69" s="1"/>
  <c r="D93" i="69"/>
  <c r="E91" i="69"/>
  <c r="F91" i="69" s="1"/>
  <c r="G91" i="69" s="1"/>
  <c r="D91" i="69"/>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7" i="69"/>
  <c r="C77" i="69"/>
  <c r="D73" i="69"/>
  <c r="E73" i="69" s="1"/>
  <c r="F73" i="69" s="1"/>
  <c r="G73" i="69" s="1"/>
  <c r="H73" i="69" s="1"/>
  <c r="I73" i="69" s="1"/>
  <c r="J73" i="69" s="1"/>
  <c r="K73" i="69" s="1"/>
  <c r="L73" i="69" s="1"/>
  <c r="M73" i="69" s="1"/>
  <c r="N73" i="69" s="1"/>
  <c r="B73" i="69"/>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P50" i="69"/>
  <c r="P49" i="69"/>
  <c r="P48" i="69"/>
  <c r="I48" i="69"/>
  <c r="I55" i="69" s="1"/>
  <c r="J55" i="69" s="1"/>
  <c r="G48" i="69"/>
  <c r="T48" i="69" s="1"/>
  <c r="E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I40" i="69"/>
  <c r="G40" i="69"/>
  <c r="E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AC29" i="69"/>
  <c r="W29" i="69"/>
  <c r="Q29" i="69"/>
  <c r="Z29" i="69" s="1"/>
  <c r="J29" i="69"/>
  <c r="H29" i="69"/>
  <c r="AB29" i="69" s="1"/>
  <c r="F29" i="69"/>
  <c r="AA29" i="69" s="1"/>
  <c r="C29" i="69"/>
  <c r="Q27" i="69"/>
  <c r="Z27" i="69" s="1"/>
  <c r="J27" i="69"/>
  <c r="W27" i="69" s="1"/>
  <c r="H27" i="69"/>
  <c r="AB27" i="69" s="1"/>
  <c r="F27" i="69"/>
  <c r="AA27" i="69" s="1"/>
  <c r="C27" i="69"/>
  <c r="Q25" i="69"/>
  <c r="Z25" i="69" s="1"/>
  <c r="J25" i="69"/>
  <c r="AC25" i="69" s="1"/>
  <c r="H25" i="69"/>
  <c r="AB25" i="69" s="1"/>
  <c r="F25" i="69"/>
  <c r="AA25" i="69" s="1"/>
  <c r="C25" i="69"/>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C12" i="69"/>
  <c r="Q11" i="69"/>
  <c r="Z11" i="69" s="1"/>
  <c r="J11" i="69"/>
  <c r="AC11" i="69" s="1"/>
  <c r="H11" i="69"/>
  <c r="AB11" i="69" s="1"/>
  <c r="F11" i="69"/>
  <c r="AA11" i="69" s="1"/>
  <c r="U10" i="69"/>
  <c r="J10" i="69"/>
  <c r="AC10" i="69" s="1"/>
  <c r="H10" i="69"/>
  <c r="AB10" i="69" s="1"/>
  <c r="F10" i="69"/>
  <c r="AA10" i="69" s="1"/>
  <c r="I9" i="69"/>
  <c r="G9" i="69"/>
  <c r="E9" i="69"/>
  <c r="C9" i="69"/>
  <c r="C70" i="69" s="1"/>
  <c r="I7" i="69"/>
  <c r="G7" i="69"/>
  <c r="E7" i="69"/>
  <c r="C12" i="39"/>
  <c r="I40" i="39"/>
  <c r="G40" i="39"/>
  <c r="E40" i="39"/>
  <c r="I48" i="39"/>
  <c r="G48" i="39"/>
  <c r="E48" i="39"/>
  <c r="E73" i="39"/>
  <c r="F73" i="39" s="1"/>
  <c r="G73" i="39" s="1"/>
  <c r="H73" i="39" s="1"/>
  <c r="I73" i="39" s="1"/>
  <c r="J73" i="39" s="1"/>
  <c r="K73" i="39" s="1"/>
  <c r="L73" i="39" s="1"/>
  <c r="M73" i="39" s="1"/>
  <c r="N73" i="39" s="1"/>
  <c r="D73" i="39"/>
  <c r="D77" i="39"/>
  <c r="C77" i="39"/>
  <c r="I9" i="39"/>
  <c r="G9" i="39"/>
  <c r="E9" i="39"/>
  <c r="I7" i="39"/>
  <c r="G7" i="39"/>
  <c r="E7" i="39"/>
  <c r="E55" i="69" l="1"/>
  <c r="F55" i="69" s="1"/>
  <c r="S14" i="69"/>
  <c r="W14" i="69"/>
  <c r="U15" i="69"/>
  <c r="S16" i="69"/>
  <c r="W16" i="69"/>
  <c r="D70" i="69"/>
  <c r="C72" i="69"/>
  <c r="S10" i="69"/>
  <c r="W10" i="69"/>
  <c r="S11" i="69"/>
  <c r="W11" i="69"/>
  <c r="U14" i="69"/>
  <c r="S15" i="69"/>
  <c r="W15" i="69"/>
  <c r="U16" i="69"/>
  <c r="U17" i="69"/>
  <c r="U19" i="69"/>
  <c r="U21" i="69"/>
  <c r="U23" i="69"/>
  <c r="U25" i="69"/>
  <c r="U27" i="69"/>
  <c r="AC27" i="69"/>
  <c r="S29" i="69"/>
  <c r="W31" i="69"/>
  <c r="U11" i="69"/>
  <c r="S17" i="69"/>
  <c r="W17" i="69"/>
  <c r="S19" i="69"/>
  <c r="W19" i="69"/>
  <c r="S21" i="69"/>
  <c r="W21" i="69"/>
  <c r="S23" i="69"/>
  <c r="W23" i="69"/>
  <c r="S25" i="69"/>
  <c r="W25" i="69"/>
  <c r="S27" i="69"/>
  <c r="S31" i="69"/>
  <c r="U29"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D72" i="69" l="1"/>
  <c r="E70" i="69"/>
  <c r="F70" i="69" l="1"/>
  <c r="E72" i="69"/>
  <c r="F72" i="69" l="1"/>
  <c r="G70" i="69"/>
  <c r="H70" i="69" l="1"/>
  <c r="G72" i="69"/>
  <c r="H72" i="69" l="1"/>
  <c r="I70" i="69"/>
  <c r="J70" i="69" l="1"/>
  <c r="I72" i="69"/>
  <c r="J72" i="69" l="1"/>
  <c r="K70" i="69"/>
  <c r="L70" i="69" l="1"/>
  <c r="K72" i="69"/>
  <c r="L72" i="69" l="1"/>
  <c r="M70" i="69"/>
  <c r="N70" i="69" l="1"/>
  <c r="N72" i="69" s="1"/>
  <c r="M72" i="69"/>
  <c r="F9" i="69" l="1"/>
  <c r="H9" i="69"/>
  <c r="J9" i="69"/>
  <c r="U9" i="69" l="1"/>
  <c r="AB9" i="69"/>
  <c r="AC9" i="69"/>
  <c r="W9" i="69"/>
  <c r="AA9" i="69"/>
  <c r="S9" i="69"/>
  <c r="B7" i="4" l="1"/>
  <c r="B5" i="4"/>
  <c r="I17" i="66"/>
  <c r="H17" i="66"/>
  <c r="G17" i="66"/>
  <c r="I16" i="66"/>
  <c r="H16" i="66"/>
  <c r="G16" i="66"/>
  <c r="I15" i="66"/>
  <c r="H15" i="66" l="1"/>
  <c r="G15" i="66" l="1"/>
  <c r="D3" i="4"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E11" i="67"/>
  <c r="E13" i="67"/>
  <c r="B8" i="67"/>
  <c r="F8" i="67"/>
  <c r="F12" i="67"/>
  <c r="E12" i="67"/>
  <c r="F13" i="67"/>
  <c r="B10" i="67"/>
  <c r="E10" i="67"/>
  <c r="F14" i="67"/>
  <c r="B9" i="67"/>
  <c r="B13" i="67"/>
  <c r="E14" i="67"/>
  <c r="B11" i="67"/>
  <c r="F11" i="67"/>
  <c r="E8" i="67"/>
  <c r="B12" i="67"/>
  <c r="B14" i="67"/>
  <c r="F9" i="67"/>
  <c r="E9" i="67"/>
  <c r="F10"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4" i="65"/>
  <c r="I3" i="65"/>
  <c r="J4" i="65"/>
  <c r="J5" i="65"/>
  <c r="I6" i="65"/>
  <c r="N3" i="65"/>
  <c r="I7" i="65"/>
  <c r="N6" i="65"/>
  <c r="N5" i="65"/>
  <c r="I4" i="65"/>
  <c r="J6" i="65"/>
  <c r="E20" i="46" l="1"/>
  <c r="C4" i="65"/>
  <c r="B39" i="1" s="1"/>
  <c r="I5" i="65"/>
  <c r="J7" i="65"/>
  <c r="J3" i="65"/>
  <c r="M11" i="70" l="1"/>
  <c r="J10" i="70" s="1"/>
  <c r="F11" i="70"/>
  <c r="J1" i="65"/>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B96" i="33"/>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W8" i="2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J14" i="33"/>
  <c r="AC14" i="33" s="1"/>
  <c r="H30" i="33"/>
  <c r="AB30" i="33" s="1"/>
  <c r="F30" i="33"/>
  <c r="S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G105" i="37"/>
  <c r="AB28" i="36"/>
  <c r="AB31" i="21"/>
  <c r="AA28" i="21"/>
  <c r="W42" i="21"/>
  <c r="AC13" i="36"/>
  <c r="AB27" i="33"/>
  <c r="S45" i="21"/>
  <c r="AB44" i="21"/>
  <c r="S19"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BA505" i="3"/>
  <c r="BA501" i="3"/>
  <c r="BA493" i="3"/>
  <c r="AZ493" i="3" s="1"/>
  <c r="BA487" i="3"/>
  <c r="BA572" i="3"/>
  <c r="BA566" i="3"/>
  <c r="BA562" i="3"/>
  <c r="AZ562" i="3" s="1"/>
  <c r="BA560" i="3"/>
  <c r="BA558" i="3"/>
  <c r="AZ558" i="3" s="1"/>
  <c r="BA554" i="3"/>
  <c r="BA544" i="3"/>
  <c r="AZ544" i="3" s="1"/>
  <c r="BA540" i="3"/>
  <c r="BA536" i="3"/>
  <c r="AZ536" i="3" s="1"/>
  <c r="BA532" i="3"/>
  <c r="BA528" i="3"/>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AC8"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A36" i="35"/>
  <c r="H11" i="37"/>
  <c r="AB11" i="37" s="1"/>
  <c r="W37" i="37"/>
  <c r="AA30" i="33"/>
  <c r="S42" i="33"/>
  <c r="AB17" i="37"/>
  <c r="AZ524" i="3"/>
  <c r="AA45" i="33"/>
  <c r="AC11" i="36"/>
  <c r="AC10" i="36"/>
  <c r="AC14" i="37"/>
  <c r="S25" i="35"/>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G13" i="3"/>
  <c r="AC5" i="3"/>
  <c r="F17" i="21"/>
  <c r="S17" i="21" s="1"/>
  <c r="H17" i="21"/>
  <c r="AB17" i="21" s="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AB19" i="39" s="1"/>
  <c r="J19" i="39"/>
  <c r="W19" i="39" s="1"/>
  <c r="F43" i="39"/>
  <c r="AA43" i="39" s="1"/>
  <c r="H43" i="39"/>
  <c r="U43" i="39" s="1"/>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AZ523" i="3" s="1"/>
  <c r="BA522" i="3"/>
  <c r="AZ522" i="3" s="1"/>
  <c r="BL521" i="3"/>
  <c r="BA519" i="3"/>
  <c r="AZ519" i="3" s="1"/>
  <c r="BL518" i="3"/>
  <c r="BA518" i="3"/>
  <c r="AZ518" i="3"/>
  <c r="BL517" i="3"/>
  <c r="BA517" i="3"/>
  <c r="AZ517" i="3" s="1"/>
  <c r="BL515" i="3"/>
  <c r="BA515" i="3"/>
  <c r="BA514" i="3"/>
  <c r="AZ514" i="3" s="1"/>
  <c r="BL513" i="3"/>
  <c r="BA513" i="3"/>
  <c r="AZ513" i="3"/>
  <c r="BL512" i="3"/>
  <c r="AZ512" i="3"/>
  <c r="AZ511" i="3"/>
  <c r="AZ510" i="3"/>
  <c r="AZ509" i="3"/>
  <c r="BL507" i="3"/>
  <c r="BA507" i="3"/>
  <c r="AZ507" i="3" s="1"/>
  <c r="BL506" i="3"/>
  <c r="BA506" i="3"/>
  <c r="AZ506" i="3"/>
  <c r="BL505" i="3"/>
  <c r="AZ505" i="3"/>
  <c r="BA504" i="3"/>
  <c r="AZ504" i="3" s="1"/>
  <c r="AZ503" i="3"/>
  <c r="BA500" i="3"/>
  <c r="AZ500" i="3"/>
  <c r="BL499" i="3"/>
  <c r="BA499" i="3"/>
  <c r="AZ499" i="3" s="1"/>
  <c r="BL498" i="3"/>
  <c r="AZ498" i="3" s="1"/>
  <c r="BL497" i="3"/>
  <c r="BA497" i="3"/>
  <c r="BL496" i="3"/>
  <c r="AZ496" i="3"/>
  <c r="AZ495" i="3"/>
  <c r="BL494" i="3"/>
  <c r="BA494" i="3"/>
  <c r="AZ494" i="3" s="1"/>
  <c r="G494" i="3"/>
  <c r="BA491" i="3"/>
  <c r="AZ491" i="3"/>
  <c r="BL490" i="3"/>
  <c r="BA490" i="3"/>
  <c r="AZ490" i="3" s="1"/>
  <c r="BL489" i="3"/>
  <c r="BA489" i="3"/>
  <c r="AZ489" i="3"/>
  <c r="AZ487" i="3"/>
  <c r="BA486" i="3"/>
  <c r="AZ486" i="3" s="1"/>
  <c r="BA485" i="3"/>
  <c r="AZ485" i="3"/>
  <c r="BA483" i="3"/>
  <c r="AZ483" i="3"/>
  <c r="BA482" i="3"/>
  <c r="AZ482" i="3"/>
  <c r="BL481" i="3"/>
  <c r="BJ5" i="3"/>
  <c r="BA481" i="3"/>
  <c r="AZ481" i="3"/>
  <c r="BL19" i="3"/>
  <c r="AZ19" i="3" s="1"/>
  <c r="F36" i="44"/>
  <c r="F114" i="34"/>
  <c r="G114" i="34"/>
  <c r="H114" i="34" s="1"/>
  <c r="I114" i="34" s="1"/>
  <c r="J114" i="34" s="1"/>
  <c r="K114" i="34" s="1"/>
  <c r="L114" i="34" s="1"/>
  <c r="M114" i="34" s="1"/>
  <c r="H38" i="34"/>
  <c r="U38" i="34" s="1"/>
  <c r="H30" i="40"/>
  <c r="AB30" i="40" s="1"/>
  <c r="G100" i="40"/>
  <c r="J30" i="40" s="1"/>
  <c r="AC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AB23" i="35" s="1"/>
  <c r="AB36" i="35"/>
  <c r="U36" i="35"/>
  <c r="U31" i="36"/>
  <c r="S8" i="37"/>
  <c r="AA8" i="37"/>
  <c r="H14" i="39"/>
  <c r="AB14" i="39" s="1"/>
  <c r="F16" i="39"/>
  <c r="AA16" i="39" s="1"/>
  <c r="J16" i="39"/>
  <c r="AC16" i="39" s="1"/>
  <c r="E97" i="39"/>
  <c r="F23" i="39" s="1"/>
  <c r="AA23" i="39" s="1"/>
  <c r="F27" i="39"/>
  <c r="AA27" i="39" s="1"/>
  <c r="H27" i="39"/>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H42" i="40"/>
  <c r="AB42" i="40" s="1"/>
  <c r="H40" i="40"/>
  <c r="U40" i="40" s="1"/>
  <c r="H34" i="40"/>
  <c r="U34" i="40" s="1"/>
  <c r="AZ391" i="3"/>
  <c r="AZ399" i="3"/>
  <c r="AZ403" i="3"/>
  <c r="AZ407" i="3"/>
  <c r="AZ415" i="3"/>
  <c r="AZ423" i="3"/>
  <c r="AZ431" i="3"/>
  <c r="AZ439" i="3"/>
  <c r="AZ454" i="3"/>
  <c r="B41" i="1"/>
  <c r="J40" i="40"/>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S33" i="40"/>
  <c r="AB32" i="40"/>
  <c r="U37" i="34"/>
  <c r="U41" i="40"/>
  <c r="J23" i="40"/>
  <c r="AC23" i="40" s="1"/>
  <c r="G92" i="40"/>
  <c r="F23" i="40"/>
  <c r="S23" i="40" s="1"/>
  <c r="AC15" i="40"/>
  <c r="W15" i="40"/>
  <c r="AB16"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A29" i="35"/>
  <c r="J29" i="39"/>
  <c r="AC29" i="39" s="1"/>
  <c r="AB17" i="39"/>
  <c r="AB33" i="36"/>
  <c r="AA14" i="35"/>
  <c r="S14" i="35"/>
  <c r="G99" i="37"/>
  <c r="F33" i="37" s="1"/>
  <c r="U46" i="34"/>
  <c r="AC30" i="34"/>
  <c r="AA14" i="34"/>
  <c r="W12" i="34"/>
  <c r="U29" i="33"/>
  <c r="AC13" i="33"/>
  <c r="U17" i="34"/>
  <c r="AA11" i="34"/>
  <c r="W32" i="33"/>
  <c r="H15" i="33"/>
  <c r="U15" i="33" s="1"/>
  <c r="AA11" i="33"/>
  <c r="AA40" i="21"/>
  <c r="U16" i="40"/>
  <c r="AB34" i="40"/>
  <c r="U42" i="40"/>
  <c r="H25" i="40"/>
  <c r="AB25" i="40" s="1"/>
  <c r="U47" i="39"/>
  <c r="W15" i="39"/>
  <c r="J37" i="34"/>
  <c r="AC37" i="34" s="1"/>
  <c r="J36" i="33"/>
  <c r="S41" i="40"/>
  <c r="AB23" i="40"/>
  <c r="H23" i="39"/>
  <c r="AB23" i="39" s="1"/>
  <c r="J23" i="39"/>
  <c r="AC23" i="39" s="1"/>
  <c r="F97" i="39"/>
  <c r="G97" i="39" s="1"/>
  <c r="S16" i="39"/>
  <c r="AA15" i="34"/>
  <c r="AA41" i="33"/>
  <c r="AA34" i="33"/>
  <c r="F106" i="33"/>
  <c r="G106" i="33"/>
  <c r="H106" i="33" s="1"/>
  <c r="I106" i="33" s="1"/>
  <c r="J106" i="33" s="1"/>
  <c r="K106" i="33" s="1"/>
  <c r="L106" i="33" s="1"/>
  <c r="M106" i="33" s="1"/>
  <c r="J34" i="33"/>
  <c r="AC34" i="33" s="1"/>
  <c r="U30" i="40"/>
  <c r="W29" i="35"/>
  <c r="S39" i="39"/>
  <c r="AB46"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H11" i="33"/>
  <c r="U11" i="33" s="1"/>
  <c r="H10" i="33"/>
  <c r="U10" i="33" s="1"/>
  <c r="I66" i="33"/>
  <c r="J10" i="33"/>
  <c r="AC10" i="33" s="1"/>
  <c r="U40" i="21"/>
  <c r="AC16" i="35"/>
  <c r="AC13" i="40"/>
  <c r="J11" i="34"/>
  <c r="W11" i="34" s="1"/>
  <c r="S17" i="34"/>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C20" i="43"/>
  <c r="E2" i="65"/>
  <c r="F95" i="39" l="1"/>
  <c r="G95" i="39" s="1"/>
  <c r="H21" i="39"/>
  <c r="AB21" i="39" s="1"/>
  <c r="F21" i="39"/>
  <c r="S21" i="39" s="1"/>
  <c r="J21" i="39"/>
  <c r="W21" i="39" s="1"/>
  <c r="U21" i="39"/>
  <c r="AB29" i="39"/>
  <c r="S43" i="39"/>
  <c r="U34" i="39"/>
  <c r="AC43" i="39"/>
  <c r="W33" i="39"/>
  <c r="W27" i="39"/>
  <c r="S23" i="39"/>
  <c r="U19" i="39"/>
  <c r="A2" i="55"/>
  <c r="B55" i="63" s="1"/>
  <c r="A11" i="55"/>
  <c r="B62" i="63" s="1"/>
  <c r="BH5" i="3"/>
  <c r="G12" i="1"/>
  <c r="AB20" i="35"/>
  <c r="W36" i="33"/>
  <c r="AC36" i="33"/>
  <c r="W32" i="40"/>
  <c r="AC41" i="40"/>
  <c r="S47" i="39"/>
  <c r="F27" i="43"/>
  <c r="F71" i="9"/>
  <c r="AZ528" i="3"/>
  <c r="AZ553" i="3"/>
  <c r="AZ550" i="3"/>
  <c r="AZ529" i="3"/>
  <c r="AC40" i="40"/>
  <c r="W40" i="40"/>
  <c r="W16" i="40"/>
  <c r="AC16" i="40"/>
  <c r="W47" i="39"/>
  <c r="AC47" i="39"/>
  <c r="U25" i="39"/>
  <c r="AB25" i="39"/>
  <c r="AB27" i="39"/>
  <c r="U2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s="1"/>
  <c r="J9" i="35"/>
  <c r="W9" i="35" s="1"/>
  <c r="F31" i="33"/>
  <c r="J31" i="33"/>
  <c r="AC31" i="33" s="1"/>
  <c r="J12" i="36"/>
  <c r="F12" i="36"/>
  <c r="S12" i="36" s="1"/>
  <c r="H25" i="37"/>
  <c r="U25" i="37" s="1"/>
  <c r="J25" i="37"/>
  <c r="AZ392" i="3"/>
  <c r="U23" i="37"/>
  <c r="H28" i="33"/>
  <c r="J28" i="33"/>
  <c r="J26" i="33"/>
  <c r="AC26" i="33" s="1"/>
  <c r="F26" i="33"/>
  <c r="AA26" i="33" s="1"/>
  <c r="J9" i="34"/>
  <c r="F9" i="34"/>
  <c r="AA9" i="34" s="1"/>
  <c r="S28" i="34"/>
  <c r="AA28" i="34"/>
  <c r="H34" i="36"/>
  <c r="F34" i="36"/>
  <c r="S34" i="36" s="1"/>
  <c r="AB30" i="37"/>
  <c r="U30" i="37"/>
  <c r="AB31" i="35"/>
  <c r="U31" i="35"/>
  <c r="U11" i="37"/>
  <c r="AC15" i="33"/>
  <c r="U12" i="34"/>
  <c r="U14" i="34"/>
  <c r="S46" i="34"/>
  <c r="AA19" i="39"/>
  <c r="S17" i="39"/>
  <c r="AA37" i="39"/>
  <c r="U17" i="21"/>
  <c r="AA11" i="36"/>
  <c r="U39" i="39"/>
  <c r="H14" i="40"/>
  <c r="J34" i="40"/>
  <c r="J42" i="40"/>
  <c r="AC42" i="40" s="1"/>
  <c r="J14" i="40"/>
  <c r="J14" i="39"/>
  <c r="F23" i="35"/>
  <c r="AA23" i="35" s="1"/>
  <c r="AA36" i="34"/>
  <c r="BB5" i="3"/>
  <c r="J39" i="39"/>
  <c r="S9" i="35"/>
  <c r="S28" i="33"/>
  <c r="S45" i="34"/>
  <c r="AC27" i="37"/>
  <c r="W9" i="21"/>
  <c r="S24" i="36"/>
  <c r="W44" i="33"/>
  <c r="AB35" i="35"/>
  <c r="AB45" i="34"/>
  <c r="AC29" i="33"/>
  <c r="U32" i="33"/>
  <c r="AA36" i="37"/>
  <c r="U12" i="37"/>
  <c r="F9" i="37"/>
  <c r="S9" i="37" s="1"/>
  <c r="U19" i="21"/>
  <c r="S25" i="37"/>
  <c r="AC23" i="37"/>
  <c r="AC41" i="34"/>
  <c r="AB27" i="37"/>
  <c r="BL20" i="3"/>
  <c r="AZ20" i="3" s="1"/>
  <c r="AA27" i="33"/>
  <c r="AB45" i="33"/>
  <c r="AB13" i="21"/>
  <c r="U30" i="33"/>
  <c r="AB13" i="35"/>
  <c r="AA38" i="37"/>
  <c r="H28" i="37"/>
  <c r="U28" i="37" s="1"/>
  <c r="J47" i="34"/>
  <c r="AC47" i="34" s="1"/>
  <c r="F31" i="34"/>
  <c r="S31" i="34" s="1"/>
  <c r="F13" i="34"/>
  <c r="AA13" i="34" s="1"/>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J34" i="35"/>
  <c r="AC34" i="35" s="1"/>
  <c r="F34" i="35"/>
  <c r="H12" i="36"/>
  <c r="U12" i="36" s="1"/>
  <c r="J23" i="36"/>
  <c r="AB26" i="36"/>
  <c r="U26" i="36"/>
  <c r="J24" i="36"/>
  <c r="H24" i="36"/>
  <c r="F32" i="36"/>
  <c r="S32" i="36" s="1"/>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C92" i="9"/>
  <c r="A30" i="64"/>
  <c r="A30" i="51"/>
  <c r="B22" i="63" s="1"/>
  <c r="AZ288" i="3"/>
  <c r="AZ293" i="3"/>
  <c r="AZ296" i="3"/>
  <c r="AZ125" i="3"/>
  <c r="AZ128" i="3"/>
  <c r="AZ141" i="3"/>
  <c r="AZ144" i="3"/>
  <c r="AZ155" i="3"/>
  <c r="AZ168" i="3"/>
  <c r="AZ171" i="3"/>
  <c r="AZ186" i="3"/>
  <c r="AZ194" i="3"/>
  <c r="G22" i="3"/>
  <c r="AZ37" i="3"/>
  <c r="AZ41" i="3"/>
  <c r="AZ44" i="3"/>
  <c r="AZ46" i="3"/>
  <c r="AZ50" i="3"/>
  <c r="AZ65" i="3"/>
  <c r="AZ22" i="3"/>
  <c r="AZ68" i="3"/>
  <c r="I21" i="57"/>
  <c r="D1" i="57" s="1"/>
  <c r="E10" i="57" s="1"/>
  <c r="AZ69" i="3"/>
  <c r="AZ73" i="3"/>
  <c r="AZ76" i="3"/>
  <c r="AZ83" i="3"/>
  <c r="AZ87" i="3"/>
  <c r="AZ93" i="3"/>
  <c r="AZ96" i="3"/>
  <c r="AZ103" i="3"/>
  <c r="AZ109" i="3"/>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E58" i="69"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3" i="70"/>
  <c r="F7" i="70"/>
  <c r="F10" i="44"/>
  <c r="M11" i="44"/>
  <c r="M8" i="44"/>
  <c r="F45" i="44"/>
  <c r="M8" i="15"/>
  <c r="M24" i="15"/>
  <c r="F39" i="44"/>
  <c r="F18" i="44"/>
  <c r="M31" i="44"/>
  <c r="M30" i="44"/>
  <c r="M9" i="15"/>
  <c r="F6" i="15"/>
  <c r="M24" i="44"/>
  <c r="L48" i="44"/>
  <c r="L49" i="44"/>
  <c r="F15" i="44"/>
  <c r="F8" i="44"/>
  <c r="F42" i="15"/>
  <c r="F43" i="15"/>
  <c r="F9" i="44"/>
  <c r="M29" i="70"/>
  <c r="F36" i="15"/>
  <c r="M23" i="15"/>
  <c r="J17" i="44"/>
  <c r="L47" i="15"/>
  <c r="J15" i="15"/>
  <c r="F38" i="15"/>
  <c r="J36" i="15"/>
  <c r="M26" i="44"/>
  <c r="M25" i="44"/>
  <c r="M10" i="44"/>
  <c r="L48" i="15"/>
  <c r="F26" i="15"/>
  <c r="F7" i="15"/>
  <c r="F11" i="44"/>
  <c r="M28" i="44"/>
  <c r="F43" i="44"/>
  <c r="F28" i="44"/>
  <c r="F38" i="44"/>
  <c r="F40" i="44"/>
  <c r="M28" i="15"/>
  <c r="M7" i="70" l="1"/>
  <c r="J6" i="70" s="1"/>
  <c r="J5" i="70" s="1"/>
  <c r="F49" i="70"/>
  <c r="C48" i="70" s="1"/>
  <c r="C47" i="70" s="1"/>
  <c r="C6" i="70"/>
  <c r="C10" i="70" s="1"/>
  <c r="C5" i="70" s="1"/>
  <c r="F70" i="70"/>
  <c r="M6" i="1"/>
  <c r="C24" i="70"/>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s="1"/>
  <c r="AC39" i="37"/>
  <c r="W39" i="37"/>
  <c r="W24" i="36"/>
  <c r="AC24" i="36"/>
  <c r="AC39" i="39"/>
  <c r="W39" i="39"/>
  <c r="AC14" i="39"/>
  <c r="W14" i="39"/>
  <c r="U14" i="40"/>
  <c r="AB14" i="40"/>
  <c r="W28" i="33"/>
  <c r="AC28" i="33"/>
  <c r="W25" i="37"/>
  <c r="AC25" i="37"/>
  <c r="AA46" i="21"/>
  <c r="S46" i="21"/>
  <c r="W30" i="21"/>
  <c r="AC30" i="21"/>
  <c r="U14" i="21"/>
  <c r="AB14" i="21"/>
  <c r="U12" i="21"/>
  <c r="AB12"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69" s="1"/>
  <c r="E10" i="6"/>
  <c r="E15" i="6"/>
  <c r="E67" i="69" s="1"/>
  <c r="H16" i="1"/>
  <c r="G16" i="1"/>
  <c r="F30" i="6"/>
  <c r="E28" i="6"/>
  <c r="E13" i="6"/>
  <c r="E65" i="69" s="1"/>
  <c r="E11" i="6"/>
  <c r="E63" i="69" s="1"/>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C27" i="15"/>
  <c r="Q72" i="15"/>
  <c r="F63" i="15"/>
  <c r="M7" i="15"/>
  <c r="F49" i="15"/>
  <c r="F70" i="15"/>
  <c r="L56" i="15"/>
  <c r="J57" i="15"/>
  <c r="J55" i="15" s="1"/>
  <c r="J58" i="15" s="1"/>
  <c r="Q51" i="15" s="1"/>
  <c r="F65" i="15"/>
  <c r="G66" i="36"/>
  <c r="J18" i="36"/>
  <c r="AE8" i="1"/>
  <c r="M19" i="44"/>
  <c r="F33" i="44"/>
  <c r="C16" i="70"/>
  <c r="F8" i="15"/>
  <c r="C18" i="44"/>
  <c r="F9" i="15"/>
  <c r="M29" i="15"/>
  <c r="M22" i="15"/>
  <c r="F16" i="15"/>
  <c r="F46" i="44"/>
  <c r="AE7" i="1"/>
  <c r="F40" i="15"/>
  <c r="F13" i="15"/>
  <c r="F37" i="15"/>
  <c r="AE6" i="1"/>
  <c r="M6" i="15"/>
  <c r="M26" i="15"/>
  <c r="C59" i="70" l="1"/>
  <c r="C65" i="70"/>
  <c r="C60" i="70"/>
  <c r="C15" i="43"/>
  <c r="C38" i="70"/>
  <c r="C32" i="70"/>
  <c r="C33" i="70"/>
  <c r="J18" i="70"/>
  <c r="J24" i="70"/>
  <c r="J26" i="70"/>
  <c r="C29" i="46"/>
  <c r="E29" i="46" s="1"/>
  <c r="E64" i="39"/>
  <c r="E64" i="69"/>
  <c r="E68" i="69" s="1"/>
  <c r="J12" i="40"/>
  <c r="J12" i="69"/>
  <c r="F12" i="69"/>
  <c r="H12" i="69"/>
  <c r="J7" i="35"/>
  <c r="AC7" i="35" s="1"/>
  <c r="V38" i="35" s="1"/>
  <c r="I38" i="35" s="1"/>
  <c r="F7" i="34"/>
  <c r="F67" i="15"/>
  <c r="F50" i="15"/>
  <c r="C6" i="15"/>
  <c r="C10" i="15" s="1"/>
  <c r="F64" i="15"/>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AC7" i="36"/>
  <c r="V36" i="36" s="1"/>
  <c r="I36" i="36" s="1"/>
  <c r="I40" i="36" s="1"/>
  <c r="J40" i="36" s="1"/>
  <c r="W18" i="36"/>
  <c r="AC18" i="36"/>
  <c r="U7" i="36"/>
  <c r="G41" i="36"/>
  <c r="H41" i="36" s="1"/>
  <c r="W7" i="35"/>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1" i="15"/>
  <c r="Q62" i="15"/>
  <c r="Q53" i="15"/>
  <c r="C48" i="15"/>
  <c r="C20" i="11"/>
  <c r="C21" i="11" s="1"/>
  <c r="C22" i="11" s="1"/>
  <c r="C23" i="11" s="1"/>
  <c r="B2" i="11" s="1"/>
  <c r="AC12" i="40"/>
  <c r="W12" i="40"/>
  <c r="C48" i="33"/>
  <c r="C49" i="33"/>
  <c r="B3" i="33" s="1"/>
  <c r="B2" i="33" s="1"/>
  <c r="M17" i="15"/>
  <c r="F58" i="15"/>
  <c r="F31" i="15"/>
  <c r="F41" i="70"/>
  <c r="M27" i="15"/>
  <c r="C16" i="15"/>
  <c r="L52" i="44"/>
  <c r="F41" i="15"/>
  <c r="M29" i="44"/>
  <c r="F7" i="67"/>
  <c r="J29" i="70" l="1"/>
  <c r="F68" i="70"/>
  <c r="AB12" i="69"/>
  <c r="U12" i="69"/>
  <c r="AC12" i="69"/>
  <c r="W12" i="69"/>
  <c r="AA12" i="69"/>
  <c r="S12" i="69"/>
  <c r="C5" i="15"/>
  <c r="C32" i="15" s="1"/>
  <c r="F68" i="15"/>
  <c r="S7" i="37"/>
  <c r="G54" i="34"/>
  <c r="H54" i="34" s="1"/>
  <c r="U7" i="35"/>
  <c r="S6" i="46"/>
  <c r="T6" i="46" s="1"/>
  <c r="V6" i="46" s="1"/>
  <c r="S7" i="46"/>
  <c r="T7" i="46" s="1"/>
  <c r="V7" i="46" s="1"/>
  <c r="S4" i="46"/>
  <c r="T4" i="46" s="1"/>
  <c r="V4" i="46" s="1"/>
  <c r="S5" i="46"/>
  <c r="T5" i="46" s="1"/>
  <c r="V5" i="46" s="1"/>
  <c r="S2" i="46"/>
  <c r="T2" i="46" s="1"/>
  <c r="V2" i="46" s="1"/>
  <c r="S3" i="46"/>
  <c r="T3" i="46" s="1"/>
  <c r="V3" i="46" s="1"/>
  <c r="AB12" i="39"/>
  <c r="U7" i="34"/>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9" i="44"/>
  <c r="C17" i="15"/>
  <c r="E7" i="67"/>
  <c r="C17" i="70"/>
  <c r="C38" i="15" l="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40" i="39" l="1"/>
  <c r="C40"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6" i="44"/>
  <c r="C14" i="15"/>
  <c r="C15" i="70" l="1"/>
  <c r="C18" i="70"/>
  <c r="H40" i="69"/>
  <c r="J40" i="69"/>
  <c r="F40" i="69"/>
  <c r="F40" i="39"/>
  <c r="J40" i="39"/>
  <c r="H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70"/>
  <c r="F37" i="44"/>
  <c r="F35" i="15"/>
  <c r="F35" i="70"/>
  <c r="M23" i="44"/>
  <c r="M21" i="15"/>
  <c r="C19" i="70" l="1"/>
  <c r="C34" i="70"/>
  <c r="C31" i="70" s="1"/>
  <c r="F62" i="70"/>
  <c r="C61" i="70" s="1"/>
  <c r="C58" i="70" s="1"/>
  <c r="J20" i="70"/>
  <c r="C20" i="70"/>
  <c r="C26" i="70" s="1"/>
  <c r="AB40" i="39"/>
  <c r="U40" i="39"/>
  <c r="AA40" i="39"/>
  <c r="S40" i="39"/>
  <c r="AC40" i="69"/>
  <c r="W40" i="69"/>
  <c r="AC40" i="39"/>
  <c r="W40" i="39"/>
  <c r="AA40" i="69"/>
  <c r="S40" i="69"/>
  <c r="U40" i="69"/>
  <c r="AB4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C56" i="70" s="1"/>
  <c r="C63" i="70" s="1"/>
  <c r="C13" i="69"/>
  <c r="C13" i="39"/>
  <c r="C28" i="44"/>
  <c r="C31" i="44" s="1"/>
  <c r="C35" i="44" s="1"/>
  <c r="I5" i="6"/>
  <c r="C26" i="15"/>
  <c r="C29" i="15" s="1"/>
  <c r="J59" i="15" s="1"/>
  <c r="J60" i="15" s="1"/>
  <c r="Q49" i="15" s="1"/>
  <c r="C23" i="12"/>
  <c r="C19" i="43"/>
  <c r="C22" i="43" s="1"/>
  <c r="C21" i="43" s="1"/>
  <c r="K67" i="40"/>
  <c r="L65" i="40"/>
  <c r="K72" i="39"/>
  <c r="L70" i="39"/>
  <c r="Q50" i="70" l="1"/>
  <c r="C13" i="70"/>
  <c r="J35" i="70" s="1"/>
  <c r="C36" i="70"/>
  <c r="J19" i="70"/>
  <c r="J17" i="70" s="1"/>
  <c r="J14" i="70"/>
  <c r="J22" i="70" s="1"/>
  <c r="Q71" i="70"/>
  <c r="H13" i="39"/>
  <c r="J13" i="39"/>
  <c r="F13" i="39"/>
  <c r="H13" i="69"/>
  <c r="F13" i="69"/>
  <c r="J13"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37" i="70" l="1"/>
  <c r="C30" i="70" s="1"/>
  <c r="C39" i="70" s="1"/>
  <c r="J39" i="70" s="1"/>
  <c r="J40" i="70" s="1"/>
  <c r="J13" i="70"/>
  <c r="J23" i="70" s="1"/>
  <c r="J16" i="70" s="1"/>
  <c r="J25" i="70" s="1"/>
  <c r="C55" i="70"/>
  <c r="C64" i="70" s="1"/>
  <c r="C57" i="70" s="1"/>
  <c r="C66" i="70" s="1"/>
  <c r="C67" i="70" s="1"/>
  <c r="C70" i="70" s="1"/>
  <c r="W13" i="69"/>
  <c r="AC13" i="69"/>
  <c r="V49" i="69" s="1"/>
  <c r="I49" i="69" s="1"/>
  <c r="U13" i="69"/>
  <c r="AB13" i="69"/>
  <c r="T49" i="69" s="1"/>
  <c r="G49" i="69" s="1"/>
  <c r="AC13" i="39"/>
  <c r="W13" i="39"/>
  <c r="S13" i="69"/>
  <c r="AA13" i="69"/>
  <c r="R49" i="69" s="1"/>
  <c r="S13" i="39"/>
  <c r="AA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C40" i="70" l="1"/>
  <c r="C46" i="70" s="1"/>
  <c r="Q70" i="70"/>
  <c r="Q69" i="70" s="1"/>
  <c r="Q68" i="70"/>
  <c r="R50" i="69"/>
  <c r="E49" i="69"/>
  <c r="G53" i="69"/>
  <c r="H53" i="69" s="1"/>
  <c r="G54" i="69"/>
  <c r="H54" i="69" s="1"/>
  <c r="I53" i="69"/>
  <c r="J53" i="69" s="1"/>
  <c r="I54" i="69"/>
  <c r="J54"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57" i="70" l="1"/>
  <c r="Q63" i="70" s="1"/>
  <c r="J42" i="70"/>
  <c r="J43" i="70" s="1"/>
  <c r="Q48" i="70"/>
  <c r="Q54" i="70" s="1"/>
  <c r="C43" i="70"/>
  <c r="B2" i="70"/>
  <c r="B3" i="70" s="1"/>
  <c r="C8" i="12" s="1"/>
  <c r="Q66" i="70"/>
  <c r="Q76" i="70" s="1"/>
  <c r="E53" i="69"/>
  <c r="F53" i="69" s="1"/>
  <c r="E54" i="69"/>
  <c r="F54" i="69" s="1"/>
  <c r="C49" i="69"/>
  <c r="C50"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10" i="12" l="1"/>
  <c r="B60" i="69"/>
  <c r="F60" i="69" s="1"/>
  <c r="B67" i="69"/>
  <c r="F67" i="69" s="1"/>
  <c r="B59" i="69"/>
  <c r="F59" i="69" s="1"/>
  <c r="B58" i="69"/>
  <c r="F58" i="69" s="1"/>
  <c r="B65" i="69"/>
  <c r="F65" i="69" s="1"/>
  <c r="B66" i="69"/>
  <c r="F66" i="69" s="1"/>
  <c r="B63" i="69"/>
  <c r="F63" i="69" s="1"/>
  <c r="B62" i="69"/>
  <c r="F62" i="69" s="1"/>
  <c r="B64" i="69"/>
  <c r="F64" i="69" s="1"/>
  <c r="B61" i="69"/>
  <c r="F61" i="69"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68" i="69" l="1"/>
  <c r="B2" i="69" s="1"/>
  <c r="L46" i="15"/>
  <c r="B2" i="15" s="1"/>
  <c r="D10" i="12" s="1"/>
  <c r="Q76" i="15"/>
  <c r="Q58" i="15"/>
  <c r="Q63" i="15" s="1"/>
  <c r="E54" i="39"/>
  <c r="F54" i="39" s="1"/>
  <c r="E53" i="39"/>
  <c r="F53" i="39" s="1"/>
  <c r="E48" i="40"/>
  <c r="F48" i="40" s="1"/>
  <c r="E49" i="40"/>
  <c r="F49" i="40" s="1"/>
  <c r="C50" i="39"/>
  <c r="C49" i="39"/>
  <c r="I54" i="39"/>
  <c r="J54" i="39" s="1"/>
  <c r="C45" i="40"/>
  <c r="C44" i="40"/>
  <c r="I49" i="40"/>
  <c r="J49" i="40" s="1"/>
  <c r="B3" i="69" l="1"/>
  <c r="B4" i="69"/>
  <c r="B5" i="69"/>
  <c r="B3" i="15"/>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28" i="12" l="1"/>
  <c r="C26" i="12" s="1"/>
  <c r="C31" i="12" s="1"/>
  <c r="C30" i="12" s="1"/>
  <c r="C35" i="12"/>
  <c r="C33" i="12" s="1"/>
  <c r="C45" i="9"/>
  <c r="H14" i="66" s="1"/>
  <c r="B7" i="66" s="1"/>
  <c r="C36" i="12" l="1"/>
  <c r="B2" i="12" s="1"/>
  <c r="D7" i="66"/>
  <c r="C7" i="66"/>
  <c r="D19" i="9"/>
  <c r="L44" i="9" l="1"/>
  <c r="D22" i="9"/>
  <c r="G19" i="9"/>
  <c r="B5" i="12"/>
  <c r="B4" i="12"/>
  <c r="B3" i="12"/>
  <c r="C44" i="9"/>
  <c r="G14" i="66" s="1"/>
  <c r="B6" i="66" s="1"/>
  <c r="D45" i="9"/>
  <c r="E45" i="9"/>
  <c r="O40" i="9"/>
  <c r="F45" i="9"/>
  <c r="D21" i="9"/>
  <c r="D20" i="9"/>
  <c r="G21" i="9" l="1"/>
  <c r="G20" i="9"/>
  <c r="C32" i="9"/>
  <c r="G22" i="9"/>
  <c r="N43" i="9"/>
  <c r="D6" i="66"/>
  <c r="C6" i="66"/>
  <c r="K31" i="9"/>
  <c r="K32" i="9" s="1"/>
  <c r="R7" i="54"/>
  <c r="B52" i="63" s="1"/>
  <c r="N69" i="9"/>
  <c r="O39" i="9"/>
  <c r="K29" i="9" s="1"/>
  <c r="D44" i="9"/>
  <c r="E44" i="9"/>
  <c r="F44" i="9"/>
  <c r="O38" i="9" l="1"/>
  <c r="C33" i="9"/>
  <c r="C35" i="9"/>
  <c r="F42" i="9" s="1"/>
  <c r="C42" i="9"/>
  <c r="C34" i="9"/>
  <c r="O43" i="9"/>
  <c r="M86" i="9"/>
  <c r="N86" i="9" s="1"/>
  <c r="M84" i="9"/>
  <c r="N84" i="9" s="1"/>
  <c r="M88" i="9"/>
  <c r="N88" i="9" s="1"/>
  <c r="M87" i="9"/>
  <c r="N87" i="9" s="1"/>
  <c r="M85" i="9"/>
  <c r="N85" i="9" s="1"/>
  <c r="M83" i="9"/>
  <c r="N83" i="9" s="1"/>
  <c r="K30" i="9"/>
  <c r="R6" i="54"/>
  <c r="B50" i="63" s="1"/>
  <c r="D14" i="66" l="1"/>
  <c r="N68" i="9"/>
  <c r="R5" i="54"/>
  <c r="B48" i="63" s="1"/>
  <c r="D63" i="9"/>
  <c r="N38" i="9"/>
  <c r="K28" i="9" s="1"/>
  <c r="D42" i="9"/>
  <c r="Q5" i="54" s="1"/>
  <c r="B47" i="63" s="1"/>
  <c r="M38" i="9"/>
  <c r="K27" i="9" s="1"/>
  <c r="E42" i="9"/>
  <c r="P5" i="54" s="1"/>
  <c r="B46" i="63" s="1"/>
  <c r="K25" i="9"/>
  <c r="K26" i="9"/>
  <c r="N89" i="9"/>
  <c r="C111" i="9" l="1"/>
  <c r="C104" i="9" s="1"/>
  <c r="C103" i="9"/>
  <c r="C90" i="9"/>
  <c r="D70" i="9"/>
  <c r="C82" i="9"/>
  <c r="C81" i="9" s="1"/>
  <c r="C85" i="9" s="1"/>
  <c r="C86" i="9" s="1"/>
  <c r="D72" i="9" s="1"/>
  <c r="C96" i="9"/>
  <c r="C91" i="9" s="1"/>
  <c r="D71" i="9"/>
  <c r="D66" i="9" s="1"/>
  <c r="N72" i="9" s="1"/>
  <c r="D77" i="9"/>
  <c r="N75" i="9" s="1"/>
  <c r="F14" i="66"/>
  <c r="E14" i="66"/>
  <c r="O89" i="9"/>
  <c r="N76" i="9"/>
  <c r="C97" i="9" l="1"/>
  <c r="C113" i="9"/>
  <c r="C98" i="9" l="1"/>
  <c r="E98" i="9" s="1"/>
  <c r="E99" i="9" s="1"/>
  <c r="C114" i="9"/>
  <c r="E114" i="9" s="1"/>
  <c r="E115" i="9" s="1"/>
  <c r="F46" i="9"/>
  <c r="O41" i="9"/>
  <c r="I14" i="66"/>
  <c r="B8" i="66" s="1"/>
  <c r="D8" i="66" s="1"/>
  <c r="E46" i="9"/>
  <c r="D46" i="9"/>
  <c r="K34" i="9"/>
  <c r="R8" i="54"/>
  <c r="B54" i="63" s="1"/>
  <c r="C8" i="66" l="1"/>
  <c r="C99" i="9"/>
  <c r="C115" i="9"/>
  <c r="D76" i="9" s="1"/>
  <c r="D74" i="9" s="1"/>
  <c r="N74" i="9" s="1"/>
  <c r="O77" i="9" s="1"/>
  <c r="Q77" i="9" s="1"/>
  <c r="O79" i="9" l="1"/>
  <c r="O80" i="9" s="1"/>
  <c r="O78" i="9"/>
  <c r="C46" i="9"/>
  <c r="K33" i="9" s="1"/>
  <c r="O81" i="9" l="1"/>
  <c r="M4" i="12" l="1"/>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<sst xmlns="http://schemas.openxmlformats.org/spreadsheetml/2006/main" count="7741" uniqueCount="3091">
  <si>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</si>
  <si>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</si>
  <si>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</si>
  <si>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</si>
  <si>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</si>
  <si>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</si>
  <si>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</si>
  <si>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</si>
  <si>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</si>
  <si>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</si>
  <si>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</si>
  <si>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</si>
  <si>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</si>
  <si>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</si>
  <si>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</si>
  <si>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</si>
  <si>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</si>
  <si>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</si>
  <si>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</si>
  <si>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</si>
  <si>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</si>
  <si>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</si>
  <si>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</si>
  <si>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</si>
  <si>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</si>
  <si>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</si>
  <si>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</si>
  <si>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</si>
  <si>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</si>
  <si>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</si>
  <si>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</si>
  <si>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</si>
  <si>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</si>
  <si>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</si>
  <si>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</si>
  <si>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</si>
  <si>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</si>
  <si>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</si>
  <si>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</si>
  <si>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</si>
  <si>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</si>
  <si>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</si>
  <si>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</si>
  <si>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</si>
  <si>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</si>
  <si>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</si>
  <si>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</si>
  <si>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</si>
  <si>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</si>
  <si>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</si>
  <si>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</si>
  <si>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</si>
  <si>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</si>
  <si>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</si>
  <si>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</si>
  <si>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</si>
  <si>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</si>
  <si>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</si>
  <si>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</si>
  <si>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</si>
  <si>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</si>
  <si>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</si>
  <si>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</si>
  <si>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</si>
  <si>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</si>
  <si>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</si>
  <si>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</si>
  <si>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</si>
  <si>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</si>
  <si>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</si>
  <si>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</si>
  <si>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</si>
  <si>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</si>
  <si>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</si>
  <si>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</si>
  <si>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</si>
  <si>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</si>
  <si>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</si>
  <si>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</si>
  <si>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</si>
  <si>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</si>
  <si>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</si>
  <si>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</si>
  <si>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</si>
  <si>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</si>
  <si>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</si>
  <si>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</si>
  <si>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</si>
  <si>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</si>
  <si>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</si>
  <si>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</si>
  <si>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</si>
  <si>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</si>
  <si>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</si>
  <si>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</si>
  <si>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</si>
  <si>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</si>
  <si>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</si>
  <si>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</si>
  <si>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</si>
  <si>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</si>
  <si>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</si>
  <si>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</si>
  <si>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</si>
  <si>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</si>
  <si>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</si>
  <si>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</si>
  <si>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</si>
  <si>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</si>
  <si>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</si>
  <si>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</si>
  <si>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</si>
  <si>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</si>
  <si>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</si>
  <si>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</si>
  <si>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</si>
  <si>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</si>
  <si>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</si>
  <si>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</si>
  <si>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</si>
  <si>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</si>
  <si>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</si>
  <si>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</si>
  <si>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</si>
  <si>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</si>
  <si>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</si>
  <si>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</si>
  <si>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</si>
  <si>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</si>
  <si>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</si>
  <si>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</si>
  <si>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</si>
  <si>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</si>
  <si>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</si>
  <si>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</si>
  <si>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</si>
  <si>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</si>
  <si>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</si>
  <si>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</si>
  <si>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</si>
  <si>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</si>
  <si>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</si>
  <si>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</si>
  <si>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</si>
  <si>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</si>
  <si>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</si>
  <si>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</si>
  <si>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</si>
  <si>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</si>
  <si>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</si>
  <si>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</si>
  <si>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</si>
  <si>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</si>
  <si>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</si>
  <si>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</si>
  <si>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</si>
  <si>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</si>
  <si>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</si>
  <si>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</si>
  <si>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</si>
  <si>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</si>
  <si>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</si>
  <si>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</si>
  <si>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</si>
  <si>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</si>
  <si>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</si>
  <si>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</si>
  <si>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</si>
  <si>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</si>
  <si>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</si>
  <si>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</si>
  <si>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</si>
  <si>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</si>
  <si>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</si>
  <si>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</si>
  <si>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</si>
  <si>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</si>
  <si>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</si>
  <si>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</si>
  <si>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</si>
  <si>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</si>
  <si>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</si>
  <si>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</si>
  <si>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</si>
  <si>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</si>
  <si>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</si>
  <si>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</si>
  <si>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</si>
  <si>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</si>
  <si>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</si>
  <si>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</si>
  <si>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</si>
  <si>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</si>
  <si>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</si>
  <si>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</si>
  <si>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</si>
  <si>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</si>
  <si>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</si>
  <si>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</si>
  <si>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</si>
  <si>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</si>
  <si>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</si>
  <si>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</si>
  <si>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</si>
  <si>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</si>
  <si>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</si>
  <si>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</si>
  <si>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</si>
  <si>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</si>
  <si>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</si>
  <si>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</si>
  <si>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</si>
  <si>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</si>
  <si>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</si>
  <si>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</si>
  <si>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</si>
  <si>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</si>
  <si>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</si>
  <si>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</si>
  <si>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</si>
  <si>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</si>
  <si>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</si>
  <si>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</si>
  <si>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</si>
  <si>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</si>
  <si>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</si>
  <si>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</si>
  <si>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</si>
  <si>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</si>
  <si>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</si>
  <si>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</si>
  <si>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</si>
  <si>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</si>
  <si>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</si>
  <si>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</si>
  <si>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</si>
  <si>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</si>
  <si>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</si>
  <si>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</si>
  <si>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</si>
  <si>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</si>
  <si>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</si>
  <si>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</si>
  <si>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</si>
  <si>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</si>
  <si>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</si>
  <si>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</si>
  <si>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</si>
  <si>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</si>
  <si>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</si>
  <si>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</si>
  <si>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</si>
  <si>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</si>
  <si>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</si>
  <si>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</si>
  <si>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</si>
  <si>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</si>
  <si>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</si>
  <si>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</si>
  <si>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</si>
  <si>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</si>
  <si>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</si>
  <si>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</si>
  <si>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</si>
  <si>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</si>
  <si>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</si>
  <si>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</si>
  <si>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</si>
  <si>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</si>
  <si>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</si>
  <si>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</si>
  <si>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</si>
  <si>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</si>
  <si>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</si>
  <si>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</si>
  <si>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</si>
  <si>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</si>
  <si>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</si>
  <si>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</si>
  <si>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</si>
  <si>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</si>
  <si>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</si>
  <si>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</si>
  <si>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</si>
  <si>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</si>
  <si>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</si>
  <si>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</si>
  <si>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</si>
  <si>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</si>
  <si>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</si>
  <si>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</si>
  <si>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</si>
  <si>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</si>
  <si>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</si>
  <si>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</si>
  <si>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</si>
  <si>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</si>
  <si>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</si>
  <si>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</si>
  <si>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</si>
  <si>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</si>
  <si>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</si>
  <si>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</si>
  <si>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</si>
  <si>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</si>
  <si>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</si>
  <si>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</si>
  <si>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</si>
  <si>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</si>
  <si>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</si>
  <si>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</si>
  <si>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</si>
  <si>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</si>
  <si>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</si>
  <si>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</si>
  <si>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</si>
  <si>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</si>
  <si>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</si>
  <si>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</si>
  <si>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</si>
  <si>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</si>
  <si>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</si>
  <si>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</si>
  <si>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</si>
  <si>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</si>
  <si>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</si>
  <si>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</si>
  <si>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</si>
  <si>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</si>
  <si>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</si>
  <si>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</si>
  <si>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</si>
  <si>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</si>
  <si>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</si>
  <si>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</si>
  <si>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</si>
  <si>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</si>
  <si>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</si>
  <si>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</si>
  <si>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</si>
  <si>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</si>
  <si>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</si>
  <si>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</si>
  <si>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</si>
  <si>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</si>
  <si>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</si>
  <si>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</si>
  <si>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</si>
  <si>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</si>
  <si>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</si>
  <si>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</si>
  <si>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</si>
  <si>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</si>
  <si>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</si>
  <si>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</si>
  <si>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</si>
  <si>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</si>
  <si>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</si>
  <si>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</si>
  <si>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</si>
  <si>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</si>
  <si>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</si>
  <si>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</si>
  <si>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</si>
  <si>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</si>
  <si>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</si>
  <si>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</si>
  <si>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</si>
  <si>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</si>
  <si>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</si>
  <si>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</si>
  <si>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</si>
  <si>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</si>
  <si>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</si>
  <si>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</si>
  <si>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</si>
  <si>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</si>
  <si>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</si>
  <si>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</si>
  <si>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</si>
  <si>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</si>
  <si>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</si>
  <si>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</si>
  <si>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</si>
  <si>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</si>
  <si>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</si>
  <si>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</si>
  <si>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</si>
  <si>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</si>
  <si>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</si>
  <si>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</si>
  <si>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</si>
  <si>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</si>
  <si>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</si>
  <si>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</si>
  <si>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</si>
  <si>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</si>
  <si>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</si>
  <si>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</si>
  <si>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</si>
  <si>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</si>
  <si>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</si>
  <si>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</si>
  <si>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</si>
  <si>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</si>
  <si>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</si>
  <si>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</si>
  <si>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</si>
  <si>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</si>
  <si>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</si>
  <si>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</si>
  <si>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</si>
  <si>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</si>
  <si>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</si>
  <si>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</si>
  <si>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</si>
  <si>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</si>
  <si>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</si>
  <si>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</si>
  <si>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</si>
  <si>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</si>
  <si>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</si>
  <si>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</si>
  <si>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</si>
  <si>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</si>
  <si>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</si>
  <si>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</si>
  <si>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</si>
  <si>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</si>
  <si>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</si>
  <si>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</si>
  <si>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</si>
  <si>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</si>
  <si>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</si>
  <si>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</si>
  <si>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</si>
  <si>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</si>
  <si>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</si>
  <si>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</si>
  <si>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</si>
  <si>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</si>
  <si>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</si>
  <si>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</si>
  <si>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</si>
  <si>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</si>
  <si>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</si>
  <si>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</si>
  <si>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</si>
  <si>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</si>
  <si>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</si>
  <si>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</si>
  <si>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</si>
  <si>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</si>
  <si>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</si>
  <si>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</si>
  <si>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</si>
  <si>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</si>
  <si>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</si>
  <si>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</si>
  <si>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</si>
  <si>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</si>
  <si>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</si>
  <si>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</si>
  <si>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</si>
  <si>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</si>
  <si>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</si>
  <si>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</si>
  <si>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</si>
  <si>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</si>
  <si>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</si>
  <si>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</si>
  <si>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</si>
  <si>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</si>
  <si>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</si>
  <si>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</si>
  <si>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</si>
  <si>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</si>
  <si>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</si>
  <si>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</si>
  <si>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</si>
  <si>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</si>
  <si>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</si>
  <si>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</si>
  <si>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</si>
  <si>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</si>
  <si>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</si>
  <si>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</si>
  <si>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</si>
  <si>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</si>
  <si>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</si>
  <si>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</si>
  <si>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</si>
  <si>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</si>
  <si>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</si>
  <si>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</si>
  <si>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</si>
  <si>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</si>
  <si>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</si>
  <si>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</si>
  <si>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</si>
  <si>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</si>
  <si>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</si>
  <si>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</si>
  <si>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</si>
  <si>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</si>
  <si>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</si>
  <si>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</si>
  <si>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</si>
  <si>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</si>
  <si>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</si>
  <si>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</si>
  <si>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</si>
  <si>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</si>
  <si>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</si>
  <si>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</si>
  <si>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</si>
  <si>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</si>
  <si>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</si>
  <si>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</si>
  <si>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</si>
  <si>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</si>
  <si>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</si>
  <si>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</si>
  <si>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</si>
  <si>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</si>
  <si>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</si>
  <si>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</si>
  <si>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</si>
  <si>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</si>
  <si>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</si>
  <si>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</si>
  <si>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</si>
  <si>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</si>
  <si>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</si>
  <si>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</si>
  <si>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</si>
  <si>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</si>
  <si>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</si>
  <si>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</si>
  <si>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</si>
  <si>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</si>
  <si>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</si>
  <si>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</si>
  <si>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</si>
  <si>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</si>
  <si>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</si>
  <si>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</si>
  <si>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</si>
  <si>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</si>
  <si>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</si>
  <si>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</si>
  <si>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</si>
  <si>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</si>
  <si>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</si>
  <si>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</si>
  <si>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</si>
  <si>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</si>
  <si>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</si>
  <si>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</si>
  <si>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</si>
  <si>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</si>
  <si>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</si>
  <si>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</si>
  <si>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</si>
  <si>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</si>
  <si>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</si>
  <si>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</si>
  <si>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</si>
  <si>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</si>
  <si>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</si>
  <si>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</si>
  <si>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</si>
  <si>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</si>
  <si>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</si>
  <si>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</si>
  <si>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</si>
  <si>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</si>
  <si>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</si>
  <si>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</si>
  <si>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</si>
  <si>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</si>
  <si>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</si>
  <si>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</si>
  <si>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</si>
  <si>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</si>
  <si>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</si>
  <si>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</si>
  <si>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</si>
  <si>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</si>
  <si>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</si>
  <si>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</si>
  <si>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</si>
  <si>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</si>
  <si>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</si>
  <si>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</si>
  <si>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</si>
  <si>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</si>
  <si>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</si>
  <si>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</si>
  <si>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</si>
  <si>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</si>
  <si>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</si>
  <si>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</si>
  <si>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</si>
  <si>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</si>
  <si>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</si>
  <si>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</si>
  <si>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</si>
  <si>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</si>
  <si>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</si>
  <si>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</si>
  <si>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</si>
  <si>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</si>
  <si>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</si>
  <si>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</si>
  <si>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</si>
  <si>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</si>
  <si>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</si>
  <si>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</si>
  <si>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</si>
  <si>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</si>
  <si>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</si>
  <si>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</si>
  <si>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</si>
  <si>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</si>
  <si>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</si>
  <si>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</si>
  <si>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</si>
  <si>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</si>
  <si>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</si>
  <si>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</si>
  <si>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</si>
  <si>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</si>
  <si>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</si>
  <si>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</si>
  <si>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</si>
  <si>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</si>
  <si>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</si>
  <si>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</si>
  <si>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</si>
  <si>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</si>
  <si>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</si>
  <si>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</si>
  <si>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</si>
  <si>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</si>
  <si>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</si>
  <si>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</si>
  <si>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</si>
  <si>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</si>
  <si>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</si>
  <si>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</si>
  <si>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</si>
  <si>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</si>
  <si>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</si>
  <si>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</si>
  <si>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</si>
  <si>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</si>
  <si>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</si>
  <si>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</si>
  <si>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</si>
  <si>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</si>
  <si>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</si>
  <si>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</si>
  <si>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</si>
  <si>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</si>
  <si>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</si>
  <si>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</si>
  <si>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</si>
  <si>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</si>
  <si>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</si>
  <si>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</si>
  <si>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</si>
  <si>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</si>
  <si>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</si>
  <si>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</si>
  <si>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</si>
  <si>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</si>
  <si>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</si>
  <si>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</si>
  <si>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</si>
  <si>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</si>
  <si>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</si>
  <si>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</si>
  <si>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</si>
  <si>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</si>
  <si>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</si>
  <si>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</si>
  <si>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</si>
  <si>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</si>
  <si>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</si>
  <si>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</si>
  <si>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</si>
  <si>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</si>
  <si>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</si>
  <si>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</si>
  <si>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</si>
  <si>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</si>
  <si>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</si>
  <si>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</si>
  <si>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</si>
  <si>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</si>
  <si>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</si>
  <si>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</si>
  <si>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</si>
  <si>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</si>
  <si>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</si>
  <si>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</si>
  <si>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</si>
  <si>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</si>
  <si>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</si>
  <si>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</si>
  <si>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</si>
  <si>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</si>
  <si>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</si>
  <si>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</si>
  <si>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</si>
  <si>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</si>
  <si>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</si>
  <si>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</si>
  <si>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</si>
  <si>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</si>
  <si>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</si>
  <si>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</si>
  <si>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</si>
  <si>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</si>
  <si>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</si>
  <si>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</si>
  <si>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</si>
  <si>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</si>
  <si>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</si>
  <si>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</si>
  <si>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</si>
  <si>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</si>
  <si>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</si>
  <si>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</si>
  <si>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</si>
  <si>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</si>
  <si>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</si>
  <si>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</si>
  <si>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</si>
  <si>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</si>
  <si>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</si>
  <si>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</si>
  <si>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</si>
  <si>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</si>
  <si>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</si>
  <si>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</si>
  <si>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</si>
  <si>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</si>
  <si>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</si>
  <si>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</si>
  <si>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</si>
  <si>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</si>
  <si>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</si>
  <si>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</si>
  <si>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</si>
  <si>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</si>
  <si>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</si>
  <si>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</si>
  <si>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</si>
  <si>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</si>
  <si>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</si>
  <si>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</si>
  <si>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</si>
  <si>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</si>
  <si>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</si>
  <si>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</si>
  <si>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</si>
  <si>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</si>
  <si>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</si>
  <si>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</si>
  <si>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</si>
  <si>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</si>
  <si>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</si>
  <si>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</si>
  <si>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</si>
  <si>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</si>
  <si>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</si>
  <si>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</si>
  <si>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</si>
  <si>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</si>
  <si>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</si>
  <si>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</si>
  <si>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</si>
  <si>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</si>
  <si>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</si>
  <si>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</si>
  <si>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</si>
  <si>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</si>
  <si>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</si>
  <si>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</si>
  <si>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</si>
  <si>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</si>
  <si>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</si>
  <si>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</si>
  <si>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</si>
  <si>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</si>
  <si>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</si>
  <si>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</si>
  <si>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</si>
  <si>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</si>
  <si>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</si>
  <si>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</si>
  <si>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</si>
  <si>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</si>
  <si>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</si>
  <si>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</si>
  <si>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</si>
  <si>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</si>
  <si>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</si>
  <si>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</si>
  <si>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</si>
  <si>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</si>
  <si>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</si>
  <si>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</si>
  <si>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</si>
  <si>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</si>
  <si>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</si>
  <si>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</si>
  <si>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</si>
  <si>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</si>
  <si>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</si>
  <si>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</si>
  <si>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</si>
  <si>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</si>
  <si>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</si>
  <si>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</si>
  <si>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</si>
  <si>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</si>
  <si>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</si>
  <si>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</si>
  <si>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</si>
  <si>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</si>
  <si>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</si>
  <si>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</si>
  <si>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</si>
  <si>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</si>
  <si>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</si>
  <si>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</si>
  <si>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</si>
  <si>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</si>
  <si>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</si>
  <si>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</si>
  <si>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</si>
  <si>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</si>
  <si>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</si>
  <si>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</si>
  <si>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</si>
  <si>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</si>
  <si>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</si>
  <si>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</si>
  <si>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</si>
  <si>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</si>
  <si>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</si>
  <si>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</si>
  <si>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</si>
  <si>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</si>
  <si>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</si>
  <si>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</si>
  <si>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</si>
  <si>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</si>
  <si>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</si>
  <si>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</si>
  <si>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</si>
  <si>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</si>
  <si>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</si>
  <si>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</si>
  <si>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</si>
  <si>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</si>
  <si>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</si>
  <si>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</si>
  <si>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</si>
  <si>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</si>
  <si>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</si>
  <si>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</si>
  <si>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</si>
  <si>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</si>
  <si>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</si>
  <si>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</si>
  <si>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</si>
  <si>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</si>
  <si>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</si>
  <si>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</si>
  <si>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</si>
  <si>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</si>
  <si>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</si>
  <si>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</si>
  <si>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</si>
  <si>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</si>
  <si>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</si>
  <si>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</si>
  <si>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</si>
  <si>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</si>
  <si>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</si>
  <si>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</si>
  <si>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</si>
  <si>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</si>
  <si>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</si>
  <si>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</si>
  <si>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</si>
  <si>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</si>
  <si>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</si>
  <si>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</si>
  <si>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</si>
  <si>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</si>
  <si>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</si>
  <si>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</si>
  <si>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</si>
  <si>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</si>
  <si>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</si>
  <si>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</si>
  <si>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</si>
  <si>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</si>
  <si>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</si>
  <si>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</si>
  <si>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</si>
  <si>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</si>
  <si>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</si>
  <si>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</si>
  <si>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</si>
  <si>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</si>
  <si>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</si>
  <si>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</si>
  <si>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</si>
  <si>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</si>
  <si>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</si>
  <si>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</si>
  <si>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</si>
  <si>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</si>
  <si>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</si>
  <si>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</si>
  <si>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</si>
  <si>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</si>
  <si>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</si>
  <si>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</si>
  <si>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</si>
  <si>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</si>
  <si>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</si>
  <si>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</si>
  <si>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</si>
  <si>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</si>
  <si>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</si>
  <si>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</si>
  <si>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</si>
  <si>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</si>
  <si>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</si>
  <si>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</si>
  <si>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</si>
  <si>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</si>
  <si>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</si>
  <si>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</si>
  <si>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</si>
  <si>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</si>
  <si>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</si>
  <si>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</si>
  <si>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</si>
  <si>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</si>
  <si>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</si>
  <si>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</si>
  <si>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</si>
  <si>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</si>
  <si>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</si>
  <si>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</si>
  <si>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</si>
  <si>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</si>
  <si>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</si>
  <si>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</si>
  <si>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</si>
  <si>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</si>
  <si>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</si>
  <si>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</si>
  <si>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</si>
  <si>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</si>
  <si>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</si>
  <si>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</si>
  <si>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</si>
  <si>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</si>
  <si>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</si>
  <si>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</si>
  <si>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</si>
  <si>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</si>
  <si>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</si>
  <si>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</si>
  <si>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</si>
  <si>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</si>
  <si>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</si>
  <si>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</si>
  <si>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</si>
  <si>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</si>
  <si>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</si>
  <si>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</si>
  <si>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</si>
  <si>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</si>
  <si>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</si>
  <si>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</si>
  <si>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</si>
  <si>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</si>
  <si>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</si>
  <si>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</si>
  <si>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</si>
  <si>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</si>
  <si>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</si>
  <si>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</si>
  <si>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</si>
  <si>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</si>
  <si>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</si>
  <si>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</si>
  <si>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</si>
  <si>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</si>
  <si>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</si>
  <si>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</si>
  <si>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</si>
  <si>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</si>
  <si>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</si>
  <si>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</si>
  <si>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</si>
  <si>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</si>
  <si>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</si>
  <si>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</si>
  <si>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</si>
  <si>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</si>
  <si>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</si>
  <si>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</si>
  <si>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</si>
  <si>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</si>
  <si>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</si>
  <si>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</si>
  <si>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</si>
  <si>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</si>
  <si>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</si>
  <si>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</si>
  <si>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</si>
  <si>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</si>
  <si>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</si>
  <si>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</si>
  <si>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</si>
  <si>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</si>
  <si>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</si>
  <si>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</si>
  <si>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</si>
  <si>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</si>
  <si>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</si>
  <si>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</si>
  <si>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</si>
  <si>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</si>
  <si>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</si>
  <si>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</si>
  <si>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</si>
  <si>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</si>
  <si>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</si>
  <si>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</si>
  <si>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</si>
  <si>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</si>
  <si>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</si>
  <si>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</si>
  <si>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</si>
  <si>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</si>
  <si>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</si>
  <si>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</si>
  <si>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</si>
  <si>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</si>
  <si>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</si>
  <si>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</si>
  <si>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</si>
  <si>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</si>
  <si>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</si>
  <si>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</si>
  <si>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</si>
  <si>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</si>
  <si>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</si>
  <si>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</si>
  <si>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</si>
  <si>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</si>
  <si>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</si>
  <si>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</si>
  <si>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</si>
  <si>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</si>
  <si>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</si>
  <si>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</si>
  <si>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</si>
  <si>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</si>
  <si>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</si>
  <si>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</si>
  <si>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</si>
  <si>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</si>
  <si>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</si>
  <si>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</si>
  <si>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</si>
  <si>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</si>
  <si>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</si>
  <si>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</si>
  <si>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</si>
  <si>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</si>
  <si>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</si>
  <si>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</si>
  <si>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</si>
  <si>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</si>
  <si>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</si>
  <si>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</si>
  <si>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</si>
  <si>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</si>
  <si>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</si>
  <si>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</si>
  <si>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</si>
  <si>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</si>
  <si>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</si>
  <si>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</si>
  <si>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</si>
  <si>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</si>
  <si>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</si>
  <si>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</si>
  <si>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</si>
  <si>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</si>
  <si>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</si>
  <si>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</si>
  <si>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</si>
  <si>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</si>
  <si>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</si>
  <si>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</si>
  <si>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</si>
  <si>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</si>
  <si>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</si>
  <si>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</si>
  <si>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</si>
  <si>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</si>
  <si>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</si>
  <si>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</si>
  <si>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</si>
  <si>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</si>
  <si>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</si>
  <si>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</si>
  <si>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</si>
  <si>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</si>
  <si>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</si>
  <si>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</si>
  <si>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</si>
  <si>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</si>
  <si>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</si>
  <si>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</si>
  <si>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</si>
  <si>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</si>
  <si>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</si>
  <si>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</si>
  <si>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</si>
  <si>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</si>
  <si>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</si>
  <si>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</si>
  <si>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</si>
  <si>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</si>
  <si>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</si>
  <si>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</si>
  <si>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</si>
  <si>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</si>
  <si>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</si>
  <si>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</si>
  <si>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</si>
  <si>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</si>
  <si>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</si>
  <si>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</si>
  <si>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</si>
  <si>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</si>
  <si>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</si>
  <si>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</si>
  <si>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</si>
  <si>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</si>
  <si>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</si>
  <si>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</si>
  <si>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</si>
  <si>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</si>
  <si>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</si>
  <si>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</si>
  <si>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</si>
  <si>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</si>
  <si>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</si>
  <si>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</si>
  <si>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</si>
  <si>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</si>
  <si>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</si>
  <si>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</si>
  <si>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</si>
  <si>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</si>
  <si>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</si>
  <si>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</si>
  <si>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</si>
  <si>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</si>
  <si>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</si>
  <si>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</si>
  <si>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</si>
  <si>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</si>
  <si>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</si>
  <si>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</si>
  <si>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</si>
  <si>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</si>
  <si>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</si>
  <si>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</si>
  <si>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</si>
  <si>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</si>
  <si>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</si>
  <si>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</si>
  <si>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</si>
  <si>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</si>
  <si>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</si>
  <si>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</si>
  <si>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</si>
  <si>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</si>
  <si>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</si>
  <si>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</si>
  <si>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</si>
  <si>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</si>
  <si>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</si>
  <si>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</si>
  <si>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</si>
  <si>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</si>
  <si>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</si>
  <si>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</si>
  <si>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</si>
  <si>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</si>
  <si>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</si>
  <si>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</si>
  <si>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</si>
  <si>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</si>
  <si>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</si>
  <si>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</si>
  <si>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</si>
  <si>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</si>
  <si>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</si>
  <si>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</si>
  <si>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</si>
  <si>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</si>
  <si>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</si>
  <si>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</si>
  <si>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</si>
  <si>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</si>
  <si>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</si>
  <si>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</si>
  <si>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</si>
  <si>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</si>
  <si>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</si>
  <si>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</si>
  <si>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</si>
  <si>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</si>
  <si>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</si>
  <si>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</si>
  <si>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</si>
  <si>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</si>
  <si>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</si>
  <si>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</si>
  <si>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</si>
  <si>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</si>
  <si>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</si>
  <si>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</si>
  <si>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</si>
  <si>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</si>
  <si>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</si>
  <si>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</si>
  <si>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</si>
  <si>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</si>
  <si>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</si>
  <si>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</si>
  <si>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</si>
  <si>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</si>
  <si>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</si>
  <si>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</si>
  <si>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</si>
  <si>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</si>
  <si>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</si>
  <si>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</si>
  <si>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</si>
  <si>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</si>
  <si>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</si>
  <si>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</si>
  <si>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</si>
  <si>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</si>
  <si>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</si>
  <si>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</si>
  <si>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</si>
  <si>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</si>
  <si>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</si>
  <si>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</si>
  <si>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</si>
  <si>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</si>
  <si>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</si>
  <si>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</si>
  <si>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</si>
  <si>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</si>
  <si>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</si>
  <si>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</si>
  <si>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</si>
  <si>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</si>
  <si>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</si>
  <si>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</si>
  <si>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</si>
  <si>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</si>
  <si>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</si>
  <si>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</si>
  <si>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</si>
  <si>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</si>
  <si>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</si>
  <si>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</si>
  <si>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</si>
  <si>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</si>
  <si>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</si>
  <si>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</si>
  <si>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</si>
  <si>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</si>
  <si>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</si>
  <si>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</si>
  <si>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</si>
  <si>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</si>
  <si>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</si>
  <si>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</si>
  <si>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</si>
  <si>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</si>
  <si>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</si>
  <si>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</si>
  <si>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</si>
  <si>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</si>
  <si>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</si>
  <si>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</si>
  <si>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</si>
  <si>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</si>
  <si>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</si>
  <si>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</si>
  <si>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</si>
  <si>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</si>
  <si>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</si>
  <si>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</si>
  <si>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</si>
  <si>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</si>
  <si>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</si>
  <si>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</si>
  <si>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</si>
  <si>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</si>
  <si>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</si>
  <si>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</si>
  <si>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</si>
  <si>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</si>
  <si>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</si>
  <si>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</si>
  <si>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</si>
  <si>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</si>
  <si>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</si>
  <si>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</si>
  <si>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</si>
  <si>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</si>
  <si>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</si>
  <si>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</si>
  <si>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</si>
  <si>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</si>
  <si>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</si>
  <si>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</si>
  <si>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</si>
  <si>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</si>
  <si>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</si>
  <si>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</si>
  <si>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</si>
  <si>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</si>
  <si>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</si>
  <si>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</si>
  <si>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</si>
  <si>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</si>
  <si>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</si>
  <si>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</si>
  <si>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</si>
  <si>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</si>
  <si>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</si>
  <si>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</si>
  <si>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</si>
  <si>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</si>
  <si>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</si>
  <si>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</si>
  <si>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</si>
  <si>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</si>
  <si>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</si>
  <si>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</si>
  <si>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</si>
  <si>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</si>
  <si>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</si>
  <si>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</si>
  <si>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</si>
  <si>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</si>
  <si>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</si>
  <si>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</si>
  <si>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</si>
  <si>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</si>
  <si>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</si>
  <si>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</si>
  <si>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</si>
  <si>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</si>
  <si>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</si>
  <si>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</si>
  <si>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</si>
  <si>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</si>
  <si>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</si>
  <si>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</si>
  <si>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</si>
  <si>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</si>
  <si>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</si>
  <si>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</si>
  <si>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</si>
  <si>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</si>
  <si>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</si>
  <si>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</si>
  <si>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</si>
  <si>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</si>
  <si>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</si>
  <si>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</si>
  <si>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</si>
  <si>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</si>
  <si>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</si>
  <si>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</si>
  <si>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</si>
  <si>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</si>
  <si>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</si>
  <si>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</si>
  <si>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</si>
  <si>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</si>
  <si>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</si>
  <si>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</si>
  <si>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</si>
  <si>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</si>
  <si>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</si>
  <si>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</si>
  <si>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</si>
  <si>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</si>
  <si>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</si>
  <si>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</si>
  <si>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</si>
  <si>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</si>
  <si>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</si>
  <si>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</si>
  <si>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</si>
  <si>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</si>
  <si>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</si>
  <si>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</si>
  <si>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</si>
  <si>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</si>
  <si>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</si>
  <si>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</si>
  <si>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</si>
  <si>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</si>
  <si>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</si>
  <si>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</si>
  <si>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</si>
  <si>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</si>
  <si>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</si>
  <si>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</si>
  <si>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</si>
  <si>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</si>
  <si>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</si>
  <si>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</si>
  <si>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</si>
  <si>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</si>
  <si>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</si>
  <si>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</si>
  <si>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</si>
  <si>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</si>
  <si>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</si>
  <si>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</si>
  <si>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</si>
  <si>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</si>
  <si>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</si>
  <si>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</si>
  <si>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</si>
  <si>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</si>
  <si>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</si>
  <si>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</si>
  <si>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</si>
  <si>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</si>
  <si>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</si>
  <si>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</si>
  <si>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</si>
  <si>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</si>
  <si>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</si>
  <si>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</si>
  <si>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</si>
  <si>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</si>
  <si>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</si>
  <si>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</si>
  <si>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</si>
  <si>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</si>
  <si>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</si>
  <si>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</si>
  <si>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</si>
  <si>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</si>
  <si>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</si>
  <si>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</si>
  <si>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</si>
  <si>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</si>
  <si>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</si>
  <si>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</si>
  <si>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</si>
  <si>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</si>
  <si>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</si>
  <si>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</si>
  <si>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</si>
  <si>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</si>
  <si>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</si>
  <si>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</si>
  <si>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</si>
  <si>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</si>
  <si>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</si>
  <si>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</si>
  <si>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</si>
  <si>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</si>
  <si>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</si>
  <si>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</si>
  <si>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</si>
  <si>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</si>
  <si>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</si>
  <si>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</si>
  <si>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</si>
  <si>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</si>
  <si>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</si>
  <si>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</si>
  <si>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</si>
  <si>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</si>
  <si>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</si>
  <si>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</si>
  <si>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</si>
  <si>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</si>
  <si>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</si>
  <si>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</si>
  <si>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</si>
  <si>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</si>
  <si>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</si>
  <si>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</si>
  <si>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</si>
  <si>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</si>
  <si>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</si>
  <si>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</si>
  <si>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</si>
  <si>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</si>
  <si>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</si>
  <si>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</si>
  <si>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</si>
  <si>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</si>
  <si>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</si>
  <si>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</si>
  <si>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</si>
  <si>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</si>
  <si>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</si>
  <si>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</si>
  <si>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</si>
  <si>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</si>
  <si>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</si>
  <si>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</si>
  <si>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</si>
  <si>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</si>
  <si>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</si>
  <si>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</si>
  <si>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</si>
  <si>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</si>
  <si>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</si>
  <si>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</si>
  <si>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</si>
  <si>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</si>
  <si>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</si>
  <si>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</si>
  <si>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</si>
  <si>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</si>
  <si>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</si>
  <si>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</si>
  <si>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</si>
  <si>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</si>
  <si>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</si>
  <si>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</si>
  <si>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</si>
  <si>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</si>
  <si>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</si>
  <si>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</si>
  <si>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</si>
  <si>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</si>
  <si>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</si>
  <si>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</si>
  <si>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</si>
  <si>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</si>
  <si>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</si>
  <si>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</si>
  <si>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</si>
  <si>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</si>
  <si>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</si>
  <si>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</si>
  <si>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</si>
  <si>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</si>
  <si>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</si>
  <si>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</si>
  <si>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</si>
  <si>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</si>
  <si>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</si>
  <si>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</si>
  <si>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</si>
  <si>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</si>
  <si>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</si>
  <si>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</si>
  <si>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</si>
  <si>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</si>
  <si>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</si>
  <si>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</si>
  <si>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</si>
  <si>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</si>
  <si>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</si>
  <si>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</si>
  <si>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</si>
  <si>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</si>
  <si>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</si>
  <si>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</si>
  <si>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</si>
  <si>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</si>
  <si>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</si>
  <si>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</si>
  <si>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</si>
  <si>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</si>
  <si>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</si>
  <si>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</si>
  <si>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</si>
  <si>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</si>
  <si>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</si>
  <si>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</si>
  <si>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</si>
  <si>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</si>
  <si>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</si>
  <si>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</si>
  <si>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</si>
  <si>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</si>
  <si>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</si>
  <si>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</si>
  <si>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</si>
  <si>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</si>
  <si>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</si>
  <si>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</si>
  <si>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</si>
  <si>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</si>
  <si>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</si>
  <si>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</si>
  <si>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</si>
  <si>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</si>
  <si>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</si>
  <si>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</si>
  <si>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</si>
  <si>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</si>
  <si>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</si>
  <si>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</si>
  <si>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</si>
  <si>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</si>
  <si>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</si>
  <si>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</si>
  <si>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</si>
  <si>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</si>
  <si>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</si>
  <si>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</si>
  <si>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</si>
  <si>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</si>
  <si>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</si>
  <si>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</si>
  <si>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</si>
  <si>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</si>
  <si>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</si>
  <si>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</si>
  <si>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</si>
  <si>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</si>
  <si>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</si>
  <si>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</si>
  <si>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</si>
  <si>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</si>
  <si>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</si>
  <si>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</si>
  <si>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</si>
  <si>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</si>
  <si>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</si>
  <si>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</si>
  <si>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</si>
  <si>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</si>
  <si>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</si>
  <si>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</si>
  <si>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</si>
  <si>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</si>
  <si>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</si>
  <si>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</si>
  <si>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</si>
  <si>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</si>
  <si>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</si>
  <si>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</si>
  <si>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</si>
  <si>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</si>
  <si>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</si>
  <si>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</si>
  <si>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</si>
  <si>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</si>
  <si>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</si>
  <si>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</si>
  <si>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</si>
  <si>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</si>
  <si>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</si>
  <si>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</si>
  <si>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</si>
  <si>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</si>
  <si>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</si>
  <si>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</si>
  <si>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</si>
  <si>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</si>
  <si>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</si>
  <si>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</si>
  <si>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</si>
  <si>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</si>
  <si>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</si>
  <si>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</si>
  <si>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</si>
  <si>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</si>
  <si>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</si>
  <si>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</si>
  <si>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</si>
  <si>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</si>
  <si>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</si>
  <si>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</si>
  <si>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</si>
  <si>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</si>
  <si>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</si>
  <si>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</si>
  <si>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</si>
  <si>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</si>
  <si>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</si>
  <si>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</si>
  <si>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</si>
  <si>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</si>
  <si>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</si>
  <si>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</si>
  <si>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</si>
  <si>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</si>
  <si>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</si>
  <si>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</si>
  <si>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</si>
  <si>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</si>
  <si>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</si>
  <si>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</si>
  <si>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</si>
  <si>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</si>
  <si>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</si>
  <si>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</si>
  <si>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</si>
  <si>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</si>
  <si>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</si>
  <si>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</si>
  <si>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</si>
  <si>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</si>
  <si>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</si>
  <si>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</si>
  <si>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</si>
  <si>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</si>
  <si>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</si>
  <si>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</si>
  <si>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</si>
  <si>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</si>
  <si>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</si>
  <si>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</si>
  <si>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</si>
  <si>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</si>
  <si>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</si>
  <si>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</si>
  <si>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</si>
  <si>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</si>
  <si>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</si>
  <si>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</si>
  <si>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</si>
  <si>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</si>
  <si>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</si>
  <si>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</si>
  <si>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</si>
  <si>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</si>
  <si>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</si>
  <si>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</si>
  <si>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</si>
  <si>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</si>
  <si>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</si>
  <si>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</si>
  <si>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</si>
  <si>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</si>
  <si>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</si>
  <si>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</si>
  <si>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</si>
  <si>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</si>
  <si>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</si>
  <si>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</si>
  <si>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</si>
  <si>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</si>
  <si>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</si>
  <si>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</si>
  <si>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</si>
  <si>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</si>
  <si>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</si>
  <si>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</si>
  <si>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</si>
  <si>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</si>
  <si>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</si>
  <si>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</si>
  <si>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</si>
  <si>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</si>
  <si>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</si>
  <si>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</si>
  <si>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</si>
  <si>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</si>
  <si>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</si>
  <si>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</si>
  <si>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</si>
  <si>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</si>
  <si>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</si>
  <si>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</si>
  <si>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</si>
  <si>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</si>
  <si>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</si>
  <si>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</si>
  <si>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</si>
  <si>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</si>
  <si>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</si>
  <si>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</si>
  <si>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</si>
  <si>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</si>
  <si>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</si>
  <si>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</si>
  <si>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</si>
  <si>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</si>
  <si>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</si>
  <si>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</si>
  <si>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</si>
  <si>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</si>
  <si>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</si>
  <si>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</si>
  <si>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</si>
  <si>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</si>
  <si>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</si>
  <si>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</si>
  <si>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</si>
  <si>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</si>
  <si>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</si>
  <si>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</si>
  <si>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</si>
  <si>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</si>
  <si>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</si>
  <si>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</si>
  <si>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</si>
  <si>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</si>
  <si>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</si>
  <si>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</si>
  <si>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</si>
  <si>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</si>
  <si>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</si>
  <si>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</si>
  <si>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</si>
  <si>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</si>
  <si>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</si>
  <si>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</si>
  <si>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</si>
  <si>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</si>
  <si>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</si>
  <si>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</si>
  <si>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</si>
  <si>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</si>
  <si>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</si>
  <si>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</si>
  <si>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</si>
  <si>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</si>
  <si>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</si>
  <si>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</si>
  <si>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</si>
  <si>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</si>
  <si>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</si>
  <si>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</si>
  <si>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</si>
  <si>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</si>
  <si>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</si>
  <si>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</si>
  <si>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</si>
  <si>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</si>
  <si>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</si>
  <si>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</si>
  <si>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</si>
  <si>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</si>
  <si>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</si>
  <si>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</si>
  <si>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</si>
  <si>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</si>
  <si>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</si>
  <si>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</si>
  <si>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</si>
  <si>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</si>
  <si>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</si>
  <si>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</si>
  <si>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</si>
  <si>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</si>
  <si>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</si>
  <si>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</si>
  <si>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</si>
  <si>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</si>
  <si>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</si>
  <si>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</si>
  <si>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</si>
  <si>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</si>
  <si>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</si>
  <si>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</si>
  <si>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</si>
  <si>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</si>
  <si>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</si>
  <si>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</si>
  <si>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</si>
  <si>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</si>
  <si>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</si>
  <si>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</si>
  <si>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</si>
  <si>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</si>
  <si>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</si>
  <si>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</si>
  <si>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</si>
  <si>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</si>
  <si>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</si>
  <si>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</si>
  <si>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</si>
  <si>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</si>
  <si>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</si>
  <si>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</si>
  <si>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</si>
  <si>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</si>
  <si>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</si>
  <si>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</si>
  <si>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</si>
  <si>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</si>
  <si>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</si>
  <si>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</si>
  <si>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</si>
  <si>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</si>
  <si>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</si>
  <si>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</si>
  <si>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</si>
  <si>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</si>
  <si>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</si>
  <si>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</si>
  <si>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</si>
  <si>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</si>
  <si>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</si>
  <si>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</si>
  <si>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</si>
  <si>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</si>
  <si>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</si>
  <si>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</si>
  <si>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</si>
  <si>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</si>
  <si>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</si>
  <si>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</si>
  <si>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</si>
  <si>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</si>
  <si>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</si>
  <si>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</si>
  <si>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</si>
  <si>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</si>
  <si>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</si>
  <si>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</si>
  <si>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</si>
  <si>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</si>
  <si>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</si>
  <si>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</si>
  <si>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</si>
  <si>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</si>
  <si>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</si>
  <si>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</si>
  <si>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</si>
  <si>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</si>
  <si>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</si>
  <si>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</si>
  <si>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</si>
  <si>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</si>
  <si>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</si>
  <si>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</si>
  <si>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</si>
  <si>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</si>
  <si>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</si>
  <si>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</si>
  <si>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</si>
  <si>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</si>
  <si>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</si>
  <si>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</si>
  <si>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</si>
  <si>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</si>
  <si>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</si>
  <si>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</si>
  <si>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</si>
  <si>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</si>
  <si>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</si>
  <si>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</si>
  <si>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</si>
  <si>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</si>
  <si>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</si>
  <si>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</si>
  <si>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</si>
  <si>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</si>
  <si>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</si>
  <si>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</si>
  <si>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</si>
  <si>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</si>
  <si>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</si>
  <si>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</si>
  <si>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</si>
  <si>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</si>
  <si>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</si>
  <si>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</si>
  <si>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</si>
  <si>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</si>
  <si>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</si>
  <si>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</si>
  <si>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</si>
  <si>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</si>
  <si>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</si>
  <si>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</si>
  <si>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</si>
  <si>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</si>
  <si>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</si>
  <si>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</si>
  <si>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</si>
  <si>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</si>
  <si>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</si>
  <si>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</si>
  <si>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</si>
  <si>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</si>
  <si>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</si>
  <si>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</si>
  <si>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</si>
  <si>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</si>
  <si>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</si>
  <si>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</si>
  <si>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</si>
  <si>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</si>
  <si>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</si>
  <si>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</si>
  <si>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</si>
  <si>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</si>
  <si>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</si>
  <si>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</si>
  <si>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</si>
  <si>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</si>
  <si>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</si>
  <si>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</si>
  <si>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</si>
  <si>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</si>
  <si>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</si>
  <si>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</si>
  <si>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</si>
  <si>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</si>
  <si>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</si>
  <si>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</si>
  <si>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</si>
  <si>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</si>
  <si>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</si>
  <si>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</si>
  <si>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</si>
  <si>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</si>
  <si>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</si>
  <si>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</si>
  <si>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</si>
  <si>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</si>
  <si>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</si>
  <si>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</si>
  <si>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</si>
  <si>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</si>
  <si>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</si>
  <si>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</si>
  <si>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</si>
  <si>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</si>
  <si>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</si>
  <si>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</si>
  <si>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</si>
  <si>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</si>
  <si>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</si>
  <si>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</si>
  <si>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</si>
  <si>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</si>
  <si>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</si>
  <si>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</si>
  <si>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</si>
  <si>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</si>
  <si>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</si>
  <si>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</si>
  <si>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</si>
  <si>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</si>
  <si>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</si>
  <si>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</si>
  <si>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</si>
  <si>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</si>
  <si>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</si>
  <si>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</si>
  <si>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</si>
  <si>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</si>
  <si>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</si>
  <si>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</si>
  <si>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</si>
  <si>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</si>
  <si>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</si>
  <si>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</si>
  <si>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</si>
  <si>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</si>
  <si>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</si>
  <si>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</si>
  <si>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</si>
  <si>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</si>
  <si>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</si>
  <si>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</si>
  <si>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</si>
  <si>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</si>
  <si>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</si>
  <si>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</si>
  <si>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</si>
  <si>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</si>
  <si>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</si>
  <si>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</si>
  <si>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</si>
  <si>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</si>
  <si>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</si>
  <si>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</si>
  <si>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</si>
  <si>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</si>
  <si>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</si>
  <si>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</si>
  <si>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</si>
  <si>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</si>
  <si>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</si>
  <si>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</si>
  <si>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</si>
  <si>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</si>
  <si>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</si>
  <si>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</si>
  <si>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</si>
  <si>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</si>
  <si>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</si>
  <si>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</si>
  <si>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</si>
  <si>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</si>
  <si>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</si>
  <si>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</si>
  <si>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</si>
  <si>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</si>
  <si>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</si>
  <si>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</si>
  <si>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</si>
  <si>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</si>
  <si>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</si>
  <si>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</si>
  <si>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</si>
  <si>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</si>
  <si>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</si>
  <si>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</si>
  <si>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</si>
  <si>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</si>
  <si>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</si>
  <si>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</si>
  <si>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</si>
  <si>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</si>
  <si>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</si>
  <si>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</si>
  <si>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</si>
  <si>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</si>
  <si>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</si>
  <si>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</si>
  <si>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</si>
  <si>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</si>
  <si>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</si>
  <si>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</si>
  <si>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</si>
  <si>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</si>
  <si>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</si>
  <si>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</si>
  <si>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</si>
  <si>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</si>
  <si>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</si>
  <si>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</si>
  <si>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</si>
  <si>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</si>
  <si>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</si>
  <si>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</si>
  <si>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</si>
  <si>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</si>
  <si>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</si>
  <si>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</si>
  <si>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</si>
  <si>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</si>
  <si>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</si>
  <si>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</si>
  <si>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</si>
  <si>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</si>
  <si>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</si>
  <si>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</si>
  <si>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</si>
  <si>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</si>
  <si>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</si>
  <si>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</si>
  <si>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</si>
  <si>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</si>
  <si>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</si>
  <si>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</si>
  <si>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</si>
  <si>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</si>
  <si>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</si>
  <si>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</si>
  <si>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</si>
  <si>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</si>
  <si>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</si>
  <si>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</si>
  <si>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</si>
  <si>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</si>
  <si>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</si>
  <si>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</si>
  <si>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</si>
  <si>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</si>
  <si>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</si>
  <si>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</si>
  <si>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</si>
  <si>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</si>
  <si>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</si>
  <si>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</si>
  <si>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</si>
  <si>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</si>
  <si>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</si>
  <si>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</si>
  <si>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</si>
  <si>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</si>
  <si>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</si>
  <si>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</si>
  <si>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</si>
  <si>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</si>
  <si>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</si>
  <si>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</si>
  <si>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</si>
  <si>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</si>
  <si>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</si>
  <si>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</si>
  <si>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</si>
  <si>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</si>
  <si>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</si>
  <si>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</si>
  <si>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</si>
  <si>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</si>
  <si>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</si>
  <si>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</si>
  <si>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</si>
  <si>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</si>
  <si>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</si>
  <si>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</si>
  <si>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</si>
  <si>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</si>
  <si>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</si>
  <si>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</si>
  <si>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</si>
  <si>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</si>
  <si>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</si>
  <si>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</si>
  <si>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</si>
  <si>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</si>
  <si>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</si>
  <si>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</si>
  <si>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</si>
  <si>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</si>
  <si>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</si>
  <si>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</si>
  <si>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</si>
  <si>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</si>
  <si>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</si>
  <si>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</si>
  <si>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</si>
  <si>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</si>
  <si>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</si>
  <si>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</si>
  <si>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</si>
  <si>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</si>
  <si>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</si>
  <si>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</si>
  <si>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</si>
  <si>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</si>
  <si>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</si>
  <si>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</si>
  <si>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</si>
  <si>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</si>
  <si>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</si>
  <si>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</si>
  <si>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</si>
  <si>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</si>
  <si>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</si>
  <si>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</si>
  <si>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</si>
  <si>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</si>
  <si>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</si>
  <si>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</si>
  <si>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</si>
  <si>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</si>
  <si>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</si>
  <si>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</si>
  <si>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</si>
  <si>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</si>
  <si>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</si>
  <si>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</si>
  <si>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</si>
  <si>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</si>
  <si>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</si>
  <si>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</si>
  <si>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</si>
  <si>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</si>
  <si>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</si>
  <si>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</si>
  <si>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</si>
  <si>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</si>
  <si>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</si>
  <si>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</si>
  <si>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</si>
  <si>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</si>
  <si>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</si>
  <si>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</si>
  <si>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</si>
  <si>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</si>
  <si>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</si>
  <si>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</si>
  <si>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</si>
  <si>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</si>
  <si>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</si>
  <si>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</si>
  <si>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</si>
  <si>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</si>
  <si>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</si>
  <si>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</si>
  <si>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</si>
  <si>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</si>
  <si>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</si>
  <si>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</si>
  <si>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</si>
  <si>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</si>
  <si>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</si>
  <si>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</si>
  <si>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</si>
  <si>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</si>
  <si>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</si>
  <si>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</si>
  <si>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</si>
  <si>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</si>
  <si>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</si>
  <si>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</si>
  <si>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</si>
  <si>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</si>
  <si>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</si>
  <si>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</si>
  <si>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</si>
  <si>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</si>
  <si>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</si>
  <si>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</si>
  <si>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</si>
  <si>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</si>
  <si>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</si>
  <si>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</si>
  <si>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</si>
  <si>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</si>
  <si>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</si>
  <si>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</si>
  <si>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</si>
  <si>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</si>
  <si>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</si>
  <si>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</si>
  <si>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</si>
  <si>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</si>
  <si>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</si>
  <si>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</si>
  <si>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</si>
  <si>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</si>
  <si>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</si>
  <si>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</si>
  <si>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</si>
  <si>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</si>
  <si>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</si>
  <si>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</si>
  <si>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</si>
  <si>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</si>
  <si>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</si>
  <si>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</si>
  <si>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</si>
  <si>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</si>
  <si>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</si>
  <si>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</si>
  <si>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</si>
  <si>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</si>
  <si>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</si>
  <si>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</si>
  <si>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</si>
  <si>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</si>
  <si>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</si>
  <si>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</si>
  <si>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</si>
  <si>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</si>
  <si>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</si>
  <si>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</si>
  <si>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</si>
  <si>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</si>
  <si>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</si>
  <si>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</si>
  <si>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</si>
  <si>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</si>
  <si>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</si>
  <si>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</si>
  <si>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</si>
  <si>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</si>
  <si>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</si>
  <si>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</si>
  <si>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</si>
  <si>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</si>
  <si>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</si>
  <si>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</si>
  <si>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</si>
  <si>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</si>
  <si>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</si>
  <si>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</si>
  <si>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</si>
  <si>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</si>
  <si>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</si>
  <si>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</si>
  <si>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</si>
  <si>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</si>
  <si>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</si>
  <si>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</si>
  <si>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</si>
  <si>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</si>
  <si>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</si>
  <si>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</si>
  <si>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</si>
  <si>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</si>
  <si>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</si>
  <si>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</si>
  <si>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</si>
  <si>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</si>
  <si>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</si>
  <si>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</si>
  <si>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</si>
  <si>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</si>
  <si>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</si>
  <si>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</si>
  <si>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</si>
  <si>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</si>
  <si>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</si>
  <si>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</si>
  <si>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</si>
  <si>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</si>
  <si>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</si>
  <si>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</si>
  <si>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</si>
  <si>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</si>
  <si>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</si>
  <si>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</si>
  <si>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</si>
  <si>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</si>
  <si>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</si>
  <si>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</si>
  <si>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</si>
  <si>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</si>
  <si>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</si>
  <si>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</si>
  <si>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</si>
  <si>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</si>
  <si>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</si>
  <si>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</si>
  <si>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</si>
  <si>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</si>
  <si>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</si>
  <si>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</si>
  <si>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</si>
  <si>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</si>
  <si>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</si>
  <si>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</si>
  <si>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</si>
  <si>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</si>
  <si>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</si>
  <si>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</si>
  <si>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</si>
  <si>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</si>
  <si>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</si>
  <si>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</si>
  <si>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</si>
  <si>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</si>
  <si>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</si>
  <si>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</si>
  <si>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</si>
  <si>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</si>
  <si>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</si>
  <si>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</si>
  <si>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</si>
  <si>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</si>
  <si>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</si>
  <si>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</si>
  <si>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</si>
  <si>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</si>
  <si>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</si>
  <si>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</si>
  <si>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</si>
  <si>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</si>
  <si>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</si>
  <si>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</si>
  <si>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</si>
  <si>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</si>
  <si>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</si>
  <si>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</si>
  <si>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</si>
  <si>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</si>
  <si>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</si>
  <si>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</si>
  <si>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</si>
  <si>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</si>
  <si>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</si>
  <si>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</si>
  <si>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</si>
  <si>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</si>
  <si>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</si>
  <si>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</si>
  <si>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</si>
  <si>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</si>
  <si>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</si>
  <si>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</si>
  <si>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</si>
  <si>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</si>
  <si>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</si>
  <si>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</si>
  <si>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</si>
  <si>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</si>
  <si>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</si>
  <si>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</si>
  <si>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</si>
  <si>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</si>
  <si>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</si>
  <si>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</si>
  <si>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</si>
  <si>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</si>
  <si>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</si>
  <si>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</si>
  <si>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</si>
  <si>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</si>
  <si>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</si>
  <si>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</si>
  <si>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</si>
  <si>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</si>
  <si>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</si>
  <si>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</si>
  <si>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</si>
  <si>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</si>
  <si>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</si>
  <si>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</si>
  <si>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</si>
  <si>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</si>
  <si>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</si>
  <si>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</si>
  <si>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</si>
  <si>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</si>
  <si>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</si>
  <si>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</si>
  <si>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</si>
  <si>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</si>
  <si>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</si>
  <si>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</si>
  <si>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</si>
  <si>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</si>
  <si>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</si>
  <si>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</si>
  <si>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</si>
  <si>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</si>
  <si>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</si>
  <si>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</si>
  <si>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</si>
  <si>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</si>
  <si>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</si>
  <si>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</si>
  <si>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</si>
  <si>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</si>
  <si>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</si>
  <si>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</si>
  <si>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</si>
  <si>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</si>
  <si>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</si>
  <si>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</si>
  <si>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</si>
  <si>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</si>
  <si>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</si>
  <si>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</si>
  <si>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</si>
  <si>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</si>
  <si>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</si>
  <si>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</si>
  <si>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</si>
  <si>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</si>
  <si>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</si>
  <si>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</si>
  <si>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</si>
  <si>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</si>
  <si>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</si>
  <si>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</si>
  <si>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</si>
  <si>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</si>
  <si>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</si>
  <si>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</si>
  <si>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</si>
  <si>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</si>
  <si>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</si>
  <si>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</si>
  <si>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</si>
  <si>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</si>
  <si>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</si>
  <si>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</si>
  <si>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</si>
  <si>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</si>
  <si>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</si>
  <si>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</si>
  <si>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</si>
  <si>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</si>
  <si>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</si>
  <si>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</si>
  <si>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</si>
  <si>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</si>
  <si>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</si>
  <si>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</si>
  <si>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</si>
  <si>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</si>
  <si>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</si>
  <si>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</si>
  <si>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</si>
  <si>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</si>
  <si>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</si>
  <si>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</si>
  <si>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</si>
  <si>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</si>
  <si>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</si>
  <si>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</si>
  <si>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</si>
  <si>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</si>
  <si>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</si>
  <si>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</si>
  <si>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</si>
  <si>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</si>
  <si>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</si>
  <si>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</si>
  <si>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</si>
  <si>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</si>
  <si>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</si>
  <si>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</si>
  <si>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</si>
  <si>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</si>
  <si>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</si>
  <si>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</si>
  <si>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</si>
  <si>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</si>
  <si>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</si>
  <si>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</si>
  <si>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</si>
  <si>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</si>
  <si>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</si>
  <si>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</si>
  <si>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</si>
  <si>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</si>
  <si>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</si>
  <si>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</si>
  <si>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</si>
  <si>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</si>
  <si>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</si>
  <si>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</si>
  <si>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</si>
  <si>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</si>
  <si>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</si>
  <si>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</si>
  <si>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</si>
  <si>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</si>
  <si>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</si>
  <si>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</si>
  <si>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</si>
  <si>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</si>
  <si>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</si>
  <si>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</si>
  <si>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</si>
  <si>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</si>
  <si>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</si>
  <si>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</si>
  <si>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</si>
  <si>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</si>
  <si>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</si>
  <si>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</si>
  <si>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</si>
  <si>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</si>
  <si>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</si>
  <si>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</si>
  <si>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</si>
  <si>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</si>
  <si>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</si>
  <si>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</si>
  <si>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</si>
  <si>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</si>
  <si>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</si>
  <si>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</si>
  <si>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</si>
  <si>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</si>
  <si>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</si>
  <si>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</si>
  <si>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</si>
  <si>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</si>
  <si>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</si>
  <si>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</si>
  <si>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</si>
  <si>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</si>
  <si>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</si>
  <si>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</si>
  <si>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</si>
  <si>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</si>
  <si>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</si>
  <si>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</si>
  <si>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</si>
  <si>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</si>
  <si>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</si>
  <si>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</si>
  <si>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</si>
  <si>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</si>
  <si>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</si>
  <si>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</si>
  <si>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</si>
  <si>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</si>
  <si>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</si>
  <si>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</si>
  <si>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</si>
  <si>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</si>
  <si>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</si>
  <si>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</si>
  <si>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</si>
  <si>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</si>
  <si>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</si>
  <si>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</si>
  <si>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</si>
  <si>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</si>
  <si>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</si>
  <si>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</si>
  <si>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</si>
  <si>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</si>
  <si>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</si>
  <si>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</si>
  <si>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</si>
  <si>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</si>
  <si>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</si>
  <si>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</si>
  <si>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</si>
  <si>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</si>
  <si>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</si>
  <si>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</si>
  <si>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</si>
  <si>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</si>
  <si>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</si>
  <si>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</si>
  <si>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</si>
  <si>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</si>
  <si>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</si>
  <si>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</si>
  <si>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</si>
  <si>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</si>
  <si>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</si>
  <si>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</si>
  <si>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</si>
  <si>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</si>
  <si>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</si>
  <si>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</si>
  <si>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</si>
  <si>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</si>
  <si>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</si>
  <si>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</si>
  <si>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</si>
  <si>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</si>
  <si>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</si>
  <si>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</si>
  <si>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</si>
  <si>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</si>
  <si>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</si>
  <si>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</si>
  <si>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</si>
  <si>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</si>
  <si>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</si>
  <si>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</si>
  <si>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</si>
  <si>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</si>
  <si>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</si>
  <si>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</si>
  <si>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</si>
  <si>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</si>
  <si>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</si>
  <si>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</si>
  <si>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</si>
  <si>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</si>
  <si>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</si>
  <si>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</si>
  <si>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</si>
  <si>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</si>
  <si>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</si>
  <si>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</si>
  <si>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</si>
  <si>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</si>
  <si>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</si>
  <si>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</si>
  <si>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</si>
  <si>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</si>
  <si>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</si>
  <si>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</si>
  <si>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</si>
  <si>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</si>
  <si>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</si>
  <si>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</si>
  <si>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</si>
  <si>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</si>
  <si>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</si>
  <si>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</si>
  <si>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</si>
  <si>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</si>
  <si>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</si>
  <si>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</si>
  <si>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</si>
  <si>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</si>
  <si>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</si>
  <si>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</si>
  <si>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</si>
  <si>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</si>
  <si>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</si>
  <si>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</si>
  <si>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</si>
  <si>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</si>
  <si>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</si>
  <si>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</si>
  <si>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</si>
  <si>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</si>
  <si>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</si>
  <si>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</si>
  <si>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</si>
  <si>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</si>
  <si>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</si>
  <si>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</si>
  <si>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</si>
  <si>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</si>
  <si>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</si>
  <si>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</si>
  <si>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</si>
  <si>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</si>
  <si>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</si>
  <si>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</si>
  <si>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</si>
  <si>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</si>
  <si>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</si>
  <si>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</si>
  <si>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</si>
  <si>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</si>
  <si>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</si>
  <si>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</si>
  <si>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</si>
  <si>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</si>
  <si>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</si>
  <si>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</si>
  <si>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</si>
  <si>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</si>
  <si>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</si>
  <si>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</si>
  <si>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</si>
  <si>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</si>
  <si>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</si>
  <si>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</si>
  <si>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</si>
  <si>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</si>
  <si>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</si>
  <si>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</si>
  <si>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</si>
  <si>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</si>
  <si>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</si>
  <si>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</si>
  <si>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</si>
  <si>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</si>
  <si>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</si>
  <si>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</si>
  <si>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</si>
  <si>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</si>
  <si>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</si>
  <si>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</si>
  <si>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</si>
  <si>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</si>
  <si>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</si>
  <si>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</si>
  <si>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</si>
  <si>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</si>
  <si>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</si>
  <si>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</si>
  <si>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</si>
  <si>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</si>
  <si>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</si>
  <si>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</si>
  <si>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</si>
  <si>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</si>
  <si>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</si>
  <si>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</si>
  <si>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</si>
  <si>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</si>
  <si>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</si>
  <si>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</si>
  <si>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</si>
  <si>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</si>
  <si>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</si>
  <si>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</si>
  <si>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</si>
  <si>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</si>
  <si>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</si>
  <si>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</si>
  <si>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</si>
  <si>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</si>
  <si>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</si>
  <si>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</si>
  <si>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</si>
  <si>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</si>
  <si>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</si>
  <si>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</si>
  <si>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</si>
  <si>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</si>
  <si>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</si>
  <si>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</si>
  <si>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</si>
  <si>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</si>
  <si>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</si>
  <si>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</si>
  <si>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</si>
  <si>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</si>
  <si>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</si>
  <si>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</si>
  <si>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</si>
  <si>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</si>
  <si>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</si>
  <si>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</si>
  <si>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</si>
  <si>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</si>
  <si>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</si>
  <si>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</si>
  <si>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</si>
  <si>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</si>
  <si>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</si>
  <si>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</si>
  <si>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</si>
  <si>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</si>
  <si>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</si>
  <si>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</si>
  <si>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</si>
  <si>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</si>
  <si>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</si>
  <si>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</si>
  <si>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</si>
  <si>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</si>
  <si>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</si>
  <si>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</si>
  <si>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</si>
  <si>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</si>
  <si>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</si>
  <si>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</si>
  <si>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</si>
  <si>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</si>
  <si>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</si>
  <si>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</si>
  <si>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</si>
  <si>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</si>
  <si>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</si>
  <si>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</si>
  <si>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</si>
  <si>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</si>
  <si>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</si>
  <si>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</si>
  <si>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</si>
  <si>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</si>
  <si>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</si>
  <si>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</si>
  <si>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</si>
  <si>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</si>
  <si>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</si>
  <si>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</si>
  <si>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</si>
  <si>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</si>
  <si>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</si>
  <si>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</si>
  <si>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</si>
  <si>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</si>
  <si>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</si>
  <si>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</si>
  <si>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</si>
  <si>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</si>
  <si>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</si>
  <si>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土地（套用方法）</t>
  </si>
  <si>
    <t>押一</t>
  </si>
  <si>
    <t>钢混</t>
  </si>
  <si>
    <t>按租金收入计税</t>
  </si>
  <si>
    <t>剩余法-待开发</t>
  </si>
  <si>
    <t>比较法-住宅、综合</t>
  </si>
  <si>
    <t>项目局部</t>
  </si>
  <si>
    <t>土地</t>
  </si>
  <si>
    <t>王鹏</t>
  </si>
  <si>
    <t>郑燚</t>
  </si>
  <si>
    <t>中信信托有限责任公司</t>
    <phoneticPr fontId="3" type="noConversion"/>
  </si>
  <si>
    <t>抵押</t>
  </si>
  <si>
    <t>市场价格</t>
  </si>
  <si>
    <t>其他：</t>
  </si>
  <si>
    <t>企业</t>
  </si>
  <si>
    <t>办公项目</t>
  </si>
  <si>
    <t>通路</t>
  </si>
  <si>
    <t>通电</t>
  </si>
  <si>
    <t>通讯</t>
  </si>
  <si>
    <t>通上水</t>
  </si>
  <si>
    <t>通下水</t>
  </si>
  <si>
    <t>场地平整</t>
  </si>
  <si>
    <t>平整</t>
  </si>
  <si>
    <t>一致</t>
  </si>
  <si>
    <t>办公</t>
    <phoneticPr fontId="6" type="noConversion"/>
  </si>
  <si>
    <t>贵州高新中关村贵阳科技园投资开发有限公司</t>
    <phoneticPr fontId="6" type="noConversion"/>
  </si>
  <si>
    <t>高新区沙文生态科技产业园（土储编号01-02-13）</t>
    <phoneticPr fontId="6" type="noConversion"/>
  </si>
  <si>
    <t>贵州省贵阳市</t>
    <phoneticPr fontId="6" type="noConversion"/>
  </si>
  <si>
    <t>商业、商务</t>
    <phoneticPr fontId="6" type="noConversion"/>
  </si>
  <si>
    <t>符合</t>
  </si>
  <si>
    <t>《国有建设用地使用权出让合同》</t>
    <phoneticPr fontId="6" type="noConversion"/>
  </si>
  <si>
    <t>《国有建设用地使用权出让合同》</t>
    <phoneticPr fontId="3" type="noConversion"/>
  </si>
  <si>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</si>
  <si>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</si>
  <si>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</si>
  <si>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</si>
  <si>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</si>
  <si>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</si>
  <si>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</si>
  <si>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</si>
  <si>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</si>
  <si>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</si>
  <si>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</si>
  <si>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</si>
  <si>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</si>
  <si>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</si>
  <si>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</si>
  <si>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</si>
  <si>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</si>
  <si>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其他商服用地</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</si>
  <si>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</si>
  <si>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</si>
  <si>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</si>
  <si>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</si>
  <si>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</si>
  <si>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</si>
  <si>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</si>
  <si>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</si>
  <si>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</si>
  <si>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</si>
  <si>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</si>
  <si>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</si>
  <si>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</si>
  <si>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</si>
  <si>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</si>
  <si>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</si>
  <si>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</si>
  <si>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</si>
  <si>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</si>
  <si>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</si>
  <si>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</si>
  <si>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</si>
  <si>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</si>
  <si>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</si>
  <si>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</si>
  <si>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</si>
  <si>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</si>
  <si>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</si>
  <si>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</si>
  <si>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</si>
  <si>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</si>
  <si>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正常</t>
  </si>
  <si>
    <t>商业、商务</t>
  </si>
  <si>
    <t>40</t>
    <phoneticPr fontId="26" type="noConversion"/>
  </si>
  <si>
    <t>较差</t>
  </si>
  <si>
    <t>一般</t>
  </si>
  <si>
    <t>较好</t>
  </si>
  <si>
    <t>楼面地价</t>
  </si>
  <si>
    <t>较规则</t>
  </si>
  <si>
    <t>较规则</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</si>
  <si>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</si>
  <si>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</si>
  <si>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</si>
  <si>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</si>
  <si>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</si>
  <si>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</si>
  <si>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六通</t>
  </si>
  <si>
    <t>五通一平</t>
  </si>
  <si>
    <t>五通一平</t>
    <phoneticPr fontId="26" type="noConversion"/>
  </si>
  <si>
    <t>贵阳监测指标情况一览表</t>
  </si>
  <si>
    <t>时间</t>
  </si>
  <si>
    <t>水平值</t>
  </si>
  <si>
    <t>环比增长率</t>
  </si>
  <si>
    <t>指数</t>
  </si>
  <si>
    <r>
      <rPr>
        <b/>
        <sz val="10"/>
        <color rgb="FFFF0000"/>
        <rFont val="仿宋_GB2312"/>
        <family val="3"/>
        <charset val="134"/>
      </rPr>
      <t>总值</t>
    </r>
    <phoneticPr fontId="3" type="noConversion"/>
  </si>
  <si>
    <t>商业</t>
    <phoneticPr fontId="7" type="noConversion"/>
  </si>
  <si>
    <t>办公</t>
    <phoneticPr fontId="7" type="noConversion"/>
  </si>
  <si>
    <t>不动产收益法（商业）</t>
  </si>
  <si>
    <t>不动产收益法（办公）</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</si>
</sst>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b/>
      <sz val="10"/>
      <color rgb="FFFF0000"/>
      <name val="楷体_GB2312"/>
      <family val="3"/>
      <charset val="134"/>
    </font>
    <font>
      <b/>
      <sz val="10"/>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177" fontId="76" fillId="8" borderId="0" xfId="0" applyNumberFormat="1" applyFont="1" applyFill="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7" fillId="0" borderId="0" xfId="0" applyFont="1" applyAlignment="1">
      <alignment horizontal="center" vertical="center"/>
    </xf>
    <xf numFmtId="0" fontId="278" fillId="17" borderId="153" xfId="0" applyFont="1" applyFill="1" applyBorder="1" applyAlignment="1">
      <alignment horizontal="center"/>
    </xf>
    <xf numFmtId="0" fontId="278" fillId="17" borderId="154" xfId="0" applyFont="1" applyFill="1" applyBorder="1" applyAlignment="1">
      <alignment horizontal="center"/>
    </xf>
    <xf numFmtId="0" fontId="145" fillId="0" borderId="0" xfId="0" applyFont="1" applyAlignment="1">
      <alignment horizontal="left" vertical="center" wrapText="1"/>
    </xf>
    <xf numFmtId="0" fontId="0" fillId="0" borderId="155" xfId="0" applyBorder="1" applyAlignment="1">
      <alignment horizontal="right" vertical="center" wrapText="1"/>
    </xf>
    <xf numFmtId="0" fontId="145" fillId="0" borderId="155" xfId="0" applyFont="1" applyBorder="1" applyAlignment="1">
      <alignment horizontal="right" vertical="center" wrapText="1"/>
    </xf>
    <xf numFmtId="0" fontId="145" fillId="18" borderId="0" xfId="0" applyFont="1" applyFill="1" applyAlignment="1">
      <alignment horizontal="left" vertical="center" wrapText="1"/>
    </xf>
    <xf numFmtId="0" fontId="0" fillId="18" borderId="155" xfId="0" applyFill="1" applyBorder="1" applyAlignment="1">
      <alignment horizontal="right" vertical="center" wrapText="1"/>
    </xf>
    <xf numFmtId="0" fontId="145" fillId="18" borderId="155" xfId="0" applyFont="1" applyFill="1" applyBorder="1" applyAlignment="1">
      <alignment horizontal="right" vertical="center" wrapText="1"/>
    </xf>
    <xf numFmtId="0" fontId="279" fillId="13" borderId="0" xfId="0" applyFont="1" applyFill="1" applyAlignment="1">
      <alignment horizontal="left" vertical="center" wrapText="1"/>
    </xf>
    <xf numFmtId="0" fontId="279" fillId="13" borderId="155" xfId="0" applyFont="1" applyFill="1" applyBorder="1" applyAlignment="1">
      <alignment horizontal="right" vertical="center" wrapText="1"/>
    </xf>
    <xf numFmtId="0" fontId="205" fillId="6" borderId="7" xfId="0" applyNumberFormat="1" applyFont="1" applyFill="1" applyBorder="1" applyAlignment="1" applyProtection="1">
      <alignment horizontal="center" vertical="center" wrapText="1"/>
    </xf>
    <xf numFmtId="0" fontId="280" fillId="6" borderId="17" xfId="0" applyFont="1" applyFill="1" applyBorder="1" applyAlignment="1" applyProtection="1">
      <alignment horizontal="left" vertical="center"/>
      <protection locked="0"/>
    </xf>
    <xf numFmtId="0" fontId="280" fillId="6" borderId="8" xfId="0" applyFont="1" applyFill="1" applyBorder="1" applyAlignment="1" applyProtection="1">
      <alignment horizontal="left" vertical="center"/>
      <protection locked="0"/>
    </xf>
    <xf numFmtId="0" fontId="281" fillId="6" borderId="9" xfId="0" applyFont="1" applyFill="1" applyBorder="1" applyAlignment="1" applyProtection="1">
      <alignment horizontal="center" vertical="center" wrapText="1"/>
    </xf>
    <xf numFmtId="176" fontId="280" fillId="6" borderId="2"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5" fillId="5" borderId="0"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9525</xdr:rowOff>
    </xdr:from>
    <xdr:to>
      <xdr:col>8</xdr:col>
      <xdr:colOff>466725</xdr:colOff>
      <xdr:row>63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82905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65288;01-02-15&#65289;.&#25970;&#27979;&#31639;.0427&#65288;&#20462;&#259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01-02-16&#65289;.&#25970;&#27979;&#31639;.0427&#65288;&#20462;&#25913;&#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6&#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303;&#22320;&#65288;01-02-17&#65289;.&#25970;&#27979;&#31639;.0427&#65288;&#20462;&#2591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7&#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51281.85</v>
          </cell>
          <cell r="C14">
            <v>39447.58</v>
          </cell>
          <cell r="D14">
            <v>13966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51283.15</v>
          </cell>
          <cell r="G14" t="str">
            <v>——</v>
          </cell>
          <cell r="H14" t="str">
            <v>——</v>
          </cell>
          <cell r="I14" t="str">
            <v>——</v>
          </cell>
        </row>
      </sheetData>
      <sheetData sheetId="16" refreshError="1"/>
      <sheetData sheetId="17" refreshError="1"/>
      <sheetData sheetId="18" refreshError="1"/>
      <sheetData sheetId="19" refreshError="1"/>
      <sheetData sheetId="20" refreshError="1"/>
      <sheetData sheetId="21">
        <row r="2">
          <cell r="B2">
            <v>15728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46164.42</v>
          </cell>
          <cell r="C14">
            <v>32974.589999999997</v>
          </cell>
          <cell r="D14">
            <v>13129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46164.42</v>
          </cell>
          <cell r="G14" t="str">
            <v>——</v>
          </cell>
          <cell r="H14" t="str">
            <v>——</v>
          </cell>
          <cell r="I14" t="str">
            <v>——</v>
          </cell>
        </row>
      </sheetData>
      <sheetData sheetId="16" refreshError="1"/>
      <sheetData sheetId="17" refreshError="1"/>
      <sheetData sheetId="18" refreshError="1"/>
      <sheetData sheetId="19" refreshError="1"/>
      <sheetData sheetId="20">
        <row r="2">
          <cell r="B2">
            <v>14191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33806.519999999997</v>
          </cell>
          <cell r="C14">
            <v>22537.68</v>
          </cell>
          <cell r="D14">
            <v>9627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33806.519999999997</v>
          </cell>
          <cell r="G14" t="str">
            <v>——</v>
          </cell>
          <cell r="H14" t="str">
            <v>——</v>
          </cell>
          <cell r="I14" t="str">
            <v>——</v>
          </cell>
        </row>
      </sheetData>
      <sheetData sheetId="16" refreshError="1"/>
      <sheetData sheetId="17" refreshError="1"/>
      <sheetData sheetId="18" refreshError="1"/>
      <sheetData sheetId="19" refreshError="1"/>
      <sheetData sheetId="20">
        <row r="2">
          <cell r="B2">
            <v>10421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26" sqref="B2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2655</v>
      </c>
      <c r="B1" s="2917" t="s">
        <v>2752</v>
      </c>
    </row>
    <row r="2" spans="1:55" s="2921" customFormat="1" ht="15" thickTop="1">
      <c r="A2" s="2919" t="s">
        <v>2659</v>
      </c>
      <c r="B2" s="2920" t="str">
        <f>'预评函-封皮'!B37</f>
        <v>贵州省贵阳市高新区沙文生态科技产业园（土储编号01-02-13）出让国有建设用地使用权市场价格预评估</v>
      </c>
      <c r="AX2" s="2922"/>
      <c r="AZ2" s="2922"/>
      <c r="BA2" s="2923"/>
      <c r="BC2" s="2923"/>
    </row>
    <row r="3" spans="1:55" s="2924" customFormat="1">
      <c r="A3" s="2903" t="s">
        <v>2660</v>
      </c>
      <c r="B3" s="2906" t="str">
        <f>'预评函-封皮'!B40</f>
        <v>中信信托有限责任公司</v>
      </c>
    </row>
    <row r="4" spans="1:55" s="2905" customFormat="1">
      <c r="A4" s="2903" t="s">
        <v>2661</v>
      </c>
      <c r="B4" s="2904" t="str">
        <f>'预评函-封皮'!B46</f>
        <v>王鹏、郑燚</v>
      </c>
      <c r="N4" s="2905" t="str">
        <f>'预评函-1'!A28</f>
        <v>——</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受贵公司委托，我公司对贵州省贵阳市高新区沙文生态科技产业园（土储编号01-02-13）出让国有建设用地使用权市场价格进行了预评估。</v>
      </c>
      <c r="AM6" s="2928"/>
    </row>
    <row r="7" spans="1:55" s="2902" customFormat="1">
      <c r="A7" s="2903" t="s">
        <v>2656</v>
      </c>
      <c r="B7" s="2904" t="str">
        <f>'预评函-1'!A6</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902" customFormat="1">
      <c r="A10" s="2903" t="s">
        <v>2658</v>
      </c>
      <c r="B10" s="2904" t="str">
        <f>'预评函-1'!A11</f>
        <v>2018年4月20日（评估专业人员勘察现场之日）</v>
      </c>
    </row>
    <row r="11" spans="1:55" s="2902" customFormat="1">
      <c r="A11" s="2903" t="s">
        <v>2664</v>
      </c>
      <c r="B11" s="2904" t="str">
        <f>'预评函-1'!A14</f>
        <v>根据《国有建设用地使用权出让合同》，本次评估估价对象证载（地类）用途为商业、商务。</v>
      </c>
    </row>
    <row r="12" spans="1:55" s="2902" customFormat="1">
      <c r="A12" s="2903" t="s">
        <v>2665</v>
      </c>
      <c r="B12" s="2904" t="str">
        <f>'预评函-1'!A15</f>
        <v>本次评估设定用途即为证载用途办公。</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根据《国有建设用地使用权出让合同》，估价对象（分摊）出让国有建设用地使用权面积为40729.97平方米。根据《国有建设用地使用权出让合同》，估价对象规划建筑面积为126262.9平方米。</v>
      </c>
    </row>
    <row r="16" spans="1:55" s="2902" customFormat="1">
      <c r="A16" s="2903" t="s">
        <v>2668</v>
      </c>
      <c r="B16" s="2904" t="str">
        <f>'预评函-1'!A22</f>
        <v>本次估价对象为出让国有建设用地使用权，《国有建设用地使用权出让合同》证载土地终止日期为商业2055年9月23日、办公2055年9月23日。截至估价期日，出让国有建设用地使用权剩余土地使用年限为。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19" spans="1:48" s="2902" customFormat="1">
      <c r="A19" s="2903" t="s">
        <v>2671</v>
      </c>
      <c r="B19" s="2904" t="str">
        <f>'预评函-1'!A26</f>
        <v>——</v>
      </c>
    </row>
    <row r="20" spans="1:48" s="2902" customFormat="1">
      <c r="A20" s="2903" t="s">
        <v>2672</v>
      </c>
      <c r="B20" s="2904" t="str">
        <f>'预评函-1'!A27</f>
        <v>——</v>
      </c>
    </row>
    <row r="21" spans="1:48" s="2918" customFormat="1" ht="15" thickBot="1">
      <c r="A21" s="2925" t="s">
        <v>2673</v>
      </c>
      <c r="B21" s="2926" t="str">
        <f>'预评函-1'!A28</f>
        <v>——</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估价期日：2018年4月20日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商业、商务</v>
      </c>
      <c r="AV32" s="2908"/>
    </row>
    <row r="33" spans="1:2">
      <c r="A33" s="2903" t="s">
        <v>2712</v>
      </c>
      <c r="B33" s="2904">
        <f>'预评函-2'!F5</f>
        <v>258</v>
      </c>
    </row>
    <row r="34" spans="1:2">
      <c r="A34" s="2903" t="s">
        <v>2713</v>
      </c>
      <c r="B34" s="2904" t="str">
        <f>'预评函-2'!G5</f>
        <v>办公</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40729.97</v>
      </c>
    </row>
    <row r="44" spans="1:2">
      <c r="A44" s="2903" t="s">
        <v>2739</v>
      </c>
      <c r="B44" s="2904" t="str">
        <f>'预评函-2'!O3</f>
        <v>规划建筑面积/㎡</v>
      </c>
    </row>
    <row r="45" spans="1:2">
      <c r="A45" s="2903" t="s">
        <v>2721</v>
      </c>
      <c r="B45" s="2904">
        <f>'预评函-2'!O5</f>
        <v>126262.9</v>
      </c>
    </row>
    <row r="46" spans="1:2">
      <c r="A46" s="2903" t="s">
        <v>2722</v>
      </c>
      <c r="B46" s="2904">
        <f ca="1">'预评函-2'!P5</f>
        <v>8715</v>
      </c>
    </row>
    <row r="47" spans="1:2">
      <c r="A47" s="2903" t="s">
        <v>2723</v>
      </c>
      <c r="B47" s="2904">
        <f ca="1">'预评函-2'!Q5</f>
        <v>2811</v>
      </c>
    </row>
    <row r="48" spans="1:2">
      <c r="A48" s="2903" t="s">
        <v>2724</v>
      </c>
      <c r="B48" s="2904">
        <f ca="1">'预评函-2'!R5</f>
        <v>35495</v>
      </c>
    </row>
    <row r="49" spans="1:2">
      <c r="A49" s="2903" t="s">
        <v>2740</v>
      </c>
      <c r="B49" s="2904" t="str">
        <f>'预评函-2'!A6</f>
        <v>——</v>
      </c>
    </row>
    <row r="50" spans="1:2">
      <c r="A50" s="2903" t="s">
        <v>2725</v>
      </c>
      <c r="B50" s="2904" t="str">
        <f>'预评函-2'!R6</f>
        <v>——</v>
      </c>
    </row>
    <row r="51" spans="1:2">
      <c r="A51" s="2903" t="s">
        <v>2741</v>
      </c>
      <c r="B51" s="2904" t="str">
        <f>'预评函-2'!A7</f>
        <v>——</v>
      </c>
    </row>
    <row r="52" spans="1:2">
      <c r="A52" s="2903" t="s">
        <v>2726</v>
      </c>
      <c r="B52" s="2904" t="str">
        <f>'预评函-2'!R7</f>
        <v>——</v>
      </c>
    </row>
    <row r="53" spans="1:2">
      <c r="A53" s="2903" t="s">
        <v>2742</v>
      </c>
      <c r="B53" s="2904" t="str">
        <f>'预评函-2'!A8</f>
        <v>——</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20" sqref="D20:I20"/>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8" t="str">
        <f>IF(B10="北京市","北京市",C10)&amp;F10&amp;B16&amp;"国有建设用地使用权"&amp;B9&amp;"预评估"</f>
        <v>贵州省贵阳市高新区沙文生态科技产业园（土储编号01-02-13）出让国有建设用地使用权市场价格预评估</v>
      </c>
      <c r="C1" s="3249"/>
      <c r="D1" s="3249"/>
      <c r="E1" s="3249"/>
      <c r="F1" s="3249"/>
      <c r="G1" s="3249"/>
      <c r="H1" s="3249"/>
      <c r="I1" s="3250"/>
      <c r="J1" s="1694"/>
      <c r="K1" s="2480" t="str">
        <f>IF(B10="北京市","北京市",C10)&amp;F10&amp;B16&amp;"国有建设用地使用权"&amp;B9</f>
        <v>贵州省贵阳市高新区沙文生态科技产业园（土储编号01-02-13）出让国有建设用地使用权市场价格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贵州省贵阳市高新区沙文生态科技产业园（土储编号01-02-13）出让国有建设用地使用权</v>
      </c>
      <c r="L2" s="1723"/>
      <c r="M2" s="1723"/>
      <c r="N2" s="1694"/>
      <c r="O2" s="1695"/>
      <c r="P2" s="1694"/>
      <c r="Q2" s="1694"/>
      <c r="R2" s="1694"/>
      <c r="S2" s="1694"/>
      <c r="T2" s="1694"/>
      <c r="U2" s="1694"/>
    </row>
    <row r="3" spans="1:21">
      <c r="A3" s="1661" t="s">
        <v>1942</v>
      </c>
      <c r="B3" s="1662">
        <v>43210</v>
      </c>
      <c r="C3" s="1663" t="s">
        <v>1996</v>
      </c>
      <c r="D3" s="1662">
        <f>B3</f>
        <v>43210</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2990</v>
      </c>
      <c r="C4" s="1846">
        <f ca="1">SUMIF(土地估价师,B4,估价师及机构信息!E3:E24)</f>
        <v>2002110030</v>
      </c>
      <c r="D4" s="1843" t="s">
        <v>2991</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B6</f>
        <v>中信信托有限责任公司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2992</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2993</v>
      </c>
      <c r="C8" s="1671"/>
      <c r="D8" s="3254"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2994</v>
      </c>
      <c r="C9" s="1675"/>
      <c r="D9" s="3255"/>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2995</v>
      </c>
      <c r="C10" s="1676" t="s">
        <v>3009</v>
      </c>
      <c r="D10" s="1667"/>
      <c r="E10" s="1677" t="s">
        <v>1949</v>
      </c>
      <c r="F10" s="1678" t="s">
        <v>3008</v>
      </c>
      <c r="G10" s="1745"/>
      <c r="H10" s="1746"/>
      <c r="I10" s="1667"/>
      <c r="J10" s="1694"/>
      <c r="K10" s="1774"/>
      <c r="L10" s="1723"/>
      <c r="M10" s="1723"/>
      <c r="N10" s="1694"/>
      <c r="O10" s="1695"/>
      <c r="P10" s="1694"/>
      <c r="Q10" s="1694"/>
      <c r="R10" s="1694"/>
      <c r="S10" s="1694"/>
      <c r="T10" s="1694"/>
      <c r="U10" s="1694"/>
    </row>
    <row r="11" spans="1:21" ht="57">
      <c r="A11" s="1697" t="s">
        <v>2000</v>
      </c>
      <c r="B11" s="1698" t="s">
        <v>2996</v>
      </c>
      <c r="C11" s="1679" t="s">
        <v>3007</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251" t="s">
        <v>3010</v>
      </c>
      <c r="C12" s="3252"/>
      <c r="D12" s="3253"/>
      <c r="E12" s="1699" t="s">
        <v>2061</v>
      </c>
      <c r="F12" s="3269" t="s">
        <v>3012</v>
      </c>
      <c r="G12" s="3270"/>
      <c r="H12" s="3270"/>
      <c r="I12" s="3271"/>
      <c r="J12" s="1694"/>
      <c r="K12" s="1774"/>
      <c r="L12" s="1723"/>
      <c r="M12" s="1723"/>
      <c r="N12" s="1694"/>
      <c r="O12" s="1695"/>
      <c r="P12" s="1694"/>
      <c r="Q12" s="1694"/>
      <c r="R12" s="1694"/>
      <c r="S12" s="1694"/>
      <c r="T12" s="1694"/>
      <c r="U12" s="1694"/>
    </row>
    <row r="13" spans="1:21">
      <c r="A13" s="1687" t="s">
        <v>2059</v>
      </c>
      <c r="B13" s="3251" t="s">
        <v>3006</v>
      </c>
      <c r="C13" s="3252"/>
      <c r="D13" s="3253"/>
      <c r="E13" s="1699" t="s">
        <v>2061</v>
      </c>
      <c r="F13" s="3269" t="s">
        <v>3012</v>
      </c>
      <c r="G13" s="3270"/>
      <c r="H13" s="3270"/>
      <c r="I13" s="3271"/>
      <c r="J13" s="1694"/>
      <c r="K13" s="1774"/>
      <c r="L13" s="1723"/>
      <c r="M13" s="1723"/>
      <c r="N13" s="1694"/>
      <c r="O13" s="1695"/>
      <c r="P13" s="1694"/>
      <c r="Q13" s="1694"/>
      <c r="R13" s="1694"/>
      <c r="S13" s="1694"/>
      <c r="T13" s="1694"/>
      <c r="U13" s="1694"/>
    </row>
    <row r="14" spans="1:21">
      <c r="A14" s="1661" t="s">
        <v>2062</v>
      </c>
      <c r="B14" s="1699"/>
      <c r="C14" s="1845" t="s">
        <v>3005</v>
      </c>
      <c r="D14" s="1733" t="str">
        <f>IF(C14="不一致","是否符合证载地类范围","")</f>
        <v/>
      </c>
      <c r="E14" s="1699"/>
      <c r="F14" s="1790" t="s">
        <v>3011</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商业2055年9月23日</v>
      </c>
      <c r="N16" s="1699" t="str">
        <f>IF(OR(M16="",O16=""),"","、")</f>
        <v>、</v>
      </c>
      <c r="O16" s="2481" t="str">
        <f>IF(F17="","",F16&amp;TEXT(F17,"yyyy年m月d日;;"))</f>
        <v>办公2055年9月23日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56880</v>
      </c>
      <c r="F17" s="1700">
        <v>56880</v>
      </c>
      <c r="G17" s="1700"/>
      <c r="H17" s="1700"/>
      <c r="I17" s="1700"/>
      <c r="J17" s="1694"/>
      <c r="K17" s="2480" t="str">
        <f>CONCATENATE(K16,L16,M16,N16,O16,P16,Q16,R16,S16,T16,,U16)</f>
        <v>商业2055年9月23日、办公2055年9月23日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37.450000000000003</v>
      </c>
      <c r="F19" s="1685">
        <f>IF(B16="出让",IF(F17="","",ROUNDDOWN(MIN((F17-$D$3)/365,F18),2)),F18)</f>
        <v>37.450000000000003</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266"/>
      <c r="E20" s="3267"/>
      <c r="F20" s="3267"/>
      <c r="G20" s="3267"/>
      <c r="H20" s="3267"/>
      <c r="I20" s="3268"/>
      <c r="J20" s="1694"/>
      <c r="K20" s="1774"/>
      <c r="L20" s="1723"/>
      <c r="M20" s="1723"/>
      <c r="N20" s="1694"/>
      <c r="O20" s="1695"/>
      <c r="P20" s="1694"/>
      <c r="Q20" s="1694"/>
      <c r="R20" s="1694"/>
      <c r="S20" s="1694"/>
      <c r="T20" s="1694"/>
      <c r="U20" s="1694"/>
    </row>
    <row r="21" spans="1:21">
      <c r="A21" s="1763" t="s">
        <v>1961</v>
      </c>
      <c r="B21" s="1764" t="s">
        <v>1962</v>
      </c>
      <c r="C21" s="1759">
        <f>'数据-汇总表'!E3</f>
        <v>126262.9</v>
      </c>
      <c r="D21" s="1760" t="s">
        <v>1963</v>
      </c>
      <c r="E21" s="3256" t="s">
        <v>3013</v>
      </c>
      <c r="F21" s="3257"/>
      <c r="G21" s="3257"/>
      <c r="H21" s="3257"/>
      <c r="I21" s="3258"/>
      <c r="J21" s="1694"/>
      <c r="K21" s="1774"/>
      <c r="L21" s="1723"/>
      <c r="M21" s="1723"/>
      <c r="N21" s="1694"/>
      <c r="O21" s="1695"/>
      <c r="P21" s="1694"/>
      <c r="Q21" s="1694"/>
      <c r="R21" s="1694"/>
      <c r="S21" s="1694"/>
      <c r="T21" s="1694"/>
      <c r="U21" s="1694"/>
    </row>
    <row r="22" spans="1:21">
      <c r="A22" s="3180" t="s">
        <v>952</v>
      </c>
      <c r="B22" s="1661" t="s">
        <v>1964</v>
      </c>
      <c r="C22" s="1686">
        <f>'数据-汇总表'!D3</f>
        <v>40729.97</v>
      </c>
      <c r="D22" s="1687" t="s">
        <v>1963</v>
      </c>
      <c r="E22" s="3256" t="s">
        <v>3013</v>
      </c>
      <c r="F22" s="3257"/>
      <c r="G22" s="3257"/>
      <c r="H22" s="3257"/>
      <c r="I22" s="3258"/>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259" t="s">
        <v>1969</v>
      </c>
      <c r="C24" s="3260"/>
      <c r="D24" s="3261" t="s">
        <v>1970</v>
      </c>
      <c r="E24" s="3262"/>
      <c r="F24" s="1708" t="s">
        <v>1971</v>
      </c>
      <c r="G24" s="1694"/>
      <c r="H24" s="1694"/>
      <c r="I24" s="1707"/>
      <c r="J24" s="1694"/>
      <c r="K24" s="3247"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247"/>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247"/>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74" t="s">
        <v>2001</v>
      </c>
      <c r="B31" s="1764" t="s">
        <v>2002</v>
      </c>
      <c r="C31" s="3272" t="s">
        <v>2997</v>
      </c>
      <c r="D31" s="3273"/>
      <c r="E31" s="1694"/>
      <c r="F31" s="1694"/>
      <c r="G31" s="1694"/>
      <c r="H31" s="1694"/>
      <c r="I31" s="1707"/>
      <c r="J31" s="1694"/>
      <c r="K31" s="2483"/>
      <c r="L31" s="1694"/>
      <c r="M31" s="1694"/>
      <c r="N31" s="1694"/>
      <c r="O31" s="1694"/>
      <c r="P31" s="1694"/>
      <c r="Q31" s="1694"/>
      <c r="R31" s="1694"/>
      <c r="S31" s="1694"/>
      <c r="T31" s="1694"/>
      <c r="U31" s="1694"/>
    </row>
    <row r="32" spans="1:21">
      <c r="A32" s="3274"/>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74"/>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75"/>
      <c r="B34" s="1661" t="s">
        <v>2005</v>
      </c>
      <c r="C34" s="3276"/>
      <c r="D34" s="3277"/>
      <c r="E34" s="1694"/>
      <c r="F34" s="1694"/>
      <c r="G34" s="1694"/>
      <c r="H34" s="1694"/>
      <c r="I34" s="1707"/>
      <c r="J34" s="1694"/>
      <c r="K34" s="2483"/>
      <c r="L34" s="1694"/>
      <c r="M34" s="1694"/>
      <c r="N34" s="1694"/>
      <c r="O34" s="1694"/>
      <c r="P34" s="1694"/>
      <c r="Q34" s="1694"/>
      <c r="R34" s="1694"/>
      <c r="S34" s="1694"/>
      <c r="T34" s="1694"/>
      <c r="U34" s="1694"/>
    </row>
    <row r="35" spans="1:21">
      <c r="A35" s="3278" t="s">
        <v>847</v>
      </c>
      <c r="B35" s="1722" t="s">
        <v>3003</v>
      </c>
      <c r="C35" s="1776" t="str">
        <f>IF(B35="场地平整","——","具体情况：")</f>
        <v>——</v>
      </c>
      <c r="D35" s="3280"/>
      <c r="E35" s="3281"/>
      <c r="F35" s="3281"/>
      <c r="G35" s="3281"/>
      <c r="H35" s="3281"/>
      <c r="I35" s="3282"/>
      <c r="J35" s="1694"/>
      <c r="K35" s="1775"/>
      <c r="L35" s="1723"/>
      <c r="M35" s="1723"/>
      <c r="N35" s="1694"/>
      <c r="O35" s="1695"/>
      <c r="P35" s="1694"/>
      <c r="Q35" s="1694"/>
      <c r="R35" s="1694"/>
      <c r="S35" s="1694"/>
      <c r="T35" s="1694"/>
      <c r="U35" s="1694"/>
    </row>
    <row r="36" spans="1:21">
      <c r="A36" s="3274"/>
      <c r="B36" s="3283" t="s">
        <v>2054</v>
      </c>
      <c r="C36" s="3284"/>
      <c r="D36" s="1792" t="s">
        <v>3004</v>
      </c>
      <c r="E36" s="3285"/>
      <c r="F36" s="3285"/>
      <c r="G36" s="1687" t="str">
        <f>IF(B35="场地未平整","估价结果处理","")</f>
        <v/>
      </c>
      <c r="H36" s="3286"/>
      <c r="I36" s="3286"/>
      <c r="J36" s="1694"/>
      <c r="K36" s="1775"/>
      <c r="L36" s="1723"/>
      <c r="M36" s="1723"/>
      <c r="N36" s="1694"/>
      <c r="O36" s="1695"/>
      <c r="P36" s="1694"/>
      <c r="Q36" s="1694"/>
      <c r="R36" s="1694"/>
      <c r="S36" s="1694"/>
      <c r="T36" s="1694"/>
      <c r="U36" s="1694"/>
    </row>
    <row r="37" spans="1:21" ht="28.5">
      <c r="A37" s="3274"/>
      <c r="B37" s="3263"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74"/>
      <c r="B38" s="3264"/>
      <c r="C38" s="1669" t="s">
        <v>850</v>
      </c>
      <c r="D38" s="1791">
        <f>ROUNDDOWN(MIN(('数据-取费表'!$B$2-D37)/365,D34),1)</f>
        <v>118.3</v>
      </c>
      <c r="E38" s="1727" t="s">
        <v>851</v>
      </c>
      <c r="F38" s="1694"/>
      <c r="G38" s="1694"/>
      <c r="H38" s="1694"/>
      <c r="I38" s="1707"/>
      <c r="J38" s="1694"/>
      <c r="K38" s="1775"/>
      <c r="L38" s="1694"/>
      <c r="M38" s="1694"/>
      <c r="N38" s="1694"/>
      <c r="O38" s="1694"/>
      <c r="P38" s="1694"/>
      <c r="Q38" s="1694"/>
      <c r="R38" s="1694"/>
      <c r="S38" s="1694"/>
      <c r="T38" s="1694"/>
      <c r="U38" s="1694"/>
    </row>
    <row r="39" spans="1:21">
      <c r="A39" s="3275"/>
      <c r="B39" s="3265"/>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2998</v>
      </c>
      <c r="C40" s="1690" t="s">
        <v>2999</v>
      </c>
      <c r="D40" s="1690" t="s">
        <v>3000</v>
      </c>
      <c r="E40" s="1690" t="s">
        <v>3001</v>
      </c>
      <c r="F40" s="1690" t="s">
        <v>3002</v>
      </c>
      <c r="G40" s="1690"/>
      <c r="H40" s="1690"/>
      <c r="I40" s="1707"/>
      <c r="J40" s="1694"/>
      <c r="K40" s="1730">
        <f>COUNTIF(B40:H40,"——")</f>
        <v>0</v>
      </c>
      <c r="L40" s="1699" t="s">
        <v>1979</v>
      </c>
      <c r="M40" s="1696" t="s">
        <v>1980</v>
      </c>
      <c r="N40" s="1696" t="s">
        <v>1981</v>
      </c>
      <c r="O40" s="1696" t="s">
        <v>1982</v>
      </c>
      <c r="P40" s="1696" t="s">
        <v>1983</v>
      </c>
      <c r="Q40" s="1696" t="s">
        <v>1984</v>
      </c>
      <c r="R40" s="1696" t="s">
        <v>1985</v>
      </c>
      <c r="S40" s="3246" t="s">
        <v>1986</v>
      </c>
      <c r="T40" s="1731" t="str">
        <f>NUMBERSTRING(7-K40,1)&amp;"通"</f>
        <v>七通</v>
      </c>
      <c r="U40" s="1694"/>
    </row>
    <row r="41" spans="1:21" ht="28.5">
      <c r="A41" s="1663"/>
      <c r="B41" s="3279" t="s">
        <v>1722</v>
      </c>
      <c r="C41" s="3279"/>
      <c r="D41" s="3279"/>
      <c r="E41" s="3279"/>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246"/>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disablePrompts="1"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7" sqref="C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40729.97</v>
      </c>
      <c r="B3" s="22">
        <f>IF(C3="否",G5-AT5,G5)</f>
        <v>126262.9</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126262.9</v>
      </c>
      <c r="H5" s="27">
        <f t="shared" ref="H5:AT5" si="0">SUM(H13:H641)</f>
        <v>126262.9</v>
      </c>
      <c r="I5" s="27">
        <f t="shared" si="0"/>
        <v>63131.45</v>
      </c>
      <c r="J5" s="27">
        <f t="shared" si="0"/>
        <v>0</v>
      </c>
      <c r="K5" s="27">
        <f t="shared" si="0"/>
        <v>63131.45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126262.9</v>
      </c>
      <c r="BA5" s="29">
        <f t="shared" si="1"/>
        <v>126262.9</v>
      </c>
      <c r="BB5" s="29">
        <f t="shared" si="1"/>
        <v>63131.45</v>
      </c>
      <c r="BC5" s="29">
        <f t="shared" si="1"/>
        <v>63131.45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40729.980000000003</v>
      </c>
      <c r="F6" s="27" t="s">
        <v>1</v>
      </c>
      <c r="G6" s="27" t="s">
        <v>2</v>
      </c>
      <c r="H6" s="33">
        <f>SUMIF(I$12:AB$12,"总值",I6:AB6)</f>
        <v>40729.980000000003</v>
      </c>
      <c r="I6" s="27">
        <f t="shared" ref="I6:AB6" si="2">ROUND($A$3*I5/$B$3,2)</f>
        <v>20364.990000000002</v>
      </c>
      <c r="J6" s="27">
        <f t="shared" si="2"/>
        <v>0</v>
      </c>
      <c r="K6" s="27">
        <f t="shared" si="2"/>
        <v>20364.990000000002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40729.97</v>
      </c>
      <c r="AZ6" s="27" t="s">
        <v>3</v>
      </c>
      <c r="BA6" s="27">
        <f>ROUND($AY$6*BA5/$AZ$5,2)</f>
        <v>40729.97</v>
      </c>
      <c r="BB6" s="27">
        <f>ROUND($AY$6*BB5/$AZ$5,2)</f>
        <v>20364.990000000002</v>
      </c>
      <c r="BC6" s="27">
        <f t="shared" ref="BC6:BH6" si="4">ROUND($AY$6*BC5/$AZ$5,2)</f>
        <v>20364.990000000002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207" t="s">
        <v>2981</v>
      </c>
      <c r="J9" s="51"/>
      <c r="K9" s="3044" t="s">
        <v>2981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207" t="s">
        <v>2979</v>
      </c>
      <c r="J10" s="51"/>
      <c r="K10" s="3046" t="s">
        <v>1678</v>
      </c>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208"/>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3209" t="s">
        <v>3086</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40729.97</v>
      </c>
      <c r="F13" s="81"/>
      <c r="G13" s="82">
        <f t="shared" ref="G13:G20" si="7">H13+AC13+AT13</f>
        <v>126262.9</v>
      </c>
      <c r="H13" s="33">
        <f t="shared" ref="H13:H20" si="8">SUMIF(I$12:AB$12,"总值",I13:AB13)</f>
        <v>126262.9</v>
      </c>
      <c r="I13" s="3210">
        <f>126262.9*0.5</f>
        <v>63131.45</v>
      </c>
      <c r="J13" s="3043"/>
      <c r="K13" s="3043">
        <f>126262.9-I13</f>
        <v>63131.45</v>
      </c>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40729.97</v>
      </c>
      <c r="AZ13" s="27">
        <f t="shared" ref="AZ13:AZ20" si="12">BA13+BL13</f>
        <v>126262.9</v>
      </c>
      <c r="BA13" s="27">
        <f t="shared" ref="BA13:BA20" si="13">SUM(BB13:BK13)</f>
        <v>126262.9</v>
      </c>
      <c r="BB13" s="27">
        <f t="shared" ref="BB13:BB20" si="14">IF($D13="是",I13-J13,0)</f>
        <v>63131.45</v>
      </c>
      <c r="BC13" s="27">
        <f t="shared" ref="BC13:BC20" si="15">IF($D13="是",K13-L13,0)</f>
        <v>63131.45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28.5">
      <c r="A3" s="3287"/>
      <c r="B3" s="3287"/>
      <c r="C3" s="3287"/>
      <c r="D3" s="3288"/>
      <c r="E3" s="32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1" sqref="H31"/>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8" t="s">
        <v>203</v>
      </c>
      <c r="B2" s="3298"/>
      <c r="C2" s="3298"/>
      <c r="D2" s="1976" t="s">
        <v>204</v>
      </c>
      <c r="E2" s="106" t="s">
        <v>205</v>
      </c>
      <c r="F2" s="1985"/>
      <c r="G2" s="1198"/>
      <c r="H2" s="1199"/>
      <c r="I2" s="1200" t="s">
        <v>857</v>
      </c>
      <c r="J2" s="1985"/>
      <c r="K2" s="1985"/>
      <c r="L2" s="1985"/>
    </row>
    <row r="3" spans="1:16" ht="15.75" thickBot="1">
      <c r="A3" s="3299" t="s">
        <v>206</v>
      </c>
      <c r="B3" s="3299"/>
      <c r="C3" s="3299"/>
      <c r="D3" s="107">
        <f>'数据-基础表'!AY6</f>
        <v>40729.97</v>
      </c>
      <c r="E3" s="107">
        <f>'数据-基础表'!AZ5</f>
        <v>126262.9</v>
      </c>
      <c r="F3" s="1985"/>
      <c r="G3" s="280" t="s">
        <v>858</v>
      </c>
      <c r="H3" s="275" t="s">
        <v>859</v>
      </c>
      <c r="I3" s="1977">
        <f>ROUND('数据-基础表'!B3/'数据-基础表'!A3,2)</f>
        <v>3.1</v>
      </c>
      <c r="J3" s="1985"/>
      <c r="K3" s="1985"/>
      <c r="L3" s="1985"/>
    </row>
    <row r="4" spans="1:16" ht="15">
      <c r="A4" s="3300"/>
      <c r="B4" s="3301"/>
      <c r="C4" s="3302"/>
      <c r="D4" s="108" t="s">
        <v>204</v>
      </c>
      <c r="E4" s="109" t="s">
        <v>205</v>
      </c>
      <c r="F4" s="1985"/>
      <c r="G4" s="1201"/>
      <c r="H4" s="275" t="s">
        <v>860</v>
      </c>
      <c r="I4" s="1977">
        <f>ROUND(SUMIF('数据-基础表'!I9:AS9,"地上",'数据-基础表'!I5:AS5)/'数据-基础表'!A3,2)</f>
        <v>3.1</v>
      </c>
      <c r="J4" s="1985"/>
      <c r="K4" s="1985"/>
      <c r="L4" s="1985"/>
    </row>
    <row r="5" spans="1:16">
      <c r="A5" s="110" t="s">
        <v>207</v>
      </c>
      <c r="B5" s="3303" t="s">
        <v>230</v>
      </c>
      <c r="C5" s="3303"/>
      <c r="D5" s="111">
        <f>ROUND($D$3*E5/$E$3,2)</f>
        <v>0</v>
      </c>
      <c r="E5" s="112">
        <f>SUMIF('数据-基础表'!$11:$11,"住宅",'数据-基础表'!$5:$5)</f>
        <v>0</v>
      </c>
      <c r="F5" s="1985"/>
      <c r="G5" s="280" t="s">
        <v>861</v>
      </c>
      <c r="H5" s="275" t="s">
        <v>859</v>
      </c>
      <c r="I5" s="1977">
        <f>ROUND(E31/D31,2)</f>
        <v>3.1</v>
      </c>
      <c r="J5" s="1985"/>
      <c r="K5" s="1985"/>
      <c r="L5" s="1985"/>
    </row>
    <row r="6" spans="1:16" ht="15" thickBot="1">
      <c r="A6" s="113"/>
      <c r="B6" s="3303" t="s">
        <v>208</v>
      </c>
      <c r="C6" s="3303"/>
      <c r="D6" s="111">
        <f>ROUND($D$3*E6/$E$3,2)</f>
        <v>40729.97</v>
      </c>
      <c r="E6" s="112">
        <f>E3-E5</f>
        <v>126262.9</v>
      </c>
      <c r="F6" s="1985"/>
      <c r="G6" s="1201"/>
      <c r="H6" s="275" t="s">
        <v>860</v>
      </c>
      <c r="I6" s="1977">
        <f>ROUND(F31/D31,2)</f>
        <v>3.1</v>
      </c>
      <c r="J6" s="1985"/>
      <c r="K6" s="1985"/>
      <c r="L6" s="1985"/>
    </row>
    <row r="7" spans="1:16" ht="15">
      <c r="A7" s="3295"/>
      <c r="B7" s="3296"/>
      <c r="C7" s="3297"/>
      <c r="D7" s="108" t="s">
        <v>204</v>
      </c>
      <c r="E7" s="114" t="s">
        <v>231</v>
      </c>
      <c r="F7" s="1985"/>
      <c r="G7" s="1156" t="s">
        <v>1646</v>
      </c>
      <c r="H7" s="1157"/>
      <c r="I7" s="1847"/>
      <c r="J7" s="1985"/>
      <c r="K7" s="1985"/>
      <c r="L7" s="1985"/>
    </row>
    <row r="8" spans="1:16">
      <c r="A8" s="110" t="s">
        <v>209</v>
      </c>
      <c r="B8" s="115" t="s">
        <v>210</v>
      </c>
      <c r="C8" s="111" t="s">
        <v>211</v>
      </c>
      <c r="D8" s="111">
        <f t="shared" ref="D8:D15" si="0">ROUND($D$3*E8/$E$3,2)</f>
        <v>40729.97</v>
      </c>
      <c r="E8" s="116">
        <f>SUMIF('数据-基础表'!BB10:BK10,"地上",'数据-基础表'!BB5:BK5)</f>
        <v>126262.9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40729.97</v>
      </c>
      <c r="E16" s="120">
        <f>SUM(E8:E15)</f>
        <v>126262.9</v>
      </c>
      <c r="F16" s="1985"/>
      <c r="G16" s="1987"/>
      <c r="H16" s="968" t="s">
        <v>219</v>
      </c>
      <c r="I16" s="969"/>
      <c r="J16" s="1985"/>
      <c r="K16" s="3289" t="s">
        <v>2565</v>
      </c>
      <c r="L16" s="3290"/>
      <c r="M16" s="3290"/>
      <c r="N16" s="3290"/>
      <c r="O16" s="3290"/>
      <c r="P16" s="3291"/>
    </row>
    <row r="17" spans="1:19" ht="15">
      <c r="A17" s="121" t="s">
        <v>216</v>
      </c>
      <c r="B17" s="122" t="s">
        <v>217</v>
      </c>
      <c r="C17" s="2299" t="s">
        <v>2313</v>
      </c>
      <c r="D17" s="108" t="s">
        <v>204</v>
      </c>
      <c r="E17" s="124" t="s">
        <v>205</v>
      </c>
      <c r="F17" s="125"/>
      <c r="G17" s="1366"/>
      <c r="H17" s="970" t="s">
        <v>218</v>
      </c>
      <c r="I17" s="971" t="s">
        <v>2312</v>
      </c>
      <c r="J17" s="1985"/>
      <c r="K17" s="3292" t="s">
        <v>2566</v>
      </c>
      <c r="L17" s="3293"/>
      <c r="M17" s="3294"/>
      <c r="N17" s="3292" t="s">
        <v>2567</v>
      </c>
      <c r="O17" s="3293"/>
      <c r="P17" s="3294"/>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3087</v>
      </c>
      <c r="D19" s="111">
        <f t="shared" ref="D19:D26" si="1">ROUND($D$3*E19/$E$3,2)</f>
        <v>20364.990000000002</v>
      </c>
      <c r="E19" s="134">
        <f t="shared" ref="E19:E26" si="2">SUM(F19:G19)</f>
        <v>63131.45</v>
      </c>
      <c r="F19" s="135">
        <f>'数据-基础表'!I13</f>
        <v>63131.45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20364.990000000002</v>
      </c>
      <c r="S19" s="2302">
        <f t="shared" si="5"/>
        <v>63131.45</v>
      </c>
    </row>
    <row r="20" spans="1:19">
      <c r="A20" s="138"/>
      <c r="B20" s="115" t="s">
        <v>226</v>
      </c>
      <c r="C20" s="3050" t="s">
        <v>3088</v>
      </c>
      <c r="D20" s="111">
        <f t="shared" si="1"/>
        <v>20364.990000000002</v>
      </c>
      <c r="E20" s="134">
        <f t="shared" si="2"/>
        <v>63131.45</v>
      </c>
      <c r="F20" s="135">
        <f>'数据-基础表'!K13</f>
        <v>63131.45</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20364.990000000002</v>
      </c>
      <c r="S20" s="2302">
        <f t="shared" si="5"/>
        <v>63131.45</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40729.980000000003</v>
      </c>
      <c r="E27" s="143">
        <f>IF(SUM(E19:E26)='数据-基础表'!BA5,SUM(E19:E26),IF(F27="地上面积有误","面积有误","地下面积有误"))</f>
        <v>126262.9</v>
      </c>
      <c r="F27" s="134">
        <f>IF(SUM(F19:F26)=E8,SUM(F19:F26),"地上面积有误")</f>
        <v>126262.9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40729.98误差0.01</v>
      </c>
      <c r="S27" s="275">
        <f>IF(SUM(S19:S26)=$E$3,SUM(S19:S26),SUM(S19:S26)&amp;"误差"&amp;ROUND(SUM(S19:S26)-E3,2))</f>
        <v>126262.9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40729.980000000003</v>
      </c>
      <c r="E31" s="1372">
        <f>E27+E30</f>
        <v>126262.9</v>
      </c>
      <c r="F31" s="1373">
        <f>F27+F30</f>
        <v>126262.9</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27" activePane="bottomRight" state="frozen"/>
      <selection pane="topRight" activeCell="D1" sqref="D1"/>
      <selection pane="bottomLeft" activeCell="A4" sqref="A4"/>
      <selection pane="bottomRight" activeCell="E50" sqref="E50"/>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43210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2979</v>
      </c>
      <c r="D6" s="2309">
        <f>SUMIF(项目基本情况!D$15:I$15,C6,项目基本情况!D$18:I$18)</f>
        <v>40</v>
      </c>
      <c r="E6" s="2310">
        <f>IF(B6="","",SUMIF(项目基本情况!D$15:I$15,C6,项目基本情况!D$17:I$17))</f>
        <v>56880</v>
      </c>
      <c r="F6" s="174">
        <f>SUMIF(项目基本情况!D$15:I$15,C6,项目基本情况!D$19:I$19)</f>
        <v>37.450000000000003</v>
      </c>
      <c r="G6" s="175">
        <f>IF(ISERROR(ROUND(POWER(1+H6,D6-F6)*(POWER(1+H6,F6)-1)/(POWER(1+H6,D6)-1),3)),0,ROUND(POWER(1+H6,D6-F6)*(POWER(1+H6,F6)-1)/(POWER(1+H6,D6)-1),3))</f>
        <v>0.97799999999999998</v>
      </c>
      <c r="H6" s="3051">
        <v>0.05</v>
      </c>
      <c r="I6" s="3051">
        <v>0.06</v>
      </c>
      <c r="J6" s="176">
        <v>8.5000000000000006E-2</v>
      </c>
      <c r="K6" s="179">
        <f>SUMIF('数据-汇总表'!C$19:C$33,'数据-取费表'!A6,'数据-汇总表'!E$19:E$33)</f>
        <v>63131.45</v>
      </c>
      <c r="L6" s="3052">
        <v>3000</v>
      </c>
      <c r="M6" s="177">
        <f t="shared" ref="M6:M14" si="0">ROUND(K6*L6/10000,0)</f>
        <v>18939</v>
      </c>
      <c r="N6" s="3053">
        <v>0</v>
      </c>
      <c r="O6" s="177">
        <f>IF($N$5="成新度","——",ROUND(M6*N6,0))</f>
        <v>0</v>
      </c>
      <c r="P6" s="178">
        <f>IF($N$5="成新度","——",M6-O6)</f>
        <v>18939</v>
      </c>
      <c r="Q6" s="3054">
        <v>0.2</v>
      </c>
      <c r="R6" s="179">
        <f>SUMIF('数据-汇总表'!C$19:C$33,A6,'数据-汇总表'!R$19:R$33)</f>
        <v>20364.990000000002</v>
      </c>
      <c r="S6" s="132">
        <f>IF('数据-汇总表'!$I$17="按面积比例",SUMIF('数据-汇总表'!C$19:C$33,A6,'数据-汇总表'!K$19:K$33),SUMIF('数据-汇总表'!C$19:C$33,A6,'数据-汇总表'!N$19:N$33))</f>
        <v>0</v>
      </c>
      <c r="T6" s="2235" t="str">
        <f>IF($T$4="按面积比例",IF(ISERROR(ROUND($M$14*S6/S$16,0)),"0",ROUND($M$14*S6/S$16,0)),"需自行计算录入")</f>
        <v>0</v>
      </c>
      <c r="U6" s="180">
        <v>2</v>
      </c>
      <c r="V6" s="181">
        <v>0.03</v>
      </c>
      <c r="W6" s="181">
        <v>0.1</v>
      </c>
      <c r="X6" s="2322"/>
      <c r="Y6" s="182">
        <v>1</v>
      </c>
      <c r="Z6" s="183"/>
      <c r="AA6" s="176"/>
      <c r="AB6" s="176"/>
      <c r="AC6" s="2325"/>
      <c r="AD6" s="184"/>
      <c r="AE6" s="972">
        <f ca="1">IF(AN6="",0,SUMIF(INDIRECT("'"&amp;AN6&amp;"'"&amp;"!E:E"),$AE$5,INDIRECT("'"&amp;AN6&amp;"'"&amp;"!F:F")))</f>
        <v>35.450000000000003</v>
      </c>
      <c r="AF6" s="141"/>
      <c r="AG6" s="1213">
        <f>IF(AF6="",0,AE6-AF6)</f>
        <v>0</v>
      </c>
      <c r="AH6" s="141"/>
      <c r="AI6" s="187">
        <v>365</v>
      </c>
      <c r="AJ6" s="188"/>
      <c r="AK6" s="189">
        <v>1.4999999999999999E-2</v>
      </c>
      <c r="AL6" s="190">
        <v>1.5E-3</v>
      </c>
      <c r="AM6" s="3065">
        <v>0.01</v>
      </c>
      <c r="AN6" s="2417" t="s">
        <v>3089</v>
      </c>
      <c r="AO6" s="2001"/>
      <c r="AP6" s="1204">
        <f>ROUND(1-1/(1+H6)^F6,3)</f>
        <v>0.83899999999999997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办公</v>
      </c>
      <c r="B7" s="2338" t="str">
        <f t="shared" ref="B7:B13" si="1">IF(A7=0,"","经营性")</f>
        <v>经营性</v>
      </c>
      <c r="C7" s="173" t="s">
        <v>1678</v>
      </c>
      <c r="D7" s="2309">
        <f>SUMIF(项目基本情况!D$15:I$15,C7,项目基本情况!D$18:I$18)</f>
        <v>40</v>
      </c>
      <c r="E7" s="2310">
        <f>IF(B7="","",SUMIF(项目基本情况!D$15:I$15,C7,项目基本情况!D$17:I$17))</f>
        <v>56880</v>
      </c>
      <c r="F7" s="174">
        <f>SUMIF(项目基本情况!D$15:I$15,C7,项目基本情况!D$19:I$19)</f>
        <v>37.450000000000003</v>
      </c>
      <c r="G7" s="175">
        <f t="shared" ref="G7:G11" si="2">IF(ISERROR(ROUND(POWER(1+H7,D7-F7)*(POWER(1+H7,F7)-1)/(POWER(1+H7,D7)-1),3)),0,ROUND(POWER(1+H7,D7-F7)*(POWER(1+H7,F7)-1)/(POWER(1+H7,D7)-1),3))</f>
        <v>0.97799999999999998</v>
      </c>
      <c r="H7" s="3051">
        <v>0.05</v>
      </c>
      <c r="I7" s="3051">
        <v>5.5E-2</v>
      </c>
      <c r="J7" s="176">
        <v>8.5000000000000006E-2</v>
      </c>
      <c r="K7" s="179">
        <f>SUMIF('数据-汇总表'!C$19:C$33,'数据-取费表'!A7,'数据-汇总表'!E$19:E$33)</f>
        <v>63131.45</v>
      </c>
      <c r="L7" s="3052">
        <v>2800</v>
      </c>
      <c r="M7" s="177">
        <f t="shared" si="0"/>
        <v>17677</v>
      </c>
      <c r="N7" s="3053">
        <v>0</v>
      </c>
      <c r="O7" s="177">
        <f t="shared" ref="O7:O14" si="3">IF($N$5="成新度","——",ROUND(M7*N7,0))</f>
        <v>0</v>
      </c>
      <c r="P7" s="178">
        <f t="shared" ref="P7:P14" si="4">IF($N$5="成新度","——",M7-O7)</f>
        <v>17677</v>
      </c>
      <c r="Q7" s="3054">
        <v>0.15</v>
      </c>
      <c r="R7" s="179">
        <f>SUMIF('数据-汇总表'!C$19:C$33,A7,'数据-汇总表'!R$19:R$33)</f>
        <v>20364.990000000002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1.6</v>
      </c>
      <c r="V7" s="181">
        <v>0.03</v>
      </c>
      <c r="W7" s="181">
        <v>0.1</v>
      </c>
      <c r="X7" s="2322"/>
      <c r="Y7" s="182">
        <v>1</v>
      </c>
      <c r="Z7" s="183"/>
      <c r="AA7" s="176"/>
      <c r="AB7" s="176"/>
      <c r="AC7" s="2325"/>
      <c r="AD7" s="184"/>
      <c r="AE7" s="972">
        <f t="shared" ref="AE7:AE13" ca="1" si="6">IF(AN7="",0,SUMIF(INDIRECT("'"&amp;AN7&amp;"'"&amp;"!E:E"),$AE$5,INDIRECT("'"&amp;AN7&amp;"'"&amp;"!F:F")))</f>
        <v>35.450000000000003</v>
      </c>
      <c r="AF7" s="141"/>
      <c r="AG7" s="1213">
        <f t="shared" ref="AG7:AG13" si="7">IF(AF7="",0,AE7-AF7)</f>
        <v>0</v>
      </c>
      <c r="AH7" s="141"/>
      <c r="AI7" s="187">
        <v>365</v>
      </c>
      <c r="AJ7" s="188"/>
      <c r="AK7" s="189">
        <v>1.4999999999999999E-2</v>
      </c>
      <c r="AL7" s="190">
        <v>1.5E-3</v>
      </c>
      <c r="AM7" s="3065">
        <v>0.01</v>
      </c>
      <c r="AN7" s="2417" t="s">
        <v>3090</v>
      </c>
      <c r="AO7" s="2001"/>
      <c r="AP7" s="1204">
        <f t="shared" ref="AP7:AP13" si="8">ROUND(1-1/(1+H7)^F7,3)</f>
        <v>0.83899999999999997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0.97799999999999998</v>
      </c>
      <c r="H16" s="203">
        <f>ROUND(SUMPRODUCT(H6:H13,K6:K13)/SUMPRODUCT((H6:H13&gt;0)*(K6:K13)),3)</f>
        <v>0.05</v>
      </c>
      <c r="I16" s="204"/>
      <c r="J16" s="204"/>
      <c r="K16" s="205">
        <f>SUM(K6:K15)</f>
        <v>126262.9</v>
      </c>
      <c r="L16" s="206">
        <f>ROUND(M16*10000/SUM(K6:K14),0)</f>
        <v>2900</v>
      </c>
      <c r="M16" s="206">
        <f>SUM(M6:M14)</f>
        <v>36616</v>
      </c>
      <c r="N16" s="207">
        <f>ROUND(SUMPRODUCT(M6:M14,N6:N14)/M16,3)</f>
        <v>0</v>
      </c>
      <c r="O16" s="206">
        <f>SUM(O6:O14)</f>
        <v>0</v>
      </c>
      <c r="P16" s="206">
        <f>SUM(P6:P14)</f>
        <v>36616</v>
      </c>
      <c r="Q16" s="208">
        <f>ROUND(SUMPRODUCT(Q6:Q13,K6:K13)/SUMPRODUCT((Q6:Q13&gt;0)*(K6:K13)),2)</f>
        <v>0.18</v>
      </c>
      <c r="R16" s="2312">
        <f>SUM(R6:R13)</f>
        <v>40729.980000000003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0.83899999999999997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0.01</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4" t="s">
        <v>1664</v>
      </c>
      <c r="B1" s="3305"/>
      <c r="C1" s="3305"/>
      <c r="D1" s="3305"/>
      <c r="E1" s="3305"/>
      <c r="F1" s="3305"/>
      <c r="G1" s="3305"/>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17" sqref="B17"/>
    </sheetView>
  </sheetViews>
  <sheetFormatPr defaultColWidth="14.625" defaultRowHeight="13.5"/>
  <cols>
    <col min="1" max="1" width="24.375" customWidth="1"/>
  </cols>
  <sheetData>
    <row r="1" spans="1:9" ht="16.5">
      <c r="A1" s="3071" t="s">
        <v>2843</v>
      </c>
      <c r="B1" s="3071">
        <f>SUM(B14:B23)</f>
        <v>257515.68999999997</v>
      </c>
      <c r="C1" s="3072"/>
      <c r="D1" s="3072"/>
      <c r="E1" s="3072"/>
      <c r="F1" s="3072"/>
    </row>
    <row r="2" spans="1:9" ht="16.5">
      <c r="A2" s="3071" t="s">
        <v>2844</v>
      </c>
      <c r="B2" s="3071">
        <f>SUM(C14:C23)</f>
        <v>135689.82</v>
      </c>
      <c r="C2" s="3072"/>
      <c r="D2" s="3072"/>
      <c r="E2" s="3072"/>
      <c r="F2" s="3072"/>
    </row>
    <row r="3" spans="1:9" ht="16.5">
      <c r="A3" s="3071" t="s">
        <v>2845</v>
      </c>
      <c r="B3" s="3073">
        <f>项目基本情况!D3</f>
        <v>43210</v>
      </c>
      <c r="C3" s="3072"/>
      <c r="D3" s="3072"/>
      <c r="E3" s="3072"/>
      <c r="F3" s="3072"/>
    </row>
    <row r="4" spans="1:9" ht="33">
      <c r="A4" s="3071" t="s">
        <v>2846</v>
      </c>
      <c r="B4" s="3071" t="s">
        <v>2847</v>
      </c>
      <c r="C4" s="3071" t="s">
        <v>2848</v>
      </c>
      <c r="D4" s="3071" t="s">
        <v>2849</v>
      </c>
      <c r="E4" s="3072"/>
      <c r="F4" s="3072"/>
    </row>
    <row r="5" spans="1:9" ht="16.5">
      <c r="A5" s="3071" t="s">
        <v>2850</v>
      </c>
      <c r="B5" s="3071">
        <f ca="1">SUM(D14:D23)</f>
        <v>72217</v>
      </c>
      <c r="C5" s="3071">
        <f ca="1">ROUND(B5*10000/$B$1,0)</f>
        <v>2804</v>
      </c>
      <c r="D5" s="3071">
        <f ca="1">ROUND(B5*10000/$B$2,0)</f>
        <v>5322</v>
      </c>
      <c r="E5" s="3072"/>
      <c r="F5" s="3072"/>
    </row>
    <row r="6" spans="1:9" ht="16.5">
      <c r="A6" s="3071" t="s">
        <v>2851</v>
      </c>
      <c r="B6" s="3071">
        <f>SUM(G14:G23)</f>
        <v>0</v>
      </c>
      <c r="C6" s="3071">
        <f t="shared" ref="C6:C8" si="0">ROUND(B6*10000/$B$1,0)</f>
        <v>0</v>
      </c>
      <c r="D6" s="3071">
        <f t="shared" ref="D6:D8" si="1">ROUND(B6*10000/$B$2,0)</f>
        <v>0</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126262.9</v>
      </c>
      <c r="C14" s="3075">
        <f>结果表!K38</f>
        <v>40729.97</v>
      </c>
      <c r="D14" s="3075">
        <f ca="1">结果表!C42</f>
        <v>35495</v>
      </c>
      <c r="E14" s="3075">
        <f ca="1">ROUND(D14*10000/B14,0)</f>
        <v>2811</v>
      </c>
      <c r="F14" s="3075">
        <f ca="1">ROUND(D14*10000/C14,0)</f>
        <v>8715</v>
      </c>
      <c r="G14" s="3075" t="str">
        <f>结果表!C44</f>
        <v>——</v>
      </c>
      <c r="H14" s="3075" t="str">
        <f>结果表!C45</f>
        <v>——</v>
      </c>
      <c r="I14" s="3075" t="str">
        <f>结果表!C46</f>
        <v>——</v>
      </c>
    </row>
    <row r="15" spans="1:9" ht="16.5">
      <c r="A15" s="3078" t="s">
        <v>2860</v>
      </c>
      <c r="B15" s="3079">
        <f>[1]系统读取表!$B$14</f>
        <v>51281.85</v>
      </c>
      <c r="C15" s="3079">
        <f>[1]系统读取表!$C$14</f>
        <v>39447.58</v>
      </c>
      <c r="D15" s="3079">
        <f ca="1">[1]系统读取表!$D$14</f>
        <v>13966</v>
      </c>
      <c r="E15" s="3075">
        <f t="shared" ref="E15:E23" ca="1" si="2">ROUND(D15*10000/B15,0)</f>
        <v>2723</v>
      </c>
      <c r="F15" s="3075">
        <f t="shared" ref="F15:F23" ca="1" si="3">ROUND(D15*10000/C15,0)</f>
        <v>3540</v>
      </c>
      <c r="G15" s="3076" t="str">
        <f>[2]系统读取表!$G$14</f>
        <v>——</v>
      </c>
      <c r="H15" s="3076" t="str">
        <f>[2]系统读取表!$H$14</f>
        <v>——</v>
      </c>
      <c r="I15" s="3079" t="str">
        <f>[2]系统读取表!$I$14</f>
        <v>——</v>
      </c>
    </row>
    <row r="16" spans="1:9" ht="16.5">
      <c r="A16" s="3078" t="s">
        <v>2861</v>
      </c>
      <c r="B16" s="3079">
        <f>[3]系统读取表!$B$14</f>
        <v>46164.42</v>
      </c>
      <c r="C16" s="3079">
        <f>[3]系统读取表!$C$14</f>
        <v>32974.589999999997</v>
      </c>
      <c r="D16" s="3079">
        <f ca="1">[3]系统读取表!$D$14</f>
        <v>13129</v>
      </c>
      <c r="E16" s="3075">
        <f t="shared" ca="1" si="2"/>
        <v>2844</v>
      </c>
      <c r="F16" s="3075">
        <f t="shared" ca="1" si="3"/>
        <v>3982</v>
      </c>
      <c r="G16" s="3076" t="str">
        <f>[4]系统读取表!$G$14</f>
        <v>——</v>
      </c>
      <c r="H16" s="3076" t="str">
        <f>[4]系统读取表!$H$14</f>
        <v>——</v>
      </c>
      <c r="I16" s="3079" t="str">
        <f>[4]系统读取表!$I$14</f>
        <v>——</v>
      </c>
    </row>
    <row r="17" spans="1:9" ht="16.5">
      <c r="A17" s="3078" t="s">
        <v>2862</v>
      </c>
      <c r="B17" s="3079">
        <f>[5]系统读取表!$B$14</f>
        <v>33806.519999999997</v>
      </c>
      <c r="C17" s="3079">
        <f>[5]系统读取表!$C$14</f>
        <v>22537.68</v>
      </c>
      <c r="D17" s="3079">
        <f ca="1">[5]系统读取表!$D$14</f>
        <v>9627</v>
      </c>
      <c r="E17" s="3075">
        <f t="shared" ca="1" si="2"/>
        <v>2848</v>
      </c>
      <c r="F17" s="3075">
        <f t="shared" ca="1" si="3"/>
        <v>4272</v>
      </c>
      <c r="G17" s="3076" t="str">
        <f>[6]系统读取表!$G$14</f>
        <v>——</v>
      </c>
      <c r="H17" s="3076" t="str">
        <f>[6]系统读取表!$H$14</f>
        <v>——</v>
      </c>
      <c r="I17" s="3079" t="str">
        <f>[6]系统读取表!$I$14</f>
        <v>——</v>
      </c>
    </row>
    <row r="18" spans="1:9" ht="16.5">
      <c r="A18" s="3078" t="s">
        <v>2863</v>
      </c>
      <c r="B18" s="3079"/>
      <c r="C18" s="3079"/>
      <c r="D18" s="3079"/>
      <c r="E18" s="3075" t="e">
        <f t="shared" si="2"/>
        <v>#DIV/0!</v>
      </c>
      <c r="F18" s="3075" t="e">
        <f t="shared" si="3"/>
        <v>#DIV/0!</v>
      </c>
      <c r="G18" s="3079"/>
      <c r="H18" s="3079"/>
      <c r="I18" s="3079"/>
    </row>
    <row r="19" spans="1:9" ht="16.5">
      <c r="A19" s="3078" t="s">
        <v>2864</v>
      </c>
      <c r="B19" s="3079"/>
      <c r="C19" s="3079"/>
      <c r="D19" s="3079"/>
      <c r="E19" s="3075" t="e">
        <f t="shared" si="2"/>
        <v>#DIV/0!</v>
      </c>
      <c r="F19" s="3075" t="e">
        <f t="shared" si="3"/>
        <v>#DIV/0!</v>
      </c>
      <c r="G19" s="3079"/>
      <c r="H19" s="3079"/>
      <c r="I19" s="3079"/>
    </row>
    <row r="20" spans="1:9" ht="16.5">
      <c r="A20" s="3078" t="s">
        <v>2865</v>
      </c>
      <c r="B20" s="3079"/>
      <c r="C20" s="3079"/>
      <c r="D20" s="3079"/>
      <c r="E20" s="3075" t="e">
        <f t="shared" si="2"/>
        <v>#DIV/0!</v>
      </c>
      <c r="F20" s="3075" t="e">
        <f t="shared" si="3"/>
        <v>#DIV/0!</v>
      </c>
      <c r="G20" s="3079"/>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t="s">
        <v>2988</v>
      </c>
      <c r="E1" s="1806" t="s">
        <v>2057</v>
      </c>
      <c r="F1" s="1808" t="s">
        <v>2989</v>
      </c>
      <c r="G1" s="311"/>
      <c r="H1" s="311"/>
      <c r="I1" s="311"/>
      <c r="J1" s="2030"/>
      <c r="K1" s="2030"/>
      <c r="L1" s="2030"/>
      <c r="M1" s="2030"/>
      <c r="N1" s="2030"/>
      <c r="O1" s="2030"/>
      <c r="P1" s="2030"/>
      <c r="Q1" s="2030"/>
      <c r="R1" s="2030"/>
      <c r="S1" s="2030"/>
      <c r="T1" s="2030"/>
      <c r="U1" s="2030"/>
      <c r="V1" s="2030"/>
    </row>
    <row r="2" spans="1:22" ht="21.75" customHeight="1" thickBot="1">
      <c r="A2" s="3351" t="str">
        <f>项目基本情况!K2</f>
        <v>贵州省贵阳市高新区沙文生态科技产业园（土储编号01-02-13）出让国有建设用地使用权</v>
      </c>
      <c r="B2" s="3352"/>
      <c r="C2" s="3353"/>
      <c r="D2" s="3353"/>
      <c r="E2" s="3353"/>
      <c r="F2" s="3353"/>
      <c r="G2" s="3352"/>
      <c r="H2" s="3352"/>
      <c r="I2" s="3354"/>
      <c r="J2" s="2031"/>
      <c r="K2" s="2030"/>
      <c r="L2" s="2030"/>
      <c r="M2" s="2030"/>
      <c r="N2" s="2030"/>
      <c r="O2" s="2030"/>
      <c r="P2" s="2030"/>
      <c r="Q2" s="2030"/>
      <c r="R2" s="2030"/>
      <c r="S2" s="2030"/>
      <c r="T2" s="2030"/>
      <c r="U2" s="2030"/>
      <c r="V2" s="2030"/>
    </row>
    <row r="3" spans="1:22" ht="14.25">
      <c r="A3" s="3362" t="s">
        <v>298</v>
      </c>
      <c r="B3" s="3363"/>
      <c r="C3" s="3363"/>
      <c r="D3" s="3363"/>
      <c r="E3" s="3363"/>
      <c r="F3" s="3363"/>
      <c r="G3" s="3363"/>
      <c r="H3" s="3363"/>
      <c r="I3" s="3363"/>
      <c r="J3" s="2031"/>
      <c r="K3" s="2030"/>
      <c r="L3" s="2030"/>
      <c r="M3" s="2030"/>
      <c r="N3" s="2030"/>
      <c r="O3" s="2030"/>
      <c r="P3" s="2030"/>
      <c r="Q3" s="2030"/>
      <c r="R3" s="2030"/>
      <c r="S3" s="2030"/>
      <c r="T3" s="2030"/>
      <c r="U3" s="2030"/>
      <c r="V3" s="2030"/>
    </row>
    <row r="4" spans="1:22" ht="14.25">
      <c r="A4" s="258" t="s">
        <v>299</v>
      </c>
      <c r="B4" s="259" t="s">
        <v>300</v>
      </c>
      <c r="C4" s="260" t="s">
        <v>2987</v>
      </c>
      <c r="D4" s="260" t="s">
        <v>2986</v>
      </c>
      <c r="E4" s="3326" t="s">
        <v>301</v>
      </c>
      <c r="F4" s="3368"/>
      <c r="G4" s="3368"/>
      <c r="H4" s="3368"/>
      <c r="I4" s="3327"/>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5" t="s">
        <v>302</v>
      </c>
      <c r="B5" s="3356">
        <v>25</v>
      </c>
      <c r="C5" s="3364"/>
      <c r="D5" s="3367"/>
      <c r="E5" s="261" t="s">
        <v>303</v>
      </c>
      <c r="F5" s="262"/>
      <c r="G5" s="262"/>
      <c r="H5" s="262"/>
      <c r="I5" s="263"/>
      <c r="J5" s="2031"/>
      <c r="K5" s="2030"/>
      <c r="L5" s="2030"/>
      <c r="M5" s="2030"/>
      <c r="N5" s="2030"/>
      <c r="O5" s="2030"/>
      <c r="P5" s="2030"/>
      <c r="Q5" s="2030"/>
      <c r="R5" s="2030"/>
      <c r="S5" s="2030"/>
      <c r="T5" s="2030"/>
      <c r="U5" s="2030"/>
      <c r="V5" s="2030"/>
    </row>
    <row r="6" spans="1:22" ht="14.25">
      <c r="A6" s="3355"/>
      <c r="B6" s="3356"/>
      <c r="C6" s="3365"/>
      <c r="D6" s="3367"/>
      <c r="E6" s="261" t="s">
        <v>304</v>
      </c>
      <c r="F6" s="262"/>
      <c r="G6" s="262"/>
      <c r="H6" s="262"/>
      <c r="I6" s="263"/>
      <c r="J6" s="2031"/>
      <c r="K6" s="2030"/>
      <c r="L6" s="2030"/>
      <c r="M6" s="2030"/>
      <c r="N6" s="2030"/>
      <c r="O6" s="2030"/>
      <c r="P6" s="2030"/>
      <c r="Q6" s="2030"/>
      <c r="R6" s="2030"/>
      <c r="S6" s="2030"/>
      <c r="T6" s="2030"/>
      <c r="U6" s="2030"/>
      <c r="V6" s="2030"/>
    </row>
    <row r="7" spans="1:22" ht="14.25">
      <c r="A7" s="3355"/>
      <c r="B7" s="3356"/>
      <c r="C7" s="3366"/>
      <c r="D7" s="3367"/>
      <c r="E7" s="261" t="s">
        <v>305</v>
      </c>
      <c r="F7" s="262"/>
      <c r="G7" s="262"/>
      <c r="H7" s="262"/>
      <c r="I7" s="263"/>
      <c r="J7" s="2031"/>
      <c r="K7" s="2030"/>
      <c r="L7" s="2030"/>
      <c r="M7" s="2030"/>
      <c r="N7" s="2030"/>
      <c r="O7" s="2030"/>
      <c r="P7" s="2030"/>
      <c r="Q7" s="2030"/>
      <c r="R7" s="2030"/>
      <c r="S7" s="2030"/>
      <c r="T7" s="2030"/>
      <c r="U7" s="2030"/>
      <c r="V7" s="2030"/>
    </row>
    <row r="8" spans="1:22" ht="14.25">
      <c r="A8" s="3355" t="s">
        <v>306</v>
      </c>
      <c r="B8" s="3356">
        <v>15</v>
      </c>
      <c r="C8" s="3364"/>
      <c r="D8" s="3367"/>
      <c r="E8" s="261" t="s">
        <v>307</v>
      </c>
      <c r="F8" s="262"/>
      <c r="G8" s="262"/>
      <c r="H8" s="262"/>
      <c r="I8" s="263"/>
      <c r="J8" s="2031"/>
      <c r="K8" s="2030"/>
      <c r="L8" s="2030"/>
      <c r="M8" s="2030"/>
      <c r="N8" s="2030"/>
      <c r="O8" s="2030"/>
      <c r="P8" s="2030"/>
      <c r="Q8" s="2030"/>
      <c r="R8" s="2030"/>
      <c r="S8" s="2030"/>
      <c r="T8" s="2030"/>
      <c r="U8" s="2030"/>
      <c r="V8" s="2030"/>
    </row>
    <row r="9" spans="1:22" ht="14.25">
      <c r="A9" s="3355"/>
      <c r="B9" s="3356"/>
      <c r="C9" s="3366"/>
      <c r="D9" s="3367"/>
      <c r="E9" s="261" t="s">
        <v>308</v>
      </c>
      <c r="F9" s="262"/>
      <c r="G9" s="262"/>
      <c r="H9" s="262"/>
      <c r="I9" s="263"/>
      <c r="J9" s="2031"/>
      <c r="K9" s="2030"/>
      <c r="L9" s="2030"/>
      <c r="M9" s="2030"/>
      <c r="N9" s="2030"/>
      <c r="O9" s="2030"/>
      <c r="P9" s="2030"/>
      <c r="Q9" s="2030"/>
      <c r="R9" s="2030"/>
      <c r="S9" s="2030"/>
      <c r="T9" s="2030"/>
      <c r="U9" s="2030"/>
      <c r="V9" s="2030"/>
    </row>
    <row r="10" spans="1:22" ht="14.25">
      <c r="A10" s="3355" t="s">
        <v>309</v>
      </c>
      <c r="B10" s="3356">
        <v>15</v>
      </c>
      <c r="C10" s="3364"/>
      <c r="D10" s="3367"/>
      <c r="E10" s="261" t="s">
        <v>310</v>
      </c>
      <c r="F10" s="262"/>
      <c r="G10" s="262"/>
      <c r="H10" s="262"/>
      <c r="I10" s="263"/>
      <c r="J10" s="2031"/>
      <c r="K10" s="2030"/>
      <c r="L10" s="2030"/>
      <c r="M10" s="2030"/>
      <c r="N10" s="2030"/>
      <c r="O10" s="2030"/>
      <c r="P10" s="2030"/>
      <c r="Q10" s="2030"/>
      <c r="R10" s="2030"/>
      <c r="S10" s="2030"/>
      <c r="T10" s="2030"/>
      <c r="U10" s="2030"/>
      <c r="V10" s="2030"/>
    </row>
    <row r="11" spans="1:22" ht="14.25">
      <c r="A11" s="3355"/>
      <c r="B11" s="3356"/>
      <c r="C11" s="3366"/>
      <c r="D11" s="3367"/>
      <c r="E11" s="261" t="s">
        <v>311</v>
      </c>
      <c r="F11" s="262"/>
      <c r="G11" s="262"/>
      <c r="H11" s="262"/>
      <c r="I11" s="263"/>
      <c r="J11" s="2031"/>
      <c r="K11" s="2030"/>
      <c r="L11" s="2030"/>
      <c r="M11" s="2030"/>
      <c r="N11" s="2030"/>
      <c r="O11" s="2030"/>
      <c r="P11" s="2030"/>
      <c r="Q11" s="2030"/>
      <c r="R11" s="2030"/>
      <c r="S11" s="2030"/>
      <c r="T11" s="2030"/>
      <c r="U11" s="2030"/>
      <c r="V11" s="2030"/>
    </row>
    <row r="12" spans="1:22" ht="14.25">
      <c r="A12" s="3355" t="s">
        <v>312</v>
      </c>
      <c r="B12" s="3356">
        <v>15</v>
      </c>
      <c r="C12" s="3364"/>
      <c r="D12" s="3367"/>
      <c r="E12" s="261" t="s">
        <v>313</v>
      </c>
      <c r="F12" s="262"/>
      <c r="G12" s="262"/>
      <c r="H12" s="262"/>
      <c r="I12" s="263"/>
      <c r="J12" s="2031"/>
      <c r="K12" s="2030"/>
      <c r="L12" s="2030"/>
      <c r="M12" s="2030"/>
      <c r="N12" s="2030"/>
      <c r="O12" s="2030"/>
      <c r="P12" s="2030"/>
      <c r="Q12" s="2030"/>
      <c r="R12" s="2030"/>
      <c r="S12" s="2030"/>
      <c r="T12" s="2030"/>
      <c r="U12" s="2030"/>
      <c r="V12" s="2030"/>
    </row>
    <row r="13" spans="1:22" ht="14.25">
      <c r="A13" s="3355"/>
      <c r="B13" s="3356"/>
      <c r="C13" s="3366"/>
      <c r="D13" s="3367"/>
      <c r="E13" s="261" t="s">
        <v>314</v>
      </c>
      <c r="F13" s="262"/>
      <c r="G13" s="262"/>
      <c r="H13" s="262"/>
      <c r="I13" s="263"/>
      <c r="J13" s="2031"/>
      <c r="K13" s="2030"/>
      <c r="L13" s="2030"/>
      <c r="M13" s="2030"/>
      <c r="N13" s="2030"/>
      <c r="O13" s="2030"/>
      <c r="P13" s="2030"/>
      <c r="Q13" s="2030"/>
      <c r="R13" s="2030"/>
      <c r="S13" s="2030"/>
      <c r="T13" s="2030"/>
      <c r="U13" s="2030"/>
      <c r="V13" s="2030"/>
    </row>
    <row r="14" spans="1:22" ht="14.25">
      <c r="A14" s="3355" t="s">
        <v>315</v>
      </c>
      <c r="B14" s="3356">
        <v>30</v>
      </c>
      <c r="C14" s="3364">
        <v>5</v>
      </c>
      <c r="D14" s="3367">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55"/>
      <c r="B15" s="3356"/>
      <c r="C15" s="3365"/>
      <c r="D15" s="3367"/>
      <c r="E15" s="261" t="s">
        <v>317</v>
      </c>
      <c r="F15" s="262"/>
      <c r="G15" s="262"/>
      <c r="H15" s="262"/>
      <c r="I15" s="263"/>
      <c r="J15" s="2031"/>
      <c r="K15" s="2030"/>
      <c r="L15" s="2030"/>
      <c r="M15" s="2030"/>
      <c r="N15" s="2030"/>
      <c r="O15" s="2030"/>
      <c r="P15" s="2030"/>
      <c r="Q15" s="2030"/>
      <c r="R15" s="2030"/>
      <c r="S15" s="2030"/>
      <c r="T15" s="2030"/>
      <c r="U15" s="2030"/>
      <c r="V15" s="2030"/>
    </row>
    <row r="16" spans="1:22" ht="14.25">
      <c r="A16" s="3355"/>
      <c r="B16" s="3356"/>
      <c r="C16" s="3366"/>
      <c r="D16" s="3367"/>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31237</v>
      </c>
      <c r="D19" s="271">
        <f ca="1">SUMIF(INDIRECT("'"&amp;D4&amp;"'"&amp;"!A:A"),结果表!B19,INDIRECT("'"&amp;D4&amp;"'"&amp;"!B:B"))</f>
        <v>39752</v>
      </c>
      <c r="E19" s="268" t="s">
        <v>323</v>
      </c>
      <c r="F19" s="269" t="s">
        <v>322</v>
      </c>
      <c r="G19" s="272">
        <f ca="1">ROUND(C19*$C$18+D19*$D$18,0)</f>
        <v>35495</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2474</v>
      </c>
      <c r="D20" s="277">
        <f ca="1">SUMIF(INDIRECT("'"&amp;D4&amp;"'"&amp;"!A:A"),结果表!B20,INDIRECT("'"&amp;D4&amp;"'"&amp;"!B:B"))</f>
        <v>3148</v>
      </c>
      <c r="E20" s="274"/>
      <c r="F20" s="275" t="s">
        <v>325</v>
      </c>
      <c r="G20" s="278">
        <f ca="1">ROUND(C20*$C$18+D20*$D$18,0)</f>
        <v>2811</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7669</v>
      </c>
      <c r="D21" s="151">
        <f ca="1">SUMIF(INDIRECT("'"&amp;D4&amp;"'"&amp;"!A:A"),结果表!B21,INDIRECT("'"&amp;D4&amp;"'"&amp;"!B:B"))</f>
        <v>9760</v>
      </c>
      <c r="E21" s="274"/>
      <c r="F21" s="280" t="s">
        <v>327</v>
      </c>
      <c r="G21" s="282">
        <f ca="1">ROUND(C21*$C$18+D21*$D$18,0)</f>
        <v>8715</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0.27259339885392331</v>
      </c>
      <c r="E22" s="284"/>
      <c r="F22" s="285"/>
      <c r="G22" s="286">
        <f ca="1">ROUND(G19/('数据-汇总表'!D3/666.67),0)</f>
        <v>581</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0"/>
      <c r="B25" s="1321" t="s">
        <v>331</v>
      </c>
      <c r="C25" s="290">
        <f>IF(B30=0,0,C30)</f>
        <v>0</v>
      </c>
      <c r="D25" s="291"/>
      <c r="E25" s="311"/>
      <c r="F25" s="311"/>
      <c r="G25" s="311"/>
      <c r="H25" s="311"/>
      <c r="I25" s="311"/>
      <c r="J25" s="2030"/>
      <c r="K25" s="1255" t="str">
        <f ca="1">项目基本情况!B16&amp;"国有建设用地使用权价格："&amp;O38&amp;"万元"</f>
        <v>出让国有建设用地使用权价格：35495万元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大写金额：人民币叁亿伍仟肆佰玖拾伍万元整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单位面积地价：8715元/平方米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楼面地价：2811元/平方米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2" t="s">
        <v>336</v>
      </c>
      <c r="B30" s="309"/>
      <c r="C30" s="309"/>
      <c r="D30" s="310"/>
      <c r="E30" s="3163"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1689</v>
      </c>
      <c r="C32" s="1383">
        <f ca="1">G19-C24</f>
        <v>35495</v>
      </c>
      <c r="D32" s="1384" t="s">
        <v>1690</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1691</v>
      </c>
      <c r="C33" s="264">
        <f ca="1">ROUND(C32*10000/'数据-汇总表'!E3,0)</f>
        <v>2811</v>
      </c>
      <c r="D33" s="1386" t="s">
        <v>1692</v>
      </c>
      <c r="E33" s="332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8715</v>
      </c>
      <c r="D34" s="1388" t="s">
        <v>1692</v>
      </c>
      <c r="E34" s="332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581</v>
      </c>
      <c r="D35" s="1391" t="s">
        <v>1694</v>
      </c>
      <c r="E35" s="3330"/>
      <c r="F35" s="301" t="s">
        <v>342</v>
      </c>
      <c r="G35" s="982"/>
      <c r="H35" s="981" t="s">
        <v>343</v>
      </c>
      <c r="I35" s="311"/>
      <c r="J35" s="2030"/>
      <c r="K35" s="3334" t="s">
        <v>350</v>
      </c>
      <c r="L35" s="3334" t="s">
        <v>351</v>
      </c>
      <c r="M35" s="1264" t="s">
        <v>352</v>
      </c>
      <c r="N35" s="3334" t="s">
        <v>353</v>
      </c>
      <c r="O35" s="3334" t="s">
        <v>354</v>
      </c>
      <c r="P35" s="2030"/>
      <c r="V35" s="2030"/>
    </row>
    <row r="36" spans="1:26" ht="16.5" customHeight="1">
      <c r="A36" s="303" t="s">
        <v>344</v>
      </c>
      <c r="B36" s="304" t="s">
        <v>333</v>
      </c>
      <c r="C36" s="305" t="s">
        <v>345</v>
      </c>
      <c r="D36" s="305" t="s">
        <v>346</v>
      </c>
      <c r="E36" s="306" t="s">
        <v>347</v>
      </c>
      <c r="F36" s="311"/>
      <c r="G36" s="311"/>
      <c r="H36" s="311"/>
      <c r="I36" s="311"/>
      <c r="J36" s="2032"/>
      <c r="K36" s="3335"/>
      <c r="L36" s="3335"/>
      <c r="M36" s="1266" t="s">
        <v>355</v>
      </c>
      <c r="N36" s="3335"/>
      <c r="O36" s="3335"/>
      <c r="P36" s="2030"/>
      <c r="V36" s="2030"/>
    </row>
    <row r="37" spans="1:26" ht="16.5" customHeight="1" thickBot="1">
      <c r="A37" s="1260" t="s">
        <v>348</v>
      </c>
      <c r="B37" s="307"/>
      <c r="C37" s="294"/>
      <c r="D37" s="294"/>
      <c r="E37" s="295"/>
      <c r="F37" s="311"/>
      <c r="G37" s="311"/>
      <c r="H37" s="311"/>
      <c r="I37" s="311"/>
      <c r="J37" s="2032"/>
      <c r="K37" s="3336"/>
      <c r="L37" s="3336"/>
      <c r="M37" s="1267"/>
      <c r="N37" s="3336"/>
      <c r="O37" s="3336"/>
      <c r="P37" s="2030"/>
      <c r="V37" s="2030"/>
    </row>
    <row r="38" spans="1:26" ht="16.5" customHeight="1" thickBot="1">
      <c r="A38" s="1260" t="s">
        <v>349</v>
      </c>
      <c r="B38" s="307"/>
      <c r="C38" s="294"/>
      <c r="D38" s="294"/>
      <c r="E38" s="295"/>
      <c r="F38" s="311"/>
      <c r="G38" s="311"/>
      <c r="H38" s="311"/>
      <c r="I38" s="311"/>
      <c r="J38" s="2032"/>
      <c r="K38" s="1268">
        <f>'数据-汇总表'!D3</f>
        <v>40729.97</v>
      </c>
      <c r="L38" s="1269">
        <f>'数据-汇总表'!E3</f>
        <v>126262.9</v>
      </c>
      <c r="M38" s="1269">
        <f ca="1">C34</f>
        <v>8715</v>
      </c>
      <c r="N38" s="1269">
        <f ca="1">C33</f>
        <v>2811</v>
      </c>
      <c r="O38" s="1270">
        <f ca="1">C32</f>
        <v>35495</v>
      </c>
      <c r="P38" s="2030"/>
      <c r="V38" s="2030"/>
    </row>
    <row r="39" spans="1:26" ht="16.5" customHeight="1" thickBot="1">
      <c r="A39" s="1265"/>
      <c r="B39" s="308"/>
      <c r="C39" s="309"/>
      <c r="D39" s="309"/>
      <c r="E39" s="310"/>
      <c r="F39" s="311"/>
      <c r="G39" s="311"/>
      <c r="H39" s="311"/>
      <c r="I39" s="311"/>
      <c r="J39" s="2032"/>
      <c r="K39" s="3311" t="str">
        <f>MID(A44,3,LEN(A44)-2)</f>
        <v/>
      </c>
      <c r="L39" s="3312"/>
      <c r="M39" s="3312"/>
      <c r="N39" s="3313"/>
      <c r="O39" s="1393" t="str">
        <f>C44</f>
        <v>——</v>
      </c>
      <c r="P39" s="2030"/>
      <c r="V39" s="2030"/>
    </row>
    <row r="40" spans="1:26" ht="19.5" thickBot="1">
      <c r="A40" s="104" t="s">
        <v>873</v>
      </c>
      <c r="B40" s="311"/>
      <c r="C40" s="311"/>
      <c r="D40" s="311"/>
      <c r="E40" s="311"/>
      <c r="F40" s="311"/>
      <c r="G40" s="311"/>
      <c r="H40" s="311"/>
      <c r="I40" s="311"/>
      <c r="J40" s="2032"/>
      <c r="K40" s="3311" t="str">
        <f t="shared" ref="K40:K41" si="0">MID(A45,3,LEN(A45)-2)</f>
        <v/>
      </c>
      <c r="L40" s="3312"/>
      <c r="M40" s="3312"/>
      <c r="N40" s="3313"/>
      <c r="O40" s="1393" t="str">
        <f>C45</f>
        <v>——</v>
      </c>
      <c r="P40" s="2030"/>
      <c r="V40" s="2030"/>
    </row>
    <row r="41" spans="1:26" ht="16.5" thickBot="1">
      <c r="A41" s="312" t="s">
        <v>356</v>
      </c>
      <c r="B41" s="313"/>
      <c r="C41" s="314" t="s">
        <v>357</v>
      </c>
      <c r="D41" s="315" t="s">
        <v>358</v>
      </c>
      <c r="E41" s="315" t="s">
        <v>359</v>
      </c>
      <c r="F41" s="316" t="s">
        <v>360</v>
      </c>
      <c r="G41" s="311"/>
      <c r="H41" s="311"/>
      <c r="I41" s="311"/>
      <c r="J41" s="2032"/>
      <c r="K41" s="3311" t="str">
        <f t="shared" si="0"/>
        <v/>
      </c>
      <c r="L41" s="3312"/>
      <c r="M41" s="3312"/>
      <c r="N41" s="3313"/>
      <c r="O41" s="1393" t="str">
        <f>C46</f>
        <v>——</v>
      </c>
      <c r="P41" s="2030"/>
      <c r="V41" s="2030"/>
    </row>
    <row r="42" spans="1:26" ht="29.25">
      <c r="A42" s="3371" t="s">
        <v>2067</v>
      </c>
      <c r="B42" s="3372"/>
      <c r="C42" s="264">
        <f ca="1">C32</f>
        <v>35495</v>
      </c>
      <c r="D42" s="317">
        <f ca="1">C33</f>
        <v>2811</v>
      </c>
      <c r="E42" s="317">
        <f ca="1">C34</f>
        <v>8715</v>
      </c>
      <c r="F42" s="318">
        <f ca="1">C35</f>
        <v>581</v>
      </c>
      <c r="G42" s="311"/>
      <c r="H42" s="311"/>
      <c r="I42" s="319"/>
      <c r="J42" s="2032"/>
      <c r="K42" s="1271" t="s">
        <v>361</v>
      </c>
      <c r="L42" s="2049" t="s">
        <v>362</v>
      </c>
      <c r="M42" s="1272" t="s">
        <v>363</v>
      </c>
      <c r="N42" s="2050" t="s">
        <v>364</v>
      </c>
      <c r="O42" s="2051" t="s">
        <v>365</v>
      </c>
      <c r="P42" s="2030"/>
      <c r="V42" s="2030"/>
    </row>
    <row r="43" spans="1:26" ht="30">
      <c r="A43" s="3381" t="s">
        <v>2729</v>
      </c>
      <c r="B43" s="3382"/>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31237</v>
      </c>
      <c r="M43" s="1275">
        <f>C18</f>
        <v>0.5</v>
      </c>
      <c r="N43" s="1276">
        <f ca="1">IF(N42="测算结果/万元",G19,G20)</f>
        <v>35495</v>
      </c>
      <c r="O43" s="1277">
        <f ca="1">IF(O42="最终结果/万元",C32,C33)</f>
        <v>35495</v>
      </c>
      <c r="P43" s="2030"/>
      <c r="V43" s="2030"/>
    </row>
    <row r="44" spans="1:26" ht="30.75" thickBot="1">
      <c r="A44" s="3371" t="str">
        <f>IF(OR(项目基本情况!E8="抵押价格",项目基本情况!E8="已注销及未注销"),"3.抵押价格","——")</f>
        <v>——</v>
      </c>
      <c r="B44" s="3372"/>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39752</v>
      </c>
      <c r="M44" s="1280">
        <f>D18</f>
        <v>0.5</v>
      </c>
      <c r="N44" s="1281"/>
      <c r="O44" s="1282"/>
      <c r="P44" s="2030"/>
      <c r="V44" s="2030"/>
    </row>
    <row r="45" spans="1:26" ht="15">
      <c r="A45" s="3376" t="str">
        <f>IF(项目基本情况!E8="已注销及未注销","4.抵押担保权已注销时的抵押价格",IF(项目基本情况!E8="已注销","3.抵押担保权已注销时的抵押价格","——"))</f>
        <v>——</v>
      </c>
      <c r="B45" s="337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3" t="str">
        <f>IF(项目基本情况!E9="抵押净值",IF(A45="——","4.抵押净值","5.抵押净值"),"——")</f>
        <v>——</v>
      </c>
      <c r="B46" s="3374"/>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39" t="s">
        <v>374</v>
      </c>
      <c r="B63" s="3340"/>
      <c r="C63" s="3341"/>
      <c r="D63" s="341">
        <f ca="1">ROUND(C42*F63,0)</f>
        <v>21297</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78" t="s">
        <v>378</v>
      </c>
      <c r="B64" s="3379"/>
      <c r="C64" s="3379"/>
      <c r="D64" s="3379"/>
      <c r="E64" s="3379"/>
      <c r="F64" s="3379"/>
      <c r="G64" s="338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75" t="s">
        <v>386</v>
      </c>
      <c r="B66" s="3346"/>
      <c r="C66" s="3346"/>
      <c r="D66" s="261">
        <f ca="1">IF(H66="情况1",0,IF(H66="情况2",D70,IF(H66="情况3",D71,IF(H66="情况4",D72))))</f>
        <v>1136</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15" t="s">
        <v>385</v>
      </c>
      <c r="M66" s="3316"/>
      <c r="N66" s="2484"/>
      <c r="O66" s="2485"/>
      <c r="P66" s="2486"/>
      <c r="Q66" s="2030"/>
      <c r="R66" s="2030"/>
      <c r="S66" s="2030"/>
      <c r="T66" s="2030"/>
      <c r="U66" s="2030"/>
      <c r="V66" s="2030"/>
    </row>
    <row r="67" spans="1:22" ht="25.5" customHeight="1">
      <c r="A67" s="352" t="s">
        <v>390</v>
      </c>
      <c r="B67" s="3358" t="s">
        <v>391</v>
      </c>
      <c r="C67" s="3358"/>
      <c r="D67" s="353">
        <v>0</v>
      </c>
      <c r="E67" s="41" t="s">
        <v>392</v>
      </c>
      <c r="F67" s="62" t="s">
        <v>21</v>
      </c>
      <c r="G67" s="3342"/>
      <c r="H67" s="311"/>
      <c r="I67" s="1292"/>
      <c r="J67" s="2037"/>
      <c r="K67" s="1978">
        <v>2</v>
      </c>
      <c r="L67" s="3314" t="s">
        <v>389</v>
      </c>
      <c r="M67" s="3314"/>
      <c r="N67" s="1325">
        <f>'数据-取费表'!B2</f>
        <v>43210</v>
      </c>
      <c r="O67" s="1325"/>
      <c r="P67" s="1325"/>
      <c r="Q67" s="2030"/>
      <c r="R67" s="2030"/>
      <c r="S67" s="2030"/>
      <c r="T67" s="2030"/>
      <c r="U67" s="2030"/>
      <c r="V67" s="2030"/>
    </row>
    <row r="68" spans="1:22" ht="25.5" customHeight="1">
      <c r="A68" s="354"/>
      <c r="B68" s="3358" t="s">
        <v>394</v>
      </c>
      <c r="C68" s="3358"/>
      <c r="D68" s="355"/>
      <c r="E68" s="77"/>
      <c r="F68" s="356"/>
      <c r="G68" s="3343"/>
      <c r="H68" s="311"/>
      <c r="I68" s="1292"/>
      <c r="J68" s="2037"/>
      <c r="K68" s="1978">
        <v>3</v>
      </c>
      <c r="L68" s="3314" t="s">
        <v>393</v>
      </c>
      <c r="M68" s="3314"/>
      <c r="N68" s="1293">
        <f ca="1">C42</f>
        <v>35495</v>
      </c>
      <c r="O68" s="1293"/>
      <c r="P68" s="1293"/>
      <c r="Q68" s="2030"/>
      <c r="R68" s="2030"/>
      <c r="S68" s="2030"/>
      <c r="T68" s="2030"/>
      <c r="U68" s="2030"/>
      <c r="V68" s="2030"/>
    </row>
    <row r="69" spans="1:22" ht="12" customHeight="1">
      <c r="A69" s="357"/>
      <c r="B69" s="3358" t="s">
        <v>395</v>
      </c>
      <c r="C69" s="3358"/>
      <c r="D69" s="358"/>
      <c r="E69" s="73"/>
      <c r="F69" s="356"/>
      <c r="G69" s="3344"/>
      <c r="H69" s="311"/>
      <c r="I69" s="1292"/>
      <c r="J69" s="2037"/>
      <c r="K69" s="1294">
        <v>4</v>
      </c>
      <c r="L69" s="3320" t="s">
        <v>2882</v>
      </c>
      <c r="M69" s="3321"/>
      <c r="N69" s="1295" t="str">
        <f>C44</f>
        <v>——</v>
      </c>
      <c r="O69" s="1295"/>
      <c r="P69" s="1295"/>
      <c r="Q69" s="2030"/>
      <c r="R69" s="2030"/>
      <c r="S69" s="2030"/>
      <c r="T69" s="2030"/>
      <c r="U69" s="2030"/>
      <c r="V69" s="2030"/>
    </row>
    <row r="70" spans="1:22" ht="24" customHeight="1">
      <c r="A70" s="359" t="s">
        <v>396</v>
      </c>
      <c r="B70" s="3358" t="s">
        <v>397</v>
      </c>
      <c r="C70" s="3358"/>
      <c r="D70" s="358">
        <f ca="1">ROUND(D63*'数据-取费表'!B41/(1+'数据-取费表'!C42),0)</f>
        <v>1136</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357" t="s">
        <v>405</v>
      </c>
      <c r="C71" s="3369"/>
      <c r="D71" s="358">
        <f ca="1">ROUND(D63*'数据-取费表'!B41/(1+'数据-取费表'!C42),0)</f>
        <v>1136</v>
      </c>
      <c r="E71" s="17" t="s">
        <v>398</v>
      </c>
      <c r="F71" s="360">
        <f>'数据-取费表'!B41</f>
        <v>5.6000000000000001E-2</v>
      </c>
      <c r="G71" s="361"/>
      <c r="H71" s="311"/>
      <c r="I71" s="1292"/>
      <c r="J71" s="2037"/>
      <c r="K71" s="3087" t="s">
        <v>399</v>
      </c>
      <c r="L71" s="3322" t="s">
        <v>400</v>
      </c>
      <c r="M71" s="3322"/>
      <c r="N71" s="3087" t="s">
        <v>401</v>
      </c>
      <c r="O71" s="3087" t="s">
        <v>402</v>
      </c>
      <c r="P71" s="3087" t="s">
        <v>403</v>
      </c>
      <c r="Q71" s="2030"/>
      <c r="R71" s="2030"/>
      <c r="S71" s="2030"/>
      <c r="T71" s="2030"/>
      <c r="U71" s="2030"/>
      <c r="V71" s="2030"/>
    </row>
    <row r="72" spans="1:22" ht="12" customHeight="1">
      <c r="A72" s="359" t="s">
        <v>407</v>
      </c>
      <c r="B72" s="3357" t="s">
        <v>408</v>
      </c>
      <c r="C72" s="3369"/>
      <c r="D72" s="358">
        <f ca="1">C86</f>
        <v>1024</v>
      </c>
      <c r="E72" s="73" t="s">
        <v>409</v>
      </c>
      <c r="F72" s="360">
        <f>'数据-取费表'!B41</f>
        <v>5.6000000000000001E-2</v>
      </c>
      <c r="G72" s="361"/>
      <c r="H72" s="1298"/>
      <c r="I72" s="1292"/>
      <c r="J72" s="2037"/>
      <c r="K72" s="1978">
        <v>1</v>
      </c>
      <c r="L72" s="3319" t="s">
        <v>406</v>
      </c>
      <c r="M72" s="3319"/>
      <c r="N72" s="1296">
        <f ca="1">D66</f>
        <v>1136</v>
      </c>
      <c r="O72" s="1861" t="str">
        <f>E66</f>
        <v>销售额×税（费）率</v>
      </c>
      <c r="P72" s="1297">
        <f>F66</f>
        <v>5.6000000000000001E-2</v>
      </c>
      <c r="Q72" s="2030"/>
      <c r="R72" s="2030"/>
      <c r="S72" s="2030"/>
      <c r="T72" s="2030"/>
      <c r="U72" s="2030"/>
      <c r="V72" s="2030"/>
    </row>
    <row r="73" spans="1:22" ht="24" customHeight="1">
      <c r="A73" s="3345" t="s">
        <v>411</v>
      </c>
      <c r="B73" s="3346"/>
      <c r="C73" s="3346"/>
      <c r="D73" s="362">
        <f>IF(H73="个人住宅",0,ROUND(D63*I73,0))</f>
        <v>0</v>
      </c>
      <c r="E73" s="17" t="s">
        <v>412</v>
      </c>
      <c r="F73" s="360" t="str">
        <f>IF(H73="正常",I73,"免征")</f>
        <v>免征</v>
      </c>
      <c r="G73" s="361"/>
      <c r="H73" s="191" t="s">
        <v>2454</v>
      </c>
      <c r="I73" s="360">
        <f>'数据-取费表'!B49</f>
        <v>5.0000000000000001E-4</v>
      </c>
      <c r="J73" s="2037"/>
      <c r="K73" s="1978">
        <v>2</v>
      </c>
      <c r="L73" s="3319" t="s">
        <v>410</v>
      </c>
      <c r="M73" s="3319"/>
      <c r="N73" s="1296">
        <f t="shared" ref="N73:P74" si="1">D73</f>
        <v>0</v>
      </c>
      <c r="O73" s="1861" t="str">
        <f t="shared" si="1"/>
        <v>销售额×税（费）率</v>
      </c>
      <c r="P73" s="1297" t="str">
        <f t="shared" si="1"/>
        <v>免征</v>
      </c>
      <c r="Q73" s="2030"/>
      <c r="R73" s="2030"/>
      <c r="S73" s="2030"/>
      <c r="T73" s="2030"/>
      <c r="U73" s="2030"/>
      <c r="V73" s="2030"/>
    </row>
    <row r="74" spans="1:22" ht="24.75">
      <c r="A74" s="3345" t="s">
        <v>415</v>
      </c>
      <c r="B74" s="3346"/>
      <c r="C74" s="3346"/>
      <c r="D74" s="362">
        <f ca="1">IF(H74="个人住宅",D75,D76)</f>
        <v>11394</v>
      </c>
      <c r="E74" s="17" t="s">
        <v>416</v>
      </c>
      <c r="F74" s="360" t="str">
        <f>IF(H74="正常",F76,"免征")</f>
        <v>——</v>
      </c>
      <c r="G74" s="983" t="s">
        <v>417</v>
      </c>
      <c r="H74" s="363" t="s">
        <v>413</v>
      </c>
      <c r="I74" s="42"/>
      <c r="J74" s="2037"/>
      <c r="K74" s="1978">
        <v>3</v>
      </c>
      <c r="L74" s="3319" t="s">
        <v>414</v>
      </c>
      <c r="M74" s="3319"/>
      <c r="N74" s="1296">
        <f t="shared" ca="1" si="1"/>
        <v>11394</v>
      </c>
      <c r="O74" s="1861" t="str">
        <f t="shared" si="1"/>
        <v>增值额×税（费）率</v>
      </c>
      <c r="P74" s="1299" t="str">
        <f t="shared" si="1"/>
        <v>——</v>
      </c>
      <c r="Q74" s="2030"/>
      <c r="R74" s="2030"/>
      <c r="S74" s="2030"/>
      <c r="T74" s="2030"/>
      <c r="U74" s="2030"/>
      <c r="V74" s="2030"/>
    </row>
    <row r="75" spans="1:22" ht="24">
      <c r="A75" s="359" t="s">
        <v>418</v>
      </c>
      <c r="B75" s="3326" t="s">
        <v>419</v>
      </c>
      <c r="C75" s="3327"/>
      <c r="D75" s="364">
        <v>0</v>
      </c>
      <c r="E75" s="41" t="s">
        <v>420</v>
      </c>
      <c r="F75" s="365"/>
      <c r="G75" s="361"/>
      <c r="H75" s="42"/>
      <c r="I75" s="42"/>
      <c r="J75" s="2037"/>
      <c r="K75" s="3080">
        <f>IF(H77="非个人房产","",4)</f>
        <v>4</v>
      </c>
      <c r="L75" s="3319" t="str">
        <f>IF(H77="非个人房产","——","个人所得税")</f>
        <v>个人所得税</v>
      </c>
      <c r="M75" s="3319"/>
      <c r="N75" s="1300">
        <f ca="1">D77</f>
        <v>213</v>
      </c>
      <c r="O75" s="1874" t="str">
        <f>E77</f>
        <v>销售额×税（费）率</v>
      </c>
      <c r="P75" s="1301">
        <f>F77</f>
        <v>0.01</v>
      </c>
      <c r="Q75" s="2030"/>
      <c r="R75" s="2030"/>
      <c r="S75" s="2030"/>
      <c r="T75" s="2030"/>
      <c r="U75" s="2030"/>
      <c r="V75" s="2030"/>
    </row>
    <row r="76" spans="1:22" ht="24.75">
      <c r="A76" s="359" t="s">
        <v>396</v>
      </c>
      <c r="B76" s="3326" t="s">
        <v>422</v>
      </c>
      <c r="C76" s="3368"/>
      <c r="D76" s="362">
        <f ca="1">IF(H76="转让取得",C99,C115)</f>
        <v>11394</v>
      </c>
      <c r="E76" s="17" t="s">
        <v>423</v>
      </c>
      <c r="F76" s="53" t="s">
        <v>21</v>
      </c>
      <c r="G76" s="361"/>
      <c r="H76" s="363" t="s">
        <v>424</v>
      </c>
      <c r="I76" s="42"/>
      <c r="J76" s="2037"/>
      <c r="K76" s="3080" t="str">
        <f>IF(项目基本情况!K6="上海银行",IF(K75="",4,K75+1),"")</f>
        <v/>
      </c>
      <c r="L76" s="3307" t="str">
        <f>IF(项目基本情况!K6="上海银行","其他处置费用","")</f>
        <v/>
      </c>
      <c r="M76" s="3308"/>
      <c r="N76" s="1296" t="str">
        <f>IF(项目基本情况!K6="上海银行",N89,"")</f>
        <v/>
      </c>
      <c r="O76" s="3309" t="str">
        <f>IF(项目基本情况!K6="上海银行","包含处置中涉及的律师、诉讼、拍卖、评估等费用","")</f>
        <v/>
      </c>
      <c r="P76" s="3310"/>
      <c r="Q76" s="2030"/>
      <c r="R76" s="2030"/>
      <c r="S76" s="2030"/>
      <c r="T76" s="2030"/>
      <c r="U76" s="2030"/>
      <c r="V76" s="2030"/>
    </row>
    <row r="77" spans="1:22" ht="26.25" thickBot="1">
      <c r="A77" s="3337" t="s">
        <v>426</v>
      </c>
      <c r="B77" s="3338"/>
      <c r="C77" s="3338"/>
      <c r="D77" s="366">
        <f ca="1">IF(H77="非个人房产","——",IF(H77="个人住宅",0,ROUND(D63*I77,0)))</f>
        <v>213</v>
      </c>
      <c r="E77" s="367" t="str">
        <f>IF(H77="非个人房产","——","销售额×税（费）率")</f>
        <v>销售额×税（费）率</v>
      </c>
      <c r="F77" s="368">
        <f>IF(H77="非个人房产","——",IF(H77="个人住宅","免征",I77))</f>
        <v>0.01</v>
      </c>
      <c r="G77" s="984" t="s">
        <v>417</v>
      </c>
      <c r="H77" s="363" t="s">
        <v>2883</v>
      </c>
      <c r="I77" s="369">
        <v>0.01</v>
      </c>
      <c r="J77" s="2037"/>
      <c r="K77" s="3333">
        <f>IF(AND(K75="",K76=""),4,IF(项目基本情况!K6="上海银行",K76+1,K75+1))</f>
        <v>5</v>
      </c>
      <c r="L77" s="3319" t="s">
        <v>2884</v>
      </c>
      <c r="M77" s="3086" t="s">
        <v>421</v>
      </c>
      <c r="N77" s="1302"/>
      <c r="O77" s="1303">
        <f ca="1">SUMIF(N72:N76,"&lt;9e307")</f>
        <v>12743</v>
      </c>
      <c r="P77" s="1304"/>
      <c r="Q77" s="3084" t="e">
        <f ca="1">O77/N69</f>
        <v>#VALUE!</v>
      </c>
      <c r="R77" s="2030"/>
      <c r="S77" s="2030"/>
      <c r="T77" s="2030"/>
      <c r="U77" s="2030"/>
      <c r="V77" s="2030"/>
    </row>
    <row r="78" spans="1:22" ht="12" customHeight="1">
      <c r="A78" s="1305"/>
      <c r="B78" s="311"/>
      <c r="C78" s="311"/>
      <c r="D78" s="311"/>
      <c r="E78" s="42"/>
      <c r="F78" s="42"/>
      <c r="G78" s="42"/>
      <c r="H78" s="1003"/>
      <c r="I78" s="311"/>
      <c r="J78" s="2037"/>
      <c r="K78" s="3333"/>
      <c r="L78" s="3319"/>
      <c r="M78" s="3086" t="s">
        <v>425</v>
      </c>
      <c r="N78" s="1302"/>
      <c r="O78" s="1303" t="str">
        <f ca="1">NUMBERSTRING(INT(O77*10000),2)&amp;"元整"</f>
        <v>壹亿贰仟柒佰肆拾叁万元整</v>
      </c>
      <c r="P78" s="1304"/>
      <c r="Q78" s="2030"/>
      <c r="R78" s="2030"/>
      <c r="S78" s="2030"/>
      <c r="T78" s="2030"/>
      <c r="U78" s="2030"/>
      <c r="V78" s="2030"/>
    </row>
    <row r="79" spans="1:22" ht="13.5" thickBot="1">
      <c r="A79" s="3323" t="s">
        <v>427</v>
      </c>
      <c r="B79" s="3323"/>
      <c r="C79" s="3323"/>
      <c r="D79" s="3323"/>
      <c r="E79" s="3323"/>
      <c r="F79" s="42"/>
      <c r="G79" s="42"/>
      <c r="H79" s="1003"/>
      <c r="I79" s="311"/>
      <c r="J79" s="2037"/>
      <c r="K79" s="3317">
        <f>K77+1</f>
        <v>6</v>
      </c>
      <c r="L79" s="3319" t="s">
        <v>2885</v>
      </c>
      <c r="M79" s="3086" t="s">
        <v>421</v>
      </c>
      <c r="N79" s="1302"/>
      <c r="O79" s="1303" t="e">
        <f ca="1">N69-O77</f>
        <v>#VALUE!</v>
      </c>
      <c r="P79" s="1304"/>
      <c r="Q79" s="2030"/>
      <c r="R79" s="2030"/>
      <c r="S79" s="2030"/>
      <c r="T79" s="2030"/>
      <c r="U79" s="2030"/>
      <c r="V79" s="2030"/>
    </row>
    <row r="80" spans="1:22" ht="12.75">
      <c r="A80" s="3324" t="s">
        <v>428</v>
      </c>
      <c r="B80" s="3325"/>
      <c r="C80" s="994"/>
      <c r="D80" s="994" t="s">
        <v>429</v>
      </c>
      <c r="E80" s="370" t="s">
        <v>430</v>
      </c>
      <c r="F80" s="42"/>
      <c r="G80" s="42"/>
      <c r="H80" s="1003"/>
      <c r="I80" s="311"/>
      <c r="J80" s="2030"/>
      <c r="K80" s="3318"/>
      <c r="L80" s="3319"/>
      <c r="M80" s="3086"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20283</v>
      </c>
      <c r="D81" s="373"/>
      <c r="E81" s="374"/>
      <c r="F81" s="42"/>
      <c r="G81" s="42"/>
      <c r="H81" s="1003"/>
      <c r="I81" s="311"/>
      <c r="J81" s="2030"/>
      <c r="K81" s="3080">
        <f>K79+1</f>
        <v>7</v>
      </c>
      <c r="L81" s="3331" t="s">
        <v>2886</v>
      </c>
      <c r="M81" s="3332"/>
      <c r="N81" s="1306"/>
      <c r="O81" s="1307" t="e">
        <f ca="1">ROUND(O79*10000/'数据-汇总表'!E3,0)</f>
        <v>#VALUE!</v>
      </c>
      <c r="P81" s="1308"/>
      <c r="Q81" s="2030"/>
      <c r="R81" s="2030"/>
      <c r="S81" s="2030"/>
      <c r="T81" s="2030"/>
      <c r="U81" s="2030"/>
      <c r="V81" s="2030"/>
    </row>
    <row r="82" spans="1:26" ht="13.5" thickTop="1">
      <c r="A82" s="375" t="s">
        <v>1825</v>
      </c>
      <c r="B82" s="376" t="s">
        <v>432</v>
      </c>
      <c r="C82" s="377">
        <f ca="1">D63</f>
        <v>21297</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06" t="s">
        <v>2873</v>
      </c>
      <c r="L83" s="3092" t="s">
        <v>2874</v>
      </c>
      <c r="M83" s="3082" t="e">
        <f>IF(N69&gt;10000,N69*0.5%,IF(AND(N69&gt;1000,N69&lt;=10000),N69*1%,IF(AND(N69&gt;100,N69&lt;=1000),N69*3%,IF(AND(N69&gt;10,N69&lt;=100),N69*5%,N69*8%))))</f>
        <v>#VALUE!</v>
      </c>
      <c r="N83" s="53" t="e">
        <f>ROUND(M83,1)</f>
        <v>#VALUE!</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306"/>
      <c r="L84" s="3092" t="s">
        <v>2875</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1828</v>
      </c>
      <c r="B85" s="382" t="s">
        <v>435</v>
      </c>
      <c r="C85" s="385">
        <f ca="1">C81-C84</f>
        <v>18283</v>
      </c>
      <c r="D85" s="378" t="s">
        <v>19</v>
      </c>
      <c r="E85" s="379"/>
      <c r="F85" s="42"/>
      <c r="G85" s="42"/>
      <c r="H85" s="1003"/>
      <c r="I85" s="311"/>
      <c r="J85" s="2030"/>
      <c r="K85" s="3306"/>
      <c r="L85" s="3092" t="s">
        <v>2877</v>
      </c>
      <c r="M85" s="3082"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1829</v>
      </c>
      <c r="B86" s="387" t="s">
        <v>436</v>
      </c>
      <c r="C86" s="388">
        <f ca="1">IF(C85&lt;=0,0,ROUND(C85*D86,0))</f>
        <v>1024</v>
      </c>
      <c r="D86" s="389">
        <f>'数据-取费表'!B41</f>
        <v>5.6000000000000001E-2</v>
      </c>
      <c r="E86" s="390"/>
      <c r="F86" s="42"/>
      <c r="G86" s="42"/>
      <c r="H86" s="1003"/>
      <c r="I86" s="311"/>
      <c r="J86" s="2030"/>
      <c r="K86" s="3306"/>
      <c r="L86" s="3092" t="s">
        <v>2878</v>
      </c>
      <c r="M86" s="3082"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6"/>
      <c r="L87" s="3092" t="s">
        <v>2880</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30"/>
      <c r="R87" s="2030"/>
      <c r="S87" s="2030"/>
      <c r="T87" s="2030"/>
      <c r="U87" s="2030"/>
      <c r="V87" s="2030"/>
      <c r="W87" s="292"/>
      <c r="X87" s="292"/>
      <c r="Y87" s="292"/>
      <c r="Z87" s="292"/>
    </row>
    <row r="88" spans="1:26" s="1314" customFormat="1" ht="15" thickBot="1">
      <c r="A88" s="3360" t="s">
        <v>437</v>
      </c>
      <c r="B88" s="3361"/>
      <c r="C88" s="3361"/>
      <c r="D88" s="3361"/>
      <c r="E88" s="3361"/>
      <c r="F88" s="3361"/>
      <c r="G88" s="3361"/>
      <c r="H88" s="3361"/>
      <c r="I88" s="1315"/>
      <c r="J88" s="2038"/>
      <c r="K88" s="3306"/>
      <c r="L88" s="3092" t="s">
        <v>2881</v>
      </c>
      <c r="M88" s="3082" t="e">
        <f>IF(N69&gt;10000,N69*0.5%,IF(AND(N69&gt;5000,N69&lt;=10000),N69*1%,IF(AND(N69&gt;1000,N69&lt;=5000),N69*2%,IF(AND(N69&gt;200,N69&lt;=1000),N69*3%,N69*5%))))</f>
        <v>#VALUE!</v>
      </c>
      <c r="N88" s="53" t="e">
        <f>ROUND(M88,1)</f>
        <v>#VALUE!</v>
      </c>
      <c r="O88" s="3085"/>
      <c r="P88" s="11"/>
      <c r="Q88" s="2035"/>
      <c r="R88" s="2035"/>
      <c r="S88" s="2035"/>
      <c r="T88" s="2035"/>
      <c r="U88" s="2035"/>
      <c r="V88" s="2035"/>
      <c r="W88" s="2039"/>
      <c r="X88" s="2039"/>
      <c r="Y88" s="2039"/>
      <c r="Z88" s="2039"/>
    </row>
    <row r="89" spans="1:26" s="1314" customFormat="1" ht="14.25">
      <c r="A89" s="3324" t="s">
        <v>428</v>
      </c>
      <c r="B89" s="3325"/>
      <c r="C89" s="994"/>
      <c r="D89" s="994" t="s">
        <v>429</v>
      </c>
      <c r="E89" s="391" t="s">
        <v>438</v>
      </c>
      <c r="F89" s="392"/>
      <c r="G89" s="392"/>
      <c r="H89" s="393"/>
      <c r="I89" s="1316"/>
      <c r="J89" s="2040"/>
      <c r="K89" s="3306"/>
      <c r="L89" s="3092" t="s">
        <v>27</v>
      </c>
      <c r="M89" s="3083"/>
      <c r="N89" s="53" t="e">
        <f>ROUND(SUM(N83:N88),0)</f>
        <v>#VALUE!</v>
      </c>
      <c r="O89" s="3093"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20283</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2703</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57" t="s">
        <v>447</v>
      </c>
      <c r="F94" s="3358"/>
      <c r="G94" s="3358"/>
      <c r="H94" s="3359"/>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122</v>
      </c>
      <c r="D96" s="406">
        <f>'数据-取费表'!B43</f>
        <v>6.000000000000001E-3</v>
      </c>
      <c r="E96" s="3347" t="s">
        <v>2427</v>
      </c>
      <c r="F96" s="3348"/>
      <c r="G96" s="3348"/>
      <c r="H96" s="3349"/>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17580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6.5038845726970029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9602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0" t="s">
        <v>454</v>
      </c>
      <c r="B101" s="3361"/>
      <c r="C101" s="3361"/>
      <c r="D101" s="3361"/>
      <c r="E101" s="3361"/>
      <c r="F101" s="3361"/>
      <c r="G101" s="3361"/>
      <c r="H101" s="336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4" t="s">
        <v>428</v>
      </c>
      <c r="B102" s="3325"/>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20283</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817</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50" t="s">
        <v>462</v>
      </c>
      <c r="F109" s="3348"/>
      <c r="G109" s="3348"/>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50" t="s">
        <v>464</v>
      </c>
      <c r="F110" s="3348"/>
      <c r="G110" s="3348"/>
      <c r="H110" s="3349"/>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122</v>
      </c>
      <c r="D111" s="406">
        <f>'数据-取费表'!B43</f>
        <v>6.000000000000001E-3</v>
      </c>
      <c r="E111" s="3347" t="s">
        <v>2427</v>
      </c>
      <c r="F111" s="3348"/>
      <c r="G111" s="3348"/>
      <c r="H111" s="3349"/>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50" t="s">
        <v>2452</v>
      </c>
      <c r="F112" s="3348"/>
      <c r="G112" s="3348"/>
      <c r="H112" s="3349"/>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19466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23.826193390452875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11394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36616</v>
      </c>
      <c r="D13" s="451"/>
      <c r="E13" s="365"/>
      <c r="F13" s="452"/>
      <c r="G13" s="444"/>
      <c r="H13" s="447"/>
      <c r="I13" s="447"/>
      <c r="J13" s="447"/>
      <c r="K13" s="448"/>
    </row>
    <row r="14" spans="1:41" s="2118" customFormat="1" ht="13.5" customHeight="1">
      <c r="A14" s="1634" t="s">
        <v>1850</v>
      </c>
      <c r="B14" s="449" t="s">
        <v>480</v>
      </c>
      <c r="C14" s="53">
        <f ca="1">ROUND(C13*F14,0)</f>
        <v>1098</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2525</v>
      </c>
      <c r="D16" s="451">
        <f ca="1">IF(B1="",'数据-汇总表'!E3,INDIRECT("'数据-取费表'!K"&amp;$K$1)+INDIRECT("'数据-取费表'!S"&amp;$K$1))</f>
        <v>126262.9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549</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40788</v>
      </c>
      <c r="D18" s="461"/>
      <c r="E18" s="462"/>
      <c r="F18" s="462"/>
      <c r="G18" s="1327" t="s">
        <v>2431</v>
      </c>
      <c r="H18" s="447"/>
      <c r="I18" s="447"/>
      <c r="J18" s="447"/>
      <c r="K18" s="448"/>
    </row>
    <row r="19" spans="1:14" s="2121" customFormat="1" ht="13.5" customHeight="1">
      <c r="A19" s="1635" t="s">
        <v>1855</v>
      </c>
      <c r="B19" s="459" t="s">
        <v>493</v>
      </c>
      <c r="C19" s="460">
        <f ca="1">ROUND(C18*F19,0)</f>
        <v>408</v>
      </c>
      <c r="D19" s="462"/>
      <c r="E19" s="462"/>
      <c r="F19" s="466">
        <f>'数据-取费表'!B37</f>
        <v>0.01</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1957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1957</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7415</v>
      </c>
      <c r="D24" s="489">
        <f ca="1">C26</f>
        <v>3.5999999999999999E-3</v>
      </c>
      <c r="E24" s="469" t="s">
        <v>507</v>
      </c>
      <c r="F24" s="479">
        <f ca="1">IF(B1="",'数据-取费表'!Q16,INDIRECT("'数据-取费表'!q"&amp;$K$1))</f>
        <v>0.18</v>
      </c>
      <c r="G24" s="444"/>
      <c r="H24" s="447"/>
      <c r="I24" s="447"/>
      <c r="J24" s="447"/>
      <c r="K24" s="448"/>
    </row>
    <row r="25" spans="1:14" s="2122" customFormat="1" ht="13.5" customHeight="1">
      <c r="A25" s="1634" t="s">
        <v>1849</v>
      </c>
      <c r="B25" s="1328" t="s">
        <v>2435</v>
      </c>
      <c r="C25" s="490">
        <f ca="1">ROUND((C18+C19)*F24,0)</f>
        <v>7415</v>
      </c>
      <c r="D25" s="472"/>
      <c r="E25" s="473"/>
      <c r="F25" s="480"/>
      <c r="G25" s="1326" t="s">
        <v>2432</v>
      </c>
      <c r="H25" s="457"/>
      <c r="I25" s="457"/>
      <c r="J25" s="457"/>
      <c r="K25" s="458"/>
    </row>
    <row r="26" spans="1:14" s="2122" customFormat="1" ht="13.5" customHeight="1">
      <c r="A26" s="1634" t="s">
        <v>1850</v>
      </c>
      <c r="B26" s="1328" t="s">
        <v>509</v>
      </c>
      <c r="C26" s="491">
        <f ca="1">ROUND(F20*F24,4)</f>
        <v>3.5999999999999999E-3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54840</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H31" sqref="H31"/>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31237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2474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7669</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511</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05" t="s">
        <v>522</v>
      </c>
      <c r="D6" s="3406"/>
      <c r="E6" s="3405" t="s">
        <v>523</v>
      </c>
      <c r="F6" s="3406"/>
      <c r="G6" s="3405" t="s">
        <v>524</v>
      </c>
      <c r="H6" s="3406"/>
      <c r="I6" s="3405" t="s">
        <v>525</v>
      </c>
      <c r="J6" s="3406"/>
      <c r="K6" s="514" t="s">
        <v>526</v>
      </c>
      <c r="L6" s="2135"/>
      <c r="M6" s="2134"/>
      <c r="N6" s="2134"/>
      <c r="O6" s="2136"/>
      <c r="P6" s="3407" t="s">
        <v>527</v>
      </c>
      <c r="Q6" s="3408"/>
      <c r="R6" s="3393" t="s">
        <v>523</v>
      </c>
      <c r="S6" s="3394"/>
      <c r="T6" s="3393" t="s">
        <v>524</v>
      </c>
      <c r="U6" s="3394"/>
      <c r="V6" s="3413" t="s">
        <v>525</v>
      </c>
      <c r="W6" s="3413"/>
      <c r="X6" s="1568"/>
      <c r="Y6" s="3393" t="s">
        <v>527</v>
      </c>
      <c r="Z6" s="3394"/>
      <c r="AA6" s="3388" t="s">
        <v>523</v>
      </c>
      <c r="AB6" s="3389" t="s">
        <v>524</v>
      </c>
      <c r="AC6" s="3388" t="s">
        <v>525</v>
      </c>
    </row>
    <row r="7" spans="1:30" ht="20.25">
      <c r="A7" s="515"/>
      <c r="B7" s="516"/>
      <c r="C7" s="3416" t="s">
        <v>2926</v>
      </c>
      <c r="D7" s="3417"/>
      <c r="E7" s="3416" t="str">
        <f>土地案例!A4</f>
        <v>白云区艳山红镇原氧化铝厂片区</v>
      </c>
      <c r="F7" s="3417"/>
      <c r="G7" s="3416" t="str">
        <f>土地案例!A5</f>
        <v>白云区艳山红镇原氧化铝厂片区</v>
      </c>
      <c r="H7" s="3417"/>
      <c r="I7" s="3416" t="str">
        <f>土地案例!A7</f>
        <v>白云区艳山红镇原氧化铝厂片区</v>
      </c>
      <c r="J7" s="3417"/>
      <c r="K7" s="514"/>
      <c r="L7" s="2135"/>
      <c r="M7" s="2134"/>
      <c r="N7" s="2134"/>
      <c r="O7" s="2136"/>
      <c r="P7" s="3409"/>
      <c r="Q7" s="3410"/>
      <c r="R7" s="3395"/>
      <c r="S7" s="3396"/>
      <c r="T7" s="3395"/>
      <c r="U7" s="3396"/>
      <c r="V7" s="3413"/>
      <c r="W7" s="3413"/>
      <c r="X7" s="1568"/>
      <c r="Y7" s="3395"/>
      <c r="Z7" s="3396"/>
      <c r="AA7" s="3389"/>
      <c r="AB7" s="3389"/>
      <c r="AC7" s="3389"/>
    </row>
    <row r="8" spans="1:30" ht="21" thickBot="1">
      <c r="A8" s="515"/>
      <c r="B8" s="516"/>
      <c r="C8" s="3418" t="s">
        <v>2930</v>
      </c>
      <c r="D8" s="3419"/>
      <c r="E8" s="3418" t="s">
        <v>2930</v>
      </c>
      <c r="F8" s="3419"/>
      <c r="G8" s="3414" t="s">
        <v>2930</v>
      </c>
      <c r="H8" s="3415"/>
      <c r="I8" s="3414" t="s">
        <v>2930</v>
      </c>
      <c r="J8" s="3415"/>
      <c r="K8" s="514" t="s">
        <v>528</v>
      </c>
      <c r="L8" s="2135"/>
      <c r="M8" s="2134"/>
      <c r="N8" s="2134"/>
      <c r="O8" s="2136"/>
      <c r="P8" s="3411"/>
      <c r="Q8" s="3412"/>
      <c r="R8" s="3395"/>
      <c r="S8" s="3396"/>
      <c r="T8" s="3397"/>
      <c r="U8" s="3398"/>
      <c r="V8" s="3413"/>
      <c r="W8" s="3413"/>
      <c r="X8" s="1568"/>
      <c r="Y8" s="3397"/>
      <c r="Z8" s="3398"/>
      <c r="AA8" s="3390"/>
      <c r="AB8" s="3390"/>
      <c r="AC8" s="3390"/>
    </row>
    <row r="9" spans="1:30" s="1220" customFormat="1" ht="21" thickBot="1">
      <c r="A9" s="2938"/>
      <c r="B9" s="2945" t="s">
        <v>529</v>
      </c>
      <c r="C9" s="2937">
        <f>'数据-取费表'!B2</f>
        <v>43210</v>
      </c>
      <c r="D9" s="520">
        <v>100</v>
      </c>
      <c r="E9" s="521" t="str">
        <f>土地案例!I4</f>
        <v>2017-12-11</v>
      </c>
      <c r="F9" s="522">
        <f>SUMIF(72:72,YEAR(E9)&amp;"-"&amp;INT((MONTH(E9)+2)/3),73:73)</f>
        <v>99</v>
      </c>
      <c r="G9" s="523" t="str">
        <f>土地案例!I5</f>
        <v>2017-12-11</v>
      </c>
      <c r="H9" s="520">
        <f>SUMIF(72:72,YEAR(G9)&amp;"-"&amp;INT((MONTH(G9)+2)/3),73:73)</f>
        <v>99</v>
      </c>
      <c r="I9" s="523" t="str">
        <f>土地案例!I7</f>
        <v>2017-12-11</v>
      </c>
      <c r="J9" s="520">
        <f>SUMIF(72:72,YEAR(I9)&amp;"-"&amp;INT((MONTH(I9)+2)/3),73:73)</f>
        <v>99</v>
      </c>
      <c r="K9" s="524"/>
      <c r="L9" s="2137"/>
      <c r="M9" s="2134"/>
      <c r="N9" s="2134"/>
      <c r="O9" s="2138"/>
      <c r="P9" s="3391" t="s">
        <v>530</v>
      </c>
      <c r="Q9" s="3400"/>
      <c r="R9" s="1569" t="s">
        <v>8</v>
      </c>
      <c r="S9" s="1570">
        <f t="shared" ref="S9:S17" si="0">F9</f>
        <v>99</v>
      </c>
      <c r="T9" s="1569" t="s">
        <v>8</v>
      </c>
      <c r="U9" s="1570">
        <f t="shared" ref="U9:U17" si="1">H9</f>
        <v>99</v>
      </c>
      <c r="V9" s="1569" t="s">
        <v>8</v>
      </c>
      <c r="W9" s="1570">
        <f t="shared" ref="W9:W17" si="2">J9</f>
        <v>99</v>
      </c>
      <c r="X9" s="1571"/>
      <c r="Y9" s="3391" t="s">
        <v>530</v>
      </c>
      <c r="Z9" s="3392"/>
      <c r="AA9" s="1572">
        <f>D9/F9</f>
        <v>1.0101010101010102</v>
      </c>
      <c r="AB9" s="1572">
        <f>D9/H9</f>
        <v>1.0101010101010102</v>
      </c>
      <c r="AC9" s="1572">
        <f>D9/J9</f>
        <v>1.0101010101010102</v>
      </c>
    </row>
    <row r="10" spans="1:30" s="1220" customFormat="1" ht="21" thickBot="1">
      <c r="A10" s="2939"/>
      <c r="B10" s="2946"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37"/>
      <c r="M10" s="2134"/>
      <c r="N10" s="2134"/>
      <c r="O10" s="2138"/>
      <c r="P10" s="3391" t="s">
        <v>533</v>
      </c>
      <c r="Q10" s="3392"/>
      <c r="R10" s="1569" t="s">
        <v>8</v>
      </c>
      <c r="S10" s="1570">
        <f t="shared" si="0"/>
        <v>100</v>
      </c>
      <c r="T10" s="1569" t="s">
        <v>8</v>
      </c>
      <c r="U10" s="1570">
        <f t="shared" si="1"/>
        <v>100</v>
      </c>
      <c r="V10" s="1569" t="s">
        <v>8</v>
      </c>
      <c r="W10" s="1570">
        <f t="shared" si="2"/>
        <v>100</v>
      </c>
      <c r="X10" s="1571"/>
      <c r="Y10" s="3391" t="s">
        <v>533</v>
      </c>
      <c r="Z10" s="3392"/>
      <c r="AA10" s="1572">
        <f t="shared" ref="AA10:AA47" si="3">D10/F10</f>
        <v>1</v>
      </c>
      <c r="AB10" s="1572">
        <f t="shared" ref="AB10:AB47" si="4">D10/H10</f>
        <v>1</v>
      </c>
      <c r="AC10" s="1572">
        <f t="shared" ref="AC10:AC47" si="5">D10/J10</f>
        <v>1</v>
      </c>
    </row>
    <row r="11" spans="1:30" s="1220" customFormat="1" ht="20.25">
      <c r="A11" s="2940"/>
      <c r="B11" s="2947" t="s">
        <v>2755</v>
      </c>
      <c r="C11" s="2934" t="s">
        <v>3064</v>
      </c>
      <c r="D11" s="254">
        <v>100</v>
      </c>
      <c r="E11" s="526" t="s">
        <v>3031</v>
      </c>
      <c r="F11" s="254">
        <f>SUMIF(77:77,E11,78:78)-SUMIF(77:77,C11,78:78)+100</f>
        <v>100</v>
      </c>
      <c r="G11" s="526" t="s">
        <v>3031</v>
      </c>
      <c r="H11" s="254">
        <f>SUMIF(77:77,G11,78:78)-SUMIF(77:77,C11,78:78)+100</f>
        <v>100</v>
      </c>
      <c r="I11" s="526" t="s">
        <v>3031</v>
      </c>
      <c r="J11" s="254">
        <f>SUMIF(77:77,I11,78:78)-SUMIF(77:77,C11,78:78)+100</f>
        <v>100</v>
      </c>
      <c r="K11" s="524"/>
      <c r="L11" s="2137"/>
      <c r="M11" s="2134"/>
      <c r="N11" s="2134"/>
      <c r="O11" s="2139"/>
      <c r="P11" s="3399" t="s">
        <v>535</v>
      </c>
      <c r="Q11" s="1151" t="str">
        <f t="shared" ref="Q11:Q17" si="6">B11</f>
        <v>用途</v>
      </c>
      <c r="R11" s="1569" t="s">
        <v>8</v>
      </c>
      <c r="S11" s="1570">
        <f t="shared" si="0"/>
        <v>100</v>
      </c>
      <c r="T11" s="1569" t="s">
        <v>8</v>
      </c>
      <c r="U11" s="1570">
        <f t="shared" si="1"/>
        <v>100</v>
      </c>
      <c r="V11" s="1569" t="s">
        <v>8</v>
      </c>
      <c r="W11" s="1570">
        <f t="shared" si="2"/>
        <v>100</v>
      </c>
      <c r="X11" s="1571"/>
      <c r="Y11" s="3356"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37.450000000000003</v>
      </c>
      <c r="D12" s="255">
        <v>100</v>
      </c>
      <c r="E12" s="529" t="s">
        <v>3065</v>
      </c>
      <c r="F12" s="255">
        <f>ROUND(100/'数据-取费表'!G16,0)</f>
        <v>102</v>
      </c>
      <c r="G12" s="530" t="s">
        <v>3065</v>
      </c>
      <c r="H12" s="255">
        <f>ROUND(100/'数据-取费表'!G16,0)</f>
        <v>102</v>
      </c>
      <c r="I12" s="530" t="s">
        <v>3065</v>
      </c>
      <c r="J12" s="255">
        <f>ROUND(100/'数据-取费表'!G16,0)</f>
        <v>102</v>
      </c>
      <c r="K12" s="531"/>
      <c r="L12" s="2140"/>
      <c r="M12" s="2134"/>
      <c r="N12" s="2134"/>
      <c r="O12" s="2141"/>
      <c r="P12" s="3399"/>
      <c r="Q12" s="1151" t="str">
        <f t="shared" si="6"/>
        <v>土地使用年限（年）</v>
      </c>
      <c r="R12" s="1569" t="s">
        <v>8</v>
      </c>
      <c r="S12" s="1570">
        <f t="shared" si="0"/>
        <v>102</v>
      </c>
      <c r="T12" s="1569" t="s">
        <v>8</v>
      </c>
      <c r="U12" s="1570">
        <f t="shared" si="1"/>
        <v>102</v>
      </c>
      <c r="V12" s="1569" t="s">
        <v>8</v>
      </c>
      <c r="W12" s="1570">
        <f t="shared" si="2"/>
        <v>102</v>
      </c>
      <c r="X12" s="1571"/>
      <c r="Y12" s="3356"/>
      <c r="Z12" s="1150" t="str">
        <f t="shared" si="7"/>
        <v>土地使用年限（年）</v>
      </c>
      <c r="AA12" s="1572">
        <f t="shared" si="3"/>
        <v>0.98039215686274506</v>
      </c>
      <c r="AB12" s="1572">
        <f t="shared" si="4"/>
        <v>0.98039215686274506</v>
      </c>
      <c r="AC12" s="1572">
        <f t="shared" si="5"/>
        <v>0.98039215686274506</v>
      </c>
    </row>
    <row r="13" spans="1:30" ht="20.25">
      <c r="A13" s="2942"/>
      <c r="B13" s="2946" t="s">
        <v>2757</v>
      </c>
      <c r="C13" s="534">
        <f>'数据-汇总表'!I6</f>
        <v>3.1</v>
      </c>
      <c r="D13" s="255">
        <v>100</v>
      </c>
      <c r="E13" s="533">
        <v>2.5</v>
      </c>
      <c r="F13" s="255">
        <f>LOOKUP(E13,82:82,83:83)-LOOKUP(C13,82:82,83:83)+100</f>
        <v>105</v>
      </c>
      <c r="G13" s="534">
        <v>3</v>
      </c>
      <c r="H13" s="255">
        <f>LOOKUP(G13,82:82,83:83)-LOOKUP(C13,82:82,83:83)+100</f>
        <v>100</v>
      </c>
      <c r="I13" s="533">
        <v>3</v>
      </c>
      <c r="J13" s="255">
        <f>LOOKUP(I13,82:82,83:83)-LOOKUP(C13,82:82,83:83)+100</f>
        <v>100</v>
      </c>
      <c r="K13" s="535">
        <v>5</v>
      </c>
      <c r="L13" s="2142"/>
      <c r="M13" s="2134"/>
      <c r="N13" s="2134"/>
      <c r="O13" s="2143"/>
      <c r="P13" s="3399"/>
      <c r="Q13" s="1151" t="str">
        <f t="shared" si="6"/>
        <v>容积率</v>
      </c>
      <c r="R13" s="1569" t="s">
        <v>8</v>
      </c>
      <c r="S13" s="1570">
        <f t="shared" si="0"/>
        <v>105</v>
      </c>
      <c r="T13" s="1569" t="s">
        <v>8</v>
      </c>
      <c r="U13" s="1570">
        <f t="shared" si="1"/>
        <v>100</v>
      </c>
      <c r="V13" s="1569" t="s">
        <v>8</v>
      </c>
      <c r="W13" s="1570">
        <f t="shared" si="2"/>
        <v>100</v>
      </c>
      <c r="X13" s="1571"/>
      <c r="Y13" s="3356"/>
      <c r="Z13" s="1150" t="str">
        <f t="shared" si="7"/>
        <v>容积率</v>
      </c>
      <c r="AA13" s="1572">
        <f t="shared" si="3"/>
        <v>0.95238095238095233</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9"/>
      <c r="Q14" s="1151" t="str">
        <f t="shared" si="6"/>
        <v>配建</v>
      </c>
      <c r="R14" s="1569" t="s">
        <v>8</v>
      </c>
      <c r="S14" s="1570">
        <f t="shared" si="0"/>
        <v>100</v>
      </c>
      <c r="T14" s="1569" t="s">
        <v>8</v>
      </c>
      <c r="U14" s="1570">
        <f t="shared" si="1"/>
        <v>100</v>
      </c>
      <c r="V14" s="1569" t="s">
        <v>8</v>
      </c>
      <c r="W14" s="1570">
        <f t="shared" si="2"/>
        <v>100</v>
      </c>
      <c r="X14" s="1571"/>
      <c r="Y14" s="3356"/>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9"/>
      <c r="Q15" s="1151">
        <f t="shared" si="6"/>
        <v>0</v>
      </c>
      <c r="R15" s="1569" t="s">
        <v>8</v>
      </c>
      <c r="S15" s="1570">
        <f t="shared" si="0"/>
        <v>100</v>
      </c>
      <c r="T15" s="1569" t="s">
        <v>8</v>
      </c>
      <c r="U15" s="1570">
        <f t="shared" si="1"/>
        <v>100</v>
      </c>
      <c r="V15" s="1569" t="s">
        <v>8</v>
      </c>
      <c r="W15" s="1570">
        <f t="shared" si="2"/>
        <v>100</v>
      </c>
      <c r="X15" s="1571"/>
      <c r="Y15" s="3356"/>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9"/>
      <c r="Q16" s="1151">
        <f t="shared" si="6"/>
        <v>0</v>
      </c>
      <c r="R16" s="1569" t="s">
        <v>8</v>
      </c>
      <c r="S16" s="1570">
        <f t="shared" si="0"/>
        <v>100</v>
      </c>
      <c r="T16" s="1569" t="s">
        <v>8</v>
      </c>
      <c r="U16" s="1570">
        <f t="shared" si="1"/>
        <v>100</v>
      </c>
      <c r="V16" s="1569" t="s">
        <v>8</v>
      </c>
      <c r="W16" s="1570">
        <f t="shared" si="2"/>
        <v>100</v>
      </c>
      <c r="X16" s="1571"/>
      <c r="Y16" s="3356"/>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01" t="s">
        <v>540</v>
      </c>
      <c r="Q17" s="1573" t="str">
        <f t="shared" si="6"/>
        <v>居住社区成熟度</v>
      </c>
      <c r="R17" s="1574" t="s">
        <v>8</v>
      </c>
      <c r="S17" s="1575">
        <f t="shared" si="0"/>
        <v>100</v>
      </c>
      <c r="T17" s="1574" t="s">
        <v>8</v>
      </c>
      <c r="U17" s="1575">
        <f t="shared" si="1"/>
        <v>100</v>
      </c>
      <c r="V17" s="1574" t="s">
        <v>8</v>
      </c>
      <c r="W17" s="1575">
        <f t="shared" si="2"/>
        <v>100</v>
      </c>
      <c r="X17" s="1568"/>
      <c r="Y17" s="3401"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402"/>
      <c r="Q18" s="1573"/>
      <c r="R18" s="1574"/>
      <c r="S18" s="1575"/>
      <c r="T18" s="1574"/>
      <c r="U18" s="1575"/>
      <c r="V18" s="1574"/>
      <c r="W18" s="1575"/>
      <c r="X18" s="1568"/>
      <c r="Y18" s="3402"/>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02"/>
      <c r="Q19" s="1573" t="str">
        <f>B19</f>
        <v>商业繁华度</v>
      </c>
      <c r="R19" s="1574" t="s">
        <v>8</v>
      </c>
      <c r="S19" s="1575">
        <f>F19</f>
        <v>103</v>
      </c>
      <c r="T19" s="1574" t="s">
        <v>8</v>
      </c>
      <c r="U19" s="1575">
        <f>H19</f>
        <v>103</v>
      </c>
      <c r="V19" s="1574" t="s">
        <v>8</v>
      </c>
      <c r="W19" s="1575">
        <f>J19</f>
        <v>103</v>
      </c>
      <c r="X19" s="1568"/>
      <c r="Y19" s="3402"/>
      <c r="Z19" s="1576" t="str">
        <f>Q19</f>
        <v>商业繁华度</v>
      </c>
      <c r="AA19" s="1577">
        <f t="shared" si="3"/>
        <v>0.970873786407767</v>
      </c>
      <c r="AB19" s="1577">
        <f t="shared" si="4"/>
        <v>0.970873786407767</v>
      </c>
      <c r="AC19" s="1577">
        <f t="shared" si="5"/>
        <v>0.970873786407767</v>
      </c>
    </row>
    <row r="20" spans="1:29" ht="20.25">
      <c r="A20" s="532"/>
      <c r="B20" s="566"/>
      <c r="C20" s="567" t="s">
        <v>3066</v>
      </c>
      <c r="D20" s="563"/>
      <c r="E20" s="569" t="s">
        <v>3067</v>
      </c>
      <c r="F20" s="559"/>
      <c r="G20" s="568" t="s">
        <v>3067</v>
      </c>
      <c r="H20" s="555"/>
      <c r="I20" s="569" t="s">
        <v>3067</v>
      </c>
      <c r="J20" s="555"/>
      <c r="K20" s="531"/>
      <c r="L20" s="2144"/>
      <c r="M20" s="2134"/>
      <c r="N20" s="2134"/>
      <c r="O20" s="2143"/>
      <c r="P20" s="3402"/>
      <c r="Q20" s="1573"/>
      <c r="R20" s="1574"/>
      <c r="S20" s="1575"/>
      <c r="T20" s="1574"/>
      <c r="U20" s="1575"/>
      <c r="V20" s="1574"/>
      <c r="W20" s="1575"/>
      <c r="X20" s="1568"/>
      <c r="Y20" s="3402"/>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02"/>
      <c r="Q21" s="1573" t="str">
        <f>B21</f>
        <v>办公集聚程度</v>
      </c>
      <c r="R21" s="1574" t="s">
        <v>8</v>
      </c>
      <c r="S21" s="1575">
        <f>F21</f>
        <v>100</v>
      </c>
      <c r="T21" s="1574" t="s">
        <v>8</v>
      </c>
      <c r="U21" s="1575">
        <f>H21</f>
        <v>100</v>
      </c>
      <c r="V21" s="1574" t="s">
        <v>8</v>
      </c>
      <c r="W21" s="1575">
        <f>J21</f>
        <v>100</v>
      </c>
      <c r="X21" s="1568"/>
      <c r="Y21" s="3402"/>
      <c r="Z21" s="1576" t="str">
        <f>Q21</f>
        <v>办公集聚程度</v>
      </c>
      <c r="AA21" s="1577">
        <f t="shared" si="3"/>
        <v>1</v>
      </c>
      <c r="AB21" s="1577">
        <f t="shared" si="4"/>
        <v>1</v>
      </c>
      <c r="AC21" s="1577">
        <f t="shared" si="5"/>
        <v>1</v>
      </c>
    </row>
    <row r="22" spans="1:29" ht="20.25">
      <c r="A22" s="532"/>
      <c r="B22" s="566"/>
      <c r="C22" s="554" t="s">
        <v>3067</v>
      </c>
      <c r="D22" s="557"/>
      <c r="E22" s="569" t="s">
        <v>3067</v>
      </c>
      <c r="F22" s="555"/>
      <c r="G22" s="569" t="s">
        <v>3067</v>
      </c>
      <c r="H22" s="555"/>
      <c r="I22" s="569" t="s">
        <v>3067</v>
      </c>
      <c r="J22" s="555"/>
      <c r="K22" s="531"/>
      <c r="L22" s="2144"/>
      <c r="M22" s="2134"/>
      <c r="N22" s="2134"/>
      <c r="O22" s="2143"/>
      <c r="P22" s="3402"/>
      <c r="Q22" s="1573"/>
      <c r="R22" s="1574"/>
      <c r="S22" s="1575"/>
      <c r="T22" s="1574"/>
      <c r="U22" s="1575"/>
      <c r="V22" s="1574"/>
      <c r="W22" s="1575"/>
      <c r="X22" s="1568"/>
      <c r="Y22" s="3402"/>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402"/>
      <c r="Q23" s="1573" t="str">
        <f>B23</f>
        <v>交通便捷度</v>
      </c>
      <c r="R23" s="1574" t="s">
        <v>8</v>
      </c>
      <c r="S23" s="1575">
        <f>F23</f>
        <v>100</v>
      </c>
      <c r="T23" s="1574" t="s">
        <v>8</v>
      </c>
      <c r="U23" s="1575">
        <f>H23</f>
        <v>100</v>
      </c>
      <c r="V23" s="1574" t="s">
        <v>8</v>
      </c>
      <c r="W23" s="1575">
        <f>J23</f>
        <v>100</v>
      </c>
      <c r="X23" s="1568"/>
      <c r="Y23" s="3402"/>
      <c r="Z23" s="1576" t="str">
        <f>Q23</f>
        <v>交通便捷度</v>
      </c>
      <c r="AA23" s="1577">
        <f t="shared" si="3"/>
        <v>1</v>
      </c>
      <c r="AB23" s="1577">
        <f t="shared" si="4"/>
        <v>1</v>
      </c>
      <c r="AC23" s="1577">
        <f t="shared" si="5"/>
        <v>1</v>
      </c>
    </row>
    <row r="24" spans="1:29" ht="20.25">
      <c r="A24" s="532"/>
      <c r="B24" s="578"/>
      <c r="C24" s="554" t="s">
        <v>3067</v>
      </c>
      <c r="D24" s="557"/>
      <c r="E24" s="558" t="s">
        <v>3067</v>
      </c>
      <c r="F24" s="555"/>
      <c r="G24" s="558" t="s">
        <v>3067</v>
      </c>
      <c r="H24" s="555"/>
      <c r="I24" s="558" t="s">
        <v>3067</v>
      </c>
      <c r="J24" s="555"/>
      <c r="K24" s="531"/>
      <c r="L24" s="3217"/>
      <c r="M24" s="2134"/>
      <c r="N24" s="2134"/>
      <c r="O24" s="2143"/>
      <c r="P24" s="3402"/>
      <c r="Q24" s="1573"/>
      <c r="R24" s="1574"/>
      <c r="S24" s="1575"/>
      <c r="T24" s="1574"/>
      <c r="U24" s="1575"/>
      <c r="V24" s="1574"/>
      <c r="W24" s="1575"/>
      <c r="X24" s="1568"/>
      <c r="Y24" s="3402"/>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02"/>
      <c r="Q25" s="1573" t="str">
        <f t="shared" ref="Q25:Q39" si="8">B25</f>
        <v>区域土地利用方向</v>
      </c>
      <c r="R25" s="1574" t="s">
        <v>8</v>
      </c>
      <c r="S25" s="1575">
        <f>F25</f>
        <v>100</v>
      </c>
      <c r="T25" s="1574" t="s">
        <v>8</v>
      </c>
      <c r="U25" s="1575">
        <f>H25</f>
        <v>100</v>
      </c>
      <c r="V25" s="1574" t="s">
        <v>8</v>
      </c>
      <c r="W25" s="1575">
        <f>J25</f>
        <v>100</v>
      </c>
      <c r="X25" s="1568"/>
      <c r="Y25" s="3402"/>
      <c r="Z25" s="1576" t="str">
        <f>Q25</f>
        <v>区域土地利用方向</v>
      </c>
      <c r="AA25" s="1577">
        <f t="shared" si="3"/>
        <v>1</v>
      </c>
      <c r="AB25" s="1577">
        <f t="shared" si="4"/>
        <v>1</v>
      </c>
      <c r="AC25" s="1577">
        <f t="shared" si="5"/>
        <v>1</v>
      </c>
    </row>
    <row r="26" spans="1:29" ht="20.25">
      <c r="A26" s="515"/>
      <c r="B26" s="1007"/>
      <c r="C26" s="554" t="s">
        <v>3068</v>
      </c>
      <c r="D26" s="557"/>
      <c r="E26" s="554" t="s">
        <v>3068</v>
      </c>
      <c r="F26" s="555"/>
      <c r="G26" s="554" t="s">
        <v>3068</v>
      </c>
      <c r="H26" s="555"/>
      <c r="I26" s="554" t="s">
        <v>3068</v>
      </c>
      <c r="J26" s="555"/>
      <c r="K26" s="531"/>
      <c r="L26" s="2144"/>
      <c r="M26" s="2134"/>
      <c r="N26" s="2134"/>
      <c r="O26" s="2143"/>
      <c r="P26" s="3402"/>
      <c r="Q26" s="1573"/>
      <c r="R26" s="1574"/>
      <c r="S26" s="1575"/>
      <c r="T26" s="1574"/>
      <c r="U26" s="1575"/>
      <c r="V26" s="1574"/>
      <c r="W26" s="1575"/>
      <c r="X26" s="1568"/>
      <c r="Y26" s="3402"/>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02"/>
      <c r="Q27" s="1573" t="str">
        <f t="shared" si="8"/>
        <v>自然及人文环境状况</v>
      </c>
      <c r="R27" s="1574" t="s">
        <v>8</v>
      </c>
      <c r="S27" s="1575">
        <f>F27</f>
        <v>100</v>
      </c>
      <c r="T27" s="1574" t="s">
        <v>8</v>
      </c>
      <c r="U27" s="1575">
        <f>H27</f>
        <v>100</v>
      </c>
      <c r="V27" s="1574" t="s">
        <v>8</v>
      </c>
      <c r="W27" s="1575">
        <f>J27</f>
        <v>100</v>
      </c>
      <c r="X27" s="1568"/>
      <c r="Y27" s="3402"/>
      <c r="Z27" s="1576" t="str">
        <f>Q27</f>
        <v>自然及人文环境状况</v>
      </c>
      <c r="AA27" s="1577">
        <f t="shared" si="3"/>
        <v>1</v>
      </c>
      <c r="AB27" s="1577">
        <f t="shared" si="4"/>
        <v>1</v>
      </c>
      <c r="AC27" s="1577">
        <f t="shared" si="5"/>
        <v>1</v>
      </c>
    </row>
    <row r="28" spans="1:29" ht="20.25">
      <c r="A28" s="515"/>
      <c r="B28" s="566"/>
      <c r="C28" s="554" t="s">
        <v>3067</v>
      </c>
      <c r="D28" s="557"/>
      <c r="E28" s="554" t="s">
        <v>3067</v>
      </c>
      <c r="F28" s="555"/>
      <c r="G28" s="554" t="s">
        <v>3067</v>
      </c>
      <c r="H28" s="555"/>
      <c r="I28" s="554" t="s">
        <v>3067</v>
      </c>
      <c r="J28" s="555"/>
      <c r="K28" s="531"/>
      <c r="L28" s="2144"/>
      <c r="M28" s="2134"/>
      <c r="N28" s="2134"/>
      <c r="O28" s="2143"/>
      <c r="P28" s="3402"/>
      <c r="Q28" s="1573"/>
      <c r="R28" s="1574"/>
      <c r="S28" s="1575"/>
      <c r="T28" s="1574"/>
      <c r="U28" s="1575"/>
      <c r="V28" s="1574"/>
      <c r="W28" s="1575"/>
      <c r="X28" s="1568"/>
      <c r="Y28" s="3402"/>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02"/>
      <c r="Q29" s="1151" t="str">
        <f t="shared" si="8"/>
        <v>公共配套设施</v>
      </c>
      <c r="R29" s="1569" t="s">
        <v>8</v>
      </c>
      <c r="S29" s="1570">
        <f>F29</f>
        <v>100</v>
      </c>
      <c r="T29" s="1569" t="s">
        <v>8</v>
      </c>
      <c r="U29" s="1570">
        <f>H29</f>
        <v>100</v>
      </c>
      <c r="V29" s="1569" t="s">
        <v>8</v>
      </c>
      <c r="W29" s="1570">
        <f>J29</f>
        <v>100</v>
      </c>
      <c r="X29" s="1571"/>
      <c r="Y29" s="3402"/>
      <c r="Z29" s="1150" t="str">
        <f>Q29</f>
        <v>公共配套设施</v>
      </c>
      <c r="AA29" s="1577">
        <f>D29/F29</f>
        <v>1</v>
      </c>
      <c r="AB29" s="1577">
        <f>D29/H29</f>
        <v>1</v>
      </c>
      <c r="AC29" s="1577">
        <f>D29/J29</f>
        <v>1</v>
      </c>
    </row>
    <row r="30" spans="1:29" s="1220" customFormat="1" ht="20.25">
      <c r="A30" s="577"/>
      <c r="B30" s="566"/>
      <c r="C30" s="579" t="s">
        <v>3067</v>
      </c>
      <c r="D30" s="557"/>
      <c r="E30" s="576" t="s">
        <v>3067</v>
      </c>
      <c r="F30" s="555"/>
      <c r="G30" s="576" t="s">
        <v>3067</v>
      </c>
      <c r="H30" s="555"/>
      <c r="I30" s="576" t="s">
        <v>3067</v>
      </c>
      <c r="J30" s="555"/>
      <c r="K30" s="531"/>
      <c r="L30" s="2137"/>
      <c r="M30" s="2134"/>
      <c r="N30" s="2134"/>
      <c r="O30" s="2139"/>
      <c r="P30" s="3402"/>
      <c r="Q30" s="1151"/>
      <c r="R30" s="1569"/>
      <c r="S30" s="1570"/>
      <c r="T30" s="1569"/>
      <c r="U30" s="1570"/>
      <c r="V30" s="1569"/>
      <c r="W30" s="1570"/>
      <c r="X30" s="1571"/>
      <c r="Y30" s="3402"/>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02"/>
      <c r="Q31" s="2604" t="str">
        <f t="shared" ref="Q31" si="9">B31</f>
        <v>基础设施水平</v>
      </c>
      <c r="R31" s="1569" t="s">
        <v>8</v>
      </c>
      <c r="S31" s="1570">
        <f>F31</f>
        <v>100</v>
      </c>
      <c r="T31" s="1569" t="s">
        <v>8</v>
      </c>
      <c r="U31" s="1570">
        <f>H31</f>
        <v>100</v>
      </c>
      <c r="V31" s="1569" t="s">
        <v>8</v>
      </c>
      <c r="W31" s="1570">
        <f>J31</f>
        <v>100</v>
      </c>
      <c r="X31" s="1571"/>
      <c r="Y31" s="3402"/>
      <c r="Z31" s="2601" t="str">
        <f>Q31</f>
        <v>基础设施水平</v>
      </c>
      <c r="AA31" s="1577">
        <f>D31/F31</f>
        <v>1</v>
      </c>
      <c r="AB31" s="1577">
        <f>D31/H31</f>
        <v>1</v>
      </c>
      <c r="AC31" s="1577">
        <f>D31/J31</f>
        <v>1</v>
      </c>
    </row>
    <row r="32" spans="1:29" s="1220" customFormat="1" ht="20.25">
      <c r="A32" s="577"/>
      <c r="B32" s="566"/>
      <c r="C32" s="579" t="s">
        <v>3078</v>
      </c>
      <c r="D32" s="557"/>
      <c r="E32" s="579" t="s">
        <v>3078</v>
      </c>
      <c r="F32" s="555"/>
      <c r="G32" s="579" t="s">
        <v>3078</v>
      </c>
      <c r="H32" s="555"/>
      <c r="I32" s="579" t="s">
        <v>3078</v>
      </c>
      <c r="J32" s="555"/>
      <c r="K32" s="531"/>
      <c r="L32" s="2137"/>
      <c r="M32" s="2134"/>
      <c r="N32" s="2134"/>
      <c r="O32" s="2139"/>
      <c r="P32" s="3402"/>
      <c r="Q32" s="2604"/>
      <c r="R32" s="1569"/>
      <c r="S32" s="1570"/>
      <c r="T32" s="1569"/>
      <c r="U32" s="1570"/>
      <c r="V32" s="1569"/>
      <c r="W32" s="1570"/>
      <c r="X32" s="1571"/>
      <c r="Y32" s="3402"/>
      <c r="Z32" s="2601"/>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2"/>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02"/>
      <c r="Q34" s="1573" t="str">
        <f t="shared" si="8"/>
        <v>毗邻道路的类型与等级</v>
      </c>
      <c r="R34" s="1574" t="s">
        <v>8</v>
      </c>
      <c r="S34" s="1575">
        <f t="shared" si="10"/>
        <v>100</v>
      </c>
      <c r="T34" s="1574" t="s">
        <v>8</v>
      </c>
      <c r="U34" s="1575">
        <f t="shared" si="11"/>
        <v>100</v>
      </c>
      <c r="V34" s="1574" t="s">
        <v>8</v>
      </c>
      <c r="W34" s="1575">
        <f t="shared" si="12"/>
        <v>100</v>
      </c>
      <c r="X34" s="1568"/>
      <c r="Y34" s="3402"/>
      <c r="Z34" s="1576" t="str">
        <f t="shared" si="13"/>
        <v>毗邻道路的类型与等级</v>
      </c>
      <c r="AA34" s="1577">
        <f t="shared" si="3"/>
        <v>1</v>
      </c>
      <c r="AB34" s="1577">
        <f t="shared" si="4"/>
        <v>1</v>
      </c>
      <c r="AC34" s="1577">
        <f t="shared" si="5"/>
        <v>1</v>
      </c>
    </row>
    <row r="35" spans="1:29" ht="21" thickBot="1">
      <c r="A35" s="532"/>
      <c r="B35" s="566"/>
      <c r="C35" s="554" t="s">
        <v>3075</v>
      </c>
      <c r="D35" s="557"/>
      <c r="E35" s="554" t="s">
        <v>3075</v>
      </c>
      <c r="F35" s="555"/>
      <c r="G35" s="554" t="s">
        <v>3075</v>
      </c>
      <c r="H35" s="555"/>
      <c r="I35" s="554" t="s">
        <v>3075</v>
      </c>
      <c r="J35" s="555"/>
      <c r="K35" s="581"/>
      <c r="L35" s="2144"/>
      <c r="M35" s="2134"/>
      <c r="N35" s="2134"/>
      <c r="O35" s="2143"/>
      <c r="P35" s="3402"/>
      <c r="Q35" s="1573"/>
      <c r="R35" s="1574"/>
      <c r="S35" s="1575"/>
      <c r="T35" s="1574"/>
      <c r="U35" s="1575"/>
      <c r="V35" s="1574"/>
      <c r="W35" s="1575"/>
      <c r="X35" s="1568"/>
      <c r="Y35" s="3402"/>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2"/>
      <c r="Q36" s="1573" t="str">
        <f t="shared" si="8"/>
        <v>土地级别</v>
      </c>
      <c r="R36" s="1574" t="s">
        <v>8</v>
      </c>
      <c r="S36" s="1575">
        <f t="shared" si="10"/>
        <v>100</v>
      </c>
      <c r="T36" s="1574" t="s">
        <v>8</v>
      </c>
      <c r="U36" s="1575">
        <f t="shared" si="11"/>
        <v>100</v>
      </c>
      <c r="V36" s="1574" t="s">
        <v>8</v>
      </c>
      <c r="W36" s="1575">
        <f t="shared" si="12"/>
        <v>100</v>
      </c>
      <c r="X36" s="1568"/>
      <c r="Y36" s="3402"/>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2"/>
      <c r="Q37" s="1573">
        <f t="shared" si="8"/>
        <v>0</v>
      </c>
      <c r="R37" s="1574" t="s">
        <v>8</v>
      </c>
      <c r="S37" s="1575">
        <f t="shared" si="10"/>
        <v>100</v>
      </c>
      <c r="T37" s="1574" t="s">
        <v>8</v>
      </c>
      <c r="U37" s="1575">
        <f t="shared" si="11"/>
        <v>100</v>
      </c>
      <c r="V37" s="1574" t="s">
        <v>8</v>
      </c>
      <c r="W37" s="1575">
        <f t="shared" si="12"/>
        <v>100</v>
      </c>
      <c r="X37" s="1568"/>
      <c r="Y37" s="3402"/>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3" t="s">
        <v>550</v>
      </c>
      <c r="Q38" s="1573">
        <f t="shared" si="8"/>
        <v>0</v>
      </c>
      <c r="R38" s="1574" t="s">
        <v>8</v>
      </c>
      <c r="S38" s="1575">
        <f t="shared" si="10"/>
        <v>100</v>
      </c>
      <c r="T38" s="1574" t="s">
        <v>8</v>
      </c>
      <c r="U38" s="1575">
        <f t="shared" si="11"/>
        <v>100</v>
      </c>
      <c r="V38" s="1574" t="s">
        <v>8</v>
      </c>
      <c r="W38" s="1575">
        <f t="shared" si="12"/>
        <v>100</v>
      </c>
      <c r="X38" s="1568"/>
      <c r="Y38" s="3404"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4"/>
      <c r="Q39" s="1573">
        <f t="shared" si="8"/>
        <v>0</v>
      </c>
      <c r="R39" s="1578" t="s">
        <v>8</v>
      </c>
      <c r="S39" s="1579">
        <f t="shared" si="10"/>
        <v>100</v>
      </c>
      <c r="T39" s="1578" t="s">
        <v>8</v>
      </c>
      <c r="U39" s="1579">
        <f t="shared" si="11"/>
        <v>100</v>
      </c>
      <c r="V39" s="1578" t="s">
        <v>8</v>
      </c>
      <c r="W39" s="1579">
        <f t="shared" si="12"/>
        <v>100</v>
      </c>
      <c r="X39" s="1580"/>
      <c r="Y39" s="3404"/>
      <c r="Z39" s="1581">
        <f t="shared" si="13"/>
        <v>0</v>
      </c>
      <c r="AA39" s="1577">
        <f t="shared" si="3"/>
        <v>1</v>
      </c>
      <c r="AB39" s="1577">
        <f t="shared" si="4"/>
        <v>1</v>
      </c>
      <c r="AC39" s="1577">
        <f t="shared" si="5"/>
        <v>1</v>
      </c>
    </row>
    <row r="40" spans="1:29" ht="20.25">
      <c r="A40" s="2933" t="s">
        <v>2754</v>
      </c>
      <c r="B40" s="595" t="s">
        <v>552</v>
      </c>
      <c r="C40" s="596">
        <f>'数据-汇总表'!D3</f>
        <v>40729.97</v>
      </c>
      <c r="D40" s="597">
        <v>100</v>
      </c>
      <c r="E40" s="596">
        <f>土地案例!F4</f>
        <v>15205.4</v>
      </c>
      <c r="F40" s="3206">
        <f>LOOKUP(E40,119:119,120:120)-LOOKUP(C40,119:119,120:120)+100</f>
        <v>100</v>
      </c>
      <c r="G40" s="596">
        <f>土地案例!F5</f>
        <v>8456.9</v>
      </c>
      <c r="H40" s="3206">
        <f>LOOKUP(G40,119:119,120:120)-LOOKUP(C40,119:119,120:120)+100</f>
        <v>100</v>
      </c>
      <c r="I40" s="598">
        <f>土地案例!F7</f>
        <v>12324.9</v>
      </c>
      <c r="J40" s="3206">
        <f>LOOKUP(I40,119:119,120:120)-LOOKUP(C40,119:119,120:120)+100</f>
        <v>100</v>
      </c>
      <c r="K40" s="581"/>
      <c r="L40" s="2144"/>
      <c r="M40" s="2134"/>
      <c r="N40" s="2134"/>
      <c r="O40" s="2143"/>
      <c r="P40" s="3404"/>
      <c r="Q40" s="1573" t="str">
        <f>B40</f>
        <v>宗地面积</v>
      </c>
      <c r="R40" s="1574" t="s">
        <v>8</v>
      </c>
      <c r="S40" s="1575">
        <f t="shared" si="10"/>
        <v>100</v>
      </c>
      <c r="T40" s="1574" t="s">
        <v>8</v>
      </c>
      <c r="U40" s="1575">
        <f t="shared" si="11"/>
        <v>100</v>
      </c>
      <c r="V40" s="1574" t="s">
        <v>8</v>
      </c>
      <c r="W40" s="1575">
        <f t="shared" si="12"/>
        <v>100</v>
      </c>
      <c r="X40" s="1568"/>
      <c r="Y40" s="3404"/>
      <c r="Z40" s="1576" t="str">
        <f t="shared" si="13"/>
        <v>宗地面积</v>
      </c>
      <c r="AA40" s="1577">
        <f t="shared" si="3"/>
        <v>1</v>
      </c>
      <c r="AB40" s="1577">
        <f t="shared" si="4"/>
        <v>1</v>
      </c>
      <c r="AC40" s="1577">
        <f t="shared" si="5"/>
        <v>1</v>
      </c>
    </row>
    <row r="41" spans="1:29" ht="20.25">
      <c r="A41" s="594"/>
      <c r="B41" s="527" t="s">
        <v>553</v>
      </c>
      <c r="C41" s="599" t="s">
        <v>3070</v>
      </c>
      <c r="D41" s="540">
        <v>100</v>
      </c>
      <c r="E41" s="599" t="s">
        <v>3070</v>
      </c>
      <c r="F41" s="540">
        <f>SUMIF(121:121,E41,122:122)-SUMIF(121:121,C41,122:122)+100</f>
        <v>100</v>
      </c>
      <c r="G41" s="599" t="s">
        <v>3070</v>
      </c>
      <c r="H41" s="540">
        <f>SUMIF(121:121,G41,122:122)-SUMIF(121:121,C41,122:122)+100</f>
        <v>100</v>
      </c>
      <c r="I41" s="599" t="s">
        <v>3070</v>
      </c>
      <c r="J41" s="540">
        <f>SUMIF(121:121,I41,122:122)-SUMIF(121:121,C41,122:122)+100</f>
        <v>100</v>
      </c>
      <c r="K41" s="584">
        <v>2</v>
      </c>
      <c r="L41" s="2144"/>
      <c r="M41" s="2134"/>
      <c r="N41" s="2134"/>
      <c r="O41" s="2143"/>
      <c r="P41" s="3404"/>
      <c r="Q41" s="1573" t="str">
        <f t="shared" ref="Q41:Q47" si="14">B41</f>
        <v>宗地形状</v>
      </c>
      <c r="R41" s="1574" t="s">
        <v>8</v>
      </c>
      <c r="S41" s="1575">
        <f t="shared" si="10"/>
        <v>100</v>
      </c>
      <c r="T41" s="1574" t="s">
        <v>8</v>
      </c>
      <c r="U41" s="1575">
        <f t="shared" si="11"/>
        <v>100</v>
      </c>
      <c r="V41" s="1574" t="s">
        <v>8</v>
      </c>
      <c r="W41" s="1575">
        <f t="shared" si="12"/>
        <v>100</v>
      </c>
      <c r="X41" s="1568"/>
      <c r="Y41" s="3404"/>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04"/>
      <c r="Q42" s="1573" t="str">
        <f t="shared" si="14"/>
        <v>临街宽度及深度</v>
      </c>
      <c r="R42" s="1574" t="s">
        <v>8</v>
      </c>
      <c r="S42" s="1575">
        <f t="shared" si="10"/>
        <v>100</v>
      </c>
      <c r="T42" s="1574" t="s">
        <v>8</v>
      </c>
      <c r="U42" s="1575">
        <f t="shared" si="11"/>
        <v>100</v>
      </c>
      <c r="V42" s="1574" t="s">
        <v>8</v>
      </c>
      <c r="W42" s="1575">
        <f t="shared" si="12"/>
        <v>100</v>
      </c>
      <c r="X42" s="1568"/>
      <c r="Y42" s="3404"/>
      <c r="Z42" s="1576" t="str">
        <f t="shared" si="13"/>
        <v>临街宽度及深度</v>
      </c>
      <c r="AA42" s="1577">
        <f t="shared" si="3"/>
        <v>1</v>
      </c>
      <c r="AB42" s="1577">
        <f t="shared" si="4"/>
        <v>1</v>
      </c>
      <c r="AC42" s="1577">
        <f t="shared" si="5"/>
        <v>1</v>
      </c>
    </row>
    <row r="43" spans="1:29" s="1220" customFormat="1" ht="20.25">
      <c r="A43" s="600"/>
      <c r="B43" s="1897" t="s">
        <v>2423</v>
      </c>
      <c r="C43" s="601" t="s">
        <v>3079</v>
      </c>
      <c r="D43" s="255">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2</v>
      </c>
      <c r="L43" s="2137"/>
      <c r="M43" s="2134"/>
      <c r="N43" s="2134"/>
      <c r="O43" s="2139"/>
      <c r="P43" s="3404"/>
      <c r="Q43" s="1573" t="str">
        <f t="shared" si="14"/>
        <v>宗地开发程度</v>
      </c>
      <c r="R43" s="1569" t="s">
        <v>8</v>
      </c>
      <c r="S43" s="1570">
        <f t="shared" si="10"/>
        <v>100</v>
      </c>
      <c r="T43" s="1569" t="s">
        <v>8</v>
      </c>
      <c r="U43" s="1570">
        <f t="shared" si="11"/>
        <v>100</v>
      </c>
      <c r="V43" s="1569" t="s">
        <v>8</v>
      </c>
      <c r="W43" s="1570">
        <f t="shared" si="12"/>
        <v>100</v>
      </c>
      <c r="X43" s="1571"/>
      <c r="Y43" s="3404"/>
      <c r="Z43" s="1150" t="str">
        <f t="shared" si="13"/>
        <v>宗地开发程度</v>
      </c>
      <c r="AA43" s="1572">
        <f t="shared" si="3"/>
        <v>1</v>
      </c>
      <c r="AB43" s="1572">
        <f t="shared" si="4"/>
        <v>1</v>
      </c>
      <c r="AC43" s="1572">
        <f t="shared" si="5"/>
        <v>1</v>
      </c>
    </row>
    <row r="44" spans="1:29" ht="21" thickBot="1">
      <c r="A44" s="594"/>
      <c r="B44" s="527" t="s">
        <v>555</v>
      </c>
      <c r="C44" s="599" t="s">
        <v>3068</v>
      </c>
      <c r="D44" s="540">
        <v>100</v>
      </c>
      <c r="E44" s="599" t="s">
        <v>3068</v>
      </c>
      <c r="F44" s="540">
        <f>SUMIF(127:127,E44,128:128)-SUMIF(127:127,C44,128:128)+100</f>
        <v>100</v>
      </c>
      <c r="G44" s="599" t="s">
        <v>3068</v>
      </c>
      <c r="H44" s="540">
        <f>SUMIF(127:127,G44,128:128)-SUMIF(127:127,C44,128:128)+100</f>
        <v>100</v>
      </c>
      <c r="I44" s="599" t="s">
        <v>3068</v>
      </c>
      <c r="J44" s="540">
        <f>SUMIF(127:127,I44,128:128)-SUMIF(127:127,C44,128:128)+100</f>
        <v>100</v>
      </c>
      <c r="K44" s="584">
        <v>2</v>
      </c>
      <c r="L44" s="2144"/>
      <c r="M44" s="2134"/>
      <c r="N44" s="2134"/>
      <c r="O44" s="2143"/>
      <c r="P44" s="3404" t="s">
        <v>550</v>
      </c>
      <c r="Q44" s="1573" t="str">
        <f t="shared" si="14"/>
        <v>工程地质条件</v>
      </c>
      <c r="R44" s="1574" t="s">
        <v>8</v>
      </c>
      <c r="S44" s="1575">
        <f t="shared" si="10"/>
        <v>100</v>
      </c>
      <c r="T44" s="1574" t="s">
        <v>8</v>
      </c>
      <c r="U44" s="1575">
        <f t="shared" si="11"/>
        <v>100</v>
      </c>
      <c r="V44" s="1574" t="s">
        <v>8</v>
      </c>
      <c r="W44" s="1575">
        <f t="shared" si="12"/>
        <v>100</v>
      </c>
      <c r="X44" s="1568"/>
      <c r="Y44" s="3404"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4"/>
      <c r="Q45" s="1573">
        <f t="shared" si="14"/>
        <v>0</v>
      </c>
      <c r="R45" s="1574" t="s">
        <v>8</v>
      </c>
      <c r="S45" s="1575">
        <f t="shared" si="10"/>
        <v>100</v>
      </c>
      <c r="T45" s="1574" t="s">
        <v>8</v>
      </c>
      <c r="U45" s="1575">
        <f t="shared" si="11"/>
        <v>100</v>
      </c>
      <c r="V45" s="1574" t="s">
        <v>8</v>
      </c>
      <c r="W45" s="1575">
        <f t="shared" si="12"/>
        <v>100</v>
      </c>
      <c r="X45" s="1568"/>
      <c r="Y45" s="3404"/>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4"/>
      <c r="Q46" s="1573">
        <f t="shared" si="14"/>
        <v>0</v>
      </c>
      <c r="R46" s="1574" t="s">
        <v>8</v>
      </c>
      <c r="S46" s="1575">
        <f t="shared" si="10"/>
        <v>100</v>
      </c>
      <c r="T46" s="1574" t="s">
        <v>8</v>
      </c>
      <c r="U46" s="1575">
        <f t="shared" si="11"/>
        <v>100</v>
      </c>
      <c r="V46" s="1574" t="s">
        <v>8</v>
      </c>
      <c r="W46" s="1575">
        <f t="shared" si="12"/>
        <v>100</v>
      </c>
      <c r="X46" s="1568"/>
      <c r="Y46" s="3404"/>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4"/>
      <c r="Q47" s="1573">
        <f t="shared" si="14"/>
        <v>0</v>
      </c>
      <c r="R47" s="1578" t="s">
        <v>8</v>
      </c>
      <c r="S47" s="1579">
        <f t="shared" si="10"/>
        <v>100</v>
      </c>
      <c r="T47" s="1578" t="s">
        <v>8</v>
      </c>
      <c r="U47" s="1579">
        <f t="shared" si="11"/>
        <v>100</v>
      </c>
      <c r="V47" s="1578" t="s">
        <v>8</v>
      </c>
      <c r="W47" s="1579">
        <f t="shared" si="12"/>
        <v>100</v>
      </c>
      <c r="X47" s="1580"/>
      <c r="Y47" s="3404"/>
      <c r="Z47" s="1581">
        <f t="shared" si="13"/>
        <v>0</v>
      </c>
      <c r="AA47" s="1577">
        <f t="shared" si="3"/>
        <v>1</v>
      </c>
      <c r="AB47" s="1577">
        <f t="shared" si="4"/>
        <v>1</v>
      </c>
      <c r="AC47" s="1577">
        <f t="shared" si="5"/>
        <v>1</v>
      </c>
    </row>
    <row r="48" spans="1:29" ht="20.25">
      <c r="A48" s="607" t="s">
        <v>556</v>
      </c>
      <c r="B48" s="608" t="s">
        <v>3069</v>
      </c>
      <c r="C48" s="609" t="s">
        <v>1</v>
      </c>
      <c r="D48" s="610"/>
      <c r="E48" s="611">
        <f>土地案例!L4</f>
        <v>2868</v>
      </c>
      <c r="F48" s="612"/>
      <c r="G48" s="613">
        <f>土地案例!L5</f>
        <v>2620</v>
      </c>
      <c r="H48" s="614"/>
      <c r="I48" s="611">
        <f>土地案例!L7</f>
        <v>2369</v>
      </c>
      <c r="J48" s="614"/>
      <c r="K48" s="1340"/>
      <c r="L48" s="2146"/>
      <c r="M48" s="2134"/>
      <c r="N48" s="2134"/>
      <c r="O48" s="2147"/>
      <c r="P48" s="3399" t="str">
        <f>A48</f>
        <v>成交单价</v>
      </c>
      <c r="Q48" s="3399"/>
      <c r="R48" s="3413">
        <f>E48</f>
        <v>2868</v>
      </c>
      <c r="S48" s="3413"/>
      <c r="T48" s="3413">
        <f>G48</f>
        <v>2620</v>
      </c>
      <c r="U48" s="3413"/>
      <c r="V48" s="3413">
        <f>I48</f>
        <v>2369</v>
      </c>
      <c r="W48" s="3413"/>
      <c r="X48" s="1560"/>
      <c r="Y48" s="1582"/>
      <c r="Z48" s="1560"/>
      <c r="AA48" s="1560"/>
      <c r="AB48" s="1560"/>
      <c r="AC48" s="1560"/>
    </row>
    <row r="49" spans="1:29" ht="21" thickBot="1">
      <c r="A49" s="615" t="s">
        <v>2692</v>
      </c>
      <c r="B49" s="616"/>
      <c r="C49" s="617">
        <f>R50</f>
        <v>2474</v>
      </c>
      <c r="D49" s="618"/>
      <c r="E49" s="617">
        <f>R49</f>
        <v>2626</v>
      </c>
      <c r="F49" s="619"/>
      <c r="G49" s="620">
        <f>T49</f>
        <v>2519</v>
      </c>
      <c r="H49" s="618"/>
      <c r="I49" s="617">
        <f>V49</f>
        <v>2278</v>
      </c>
      <c r="J49" s="618"/>
      <c r="K49" s="1341"/>
      <c r="L49" s="2146"/>
      <c r="M49" s="2134"/>
      <c r="N49" s="2134"/>
      <c r="O49" s="2147"/>
      <c r="P49" s="3399" t="str">
        <f>A49</f>
        <v>比较价格（元/平方米）</v>
      </c>
      <c r="Q49" s="3399"/>
      <c r="R49" s="3423">
        <f>ROUND(PRODUCT(R48,AA9:AA47),0)</f>
        <v>2626</v>
      </c>
      <c r="S49" s="3423"/>
      <c r="T49" s="3423">
        <f>ROUND(PRODUCT(T48,AB9:AB47),0)</f>
        <v>2519</v>
      </c>
      <c r="U49" s="3423"/>
      <c r="V49" s="3423">
        <f>ROUND(PRODUCT(V48,AC9:AC47),0)</f>
        <v>2278</v>
      </c>
      <c r="W49" s="3423"/>
      <c r="X49" s="1560"/>
      <c r="Y49" s="1560"/>
      <c r="Z49" s="1560"/>
      <c r="AA49" s="1560"/>
      <c r="AB49" s="1560"/>
      <c r="AC49" s="1560"/>
    </row>
    <row r="50" spans="1:29" ht="21" thickBot="1">
      <c r="A50" s="621" t="s">
        <v>2932</v>
      </c>
      <c r="B50" s="622"/>
      <c r="C50" s="623">
        <f>R50</f>
        <v>2474</v>
      </c>
      <c r="D50" s="623"/>
      <c r="E50" s="623"/>
      <c r="F50" s="623"/>
      <c r="G50" s="623"/>
      <c r="H50" s="623"/>
      <c r="I50" s="623"/>
      <c r="J50" s="623"/>
      <c r="K50" s="1342"/>
      <c r="L50" s="2146"/>
      <c r="M50" s="2134"/>
      <c r="N50" s="2134"/>
      <c r="O50" s="2147"/>
      <c r="P50" s="3420" t="str">
        <f>A50</f>
        <v>估价对象XX用房的比较价格（楼面单价，元/平方米）</v>
      </c>
      <c r="Q50" s="3421"/>
      <c r="R50" s="3422">
        <f>ROUND(AVERAGE(R49:V49),0)</f>
        <v>2474</v>
      </c>
      <c r="S50" s="3422"/>
      <c r="T50" s="3422"/>
      <c r="U50" s="3422"/>
      <c r="V50" s="3422"/>
      <c r="W50" s="342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9.2155369383092101E-2</v>
      </c>
      <c r="F53" s="627" t="str">
        <f>IF(OR(E53&gt;=0.3,E53&lt;=-0.3),"超过30%","")</f>
        <v/>
      </c>
      <c r="G53" s="626">
        <f>IF(G48&lt;G49,G49/G48-1,G48/G49-1)</f>
        <v>4.0095275903136107E-2</v>
      </c>
      <c r="H53" s="627" t="str">
        <f>IF(OR(G53&gt;=0.3,G53&lt;=-0.3),"超过30%","")</f>
        <v/>
      </c>
      <c r="I53" s="626">
        <f>IF(I48&lt;I49,I49/I48-1,I48/I49-1)</f>
        <v>3.9947322212467107E-2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4.2477173481540342E-2</v>
      </c>
      <c r="F54" s="627" t="str">
        <f>IF(OR(E54&gt;=0.2,E54&lt;=-0.2),"超过20%","")</f>
        <v/>
      </c>
      <c r="G54" s="626">
        <f>IF(G49&lt;I49,I49/G49-1,G49/I49-1)</f>
        <v>0.10579455662862158</v>
      </c>
      <c r="H54" s="627" t="str">
        <f>IF(OR(G54&gt;=0.2,G54&lt;=-0.2),"超过20%","")</f>
        <v/>
      </c>
      <c r="I54" s="626">
        <f>IF(I49&lt;E49,E49/I49-1,I49/E49-1)</f>
        <v>0.15276558384547845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383" t="s">
        <v>2281</v>
      </c>
      <c r="H57" s="3384"/>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2474</v>
      </c>
      <c r="C58" s="635">
        <v>1</v>
      </c>
      <c r="D58" s="2230">
        <v>1</v>
      </c>
      <c r="E58" s="635">
        <f>'数据-汇总表'!E8+'数据-汇总表'!E9</f>
        <v>126262.9</v>
      </c>
      <c r="F58" s="636">
        <f t="shared" ref="F58:F67" si="15">ROUND(B58*E58/10000,0)</f>
        <v>31237</v>
      </c>
      <c r="G58" s="3385"/>
      <c r="H58" s="338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7"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31237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2979</v>
      </c>
      <c r="B73" s="479" t="str">
        <f>"北京市平均增长率"&amp;TEXT(SUMIF(基准地价!N21:N25,A73,基准地价!P21:P25),"0.00%")</f>
        <v>北京市平均增长率1.46%</v>
      </c>
      <c r="C73" s="894">
        <v>100</v>
      </c>
      <c r="D73" s="3192">
        <f>C73-$C$74</f>
        <v>99.5</v>
      </c>
      <c r="E73" s="3192">
        <f t="shared" ref="E73:N73" si="20">D73-$C$74</f>
        <v>99</v>
      </c>
      <c r="F73" s="3192">
        <f t="shared" si="20"/>
        <v>98.5</v>
      </c>
      <c r="G73" s="3192">
        <f t="shared" si="20"/>
        <v>98</v>
      </c>
      <c r="H73" s="3192">
        <f t="shared" si="20"/>
        <v>97.5</v>
      </c>
      <c r="I73" s="3192">
        <f t="shared" si="20"/>
        <v>97</v>
      </c>
      <c r="J73" s="3192">
        <f t="shared" si="20"/>
        <v>96.5</v>
      </c>
      <c r="K73" s="3192">
        <f t="shared" si="20"/>
        <v>96</v>
      </c>
      <c r="L73" s="3192">
        <f t="shared" si="20"/>
        <v>95.5</v>
      </c>
      <c r="M73" s="3192">
        <f t="shared" si="20"/>
        <v>95</v>
      </c>
      <c r="N73" s="3192">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商业、商务</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 hidden="1" thickTop="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3073</v>
      </c>
      <c r="D108" s="3194" t="s">
        <v>3074</v>
      </c>
      <c r="E108" s="3194" t="s">
        <v>3076</v>
      </c>
      <c r="F108" s="3194" t="s">
        <v>3077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3071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3080</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26" sqref="B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8" t="str">
        <f>项目基本情况!B1</f>
        <v>贵州省贵阳市高新区沙文生态科技产业园（土储编号01-02-13）出让国有建设用地使用权市场价格预评估</v>
      </c>
      <c r="C37" s="3218"/>
      <c r="D37" s="3218"/>
      <c r="E37" s="3218"/>
      <c r="F37" s="3218"/>
      <c r="G37" s="3218"/>
      <c r="H37" s="3218"/>
      <c r="I37" s="3218"/>
    </row>
    <row r="38" spans="1:9">
      <c r="A38" s="1657"/>
      <c r="B38" s="1657"/>
    </row>
    <row r="39" spans="1:9">
      <c r="A39" s="1655" t="s">
        <v>1902</v>
      </c>
      <c r="B39" s="1655" t="s">
        <v>2046</v>
      </c>
    </row>
    <row r="40" spans="1:9">
      <c r="A40" s="1655"/>
      <c r="B40" s="1655" t="str">
        <f>项目基本情况!B5</f>
        <v>中信信托有限责任公司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D23" sqref="D23"/>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30227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2394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7421</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495</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405" t="s">
        <v>522</v>
      </c>
      <c r="D6" s="3406"/>
      <c r="E6" s="3405" t="s">
        <v>523</v>
      </c>
      <c r="F6" s="3406"/>
      <c r="G6" s="3405" t="s">
        <v>524</v>
      </c>
      <c r="H6" s="3406"/>
      <c r="I6" s="3405" t="s">
        <v>525</v>
      </c>
      <c r="J6" s="3406"/>
      <c r="K6" s="514" t="s">
        <v>526</v>
      </c>
      <c r="L6" s="2135"/>
      <c r="M6" s="2134"/>
      <c r="N6" s="2134"/>
      <c r="O6" s="2136"/>
      <c r="P6" s="3407" t="s">
        <v>527</v>
      </c>
      <c r="Q6" s="3408"/>
      <c r="R6" s="3393" t="s">
        <v>523</v>
      </c>
      <c r="S6" s="3394"/>
      <c r="T6" s="3393" t="s">
        <v>524</v>
      </c>
      <c r="U6" s="3394"/>
      <c r="V6" s="3413" t="s">
        <v>525</v>
      </c>
      <c r="W6" s="3413"/>
      <c r="X6" s="3187"/>
      <c r="Y6" s="3393" t="s">
        <v>527</v>
      </c>
      <c r="Z6" s="3394"/>
      <c r="AA6" s="3388" t="s">
        <v>523</v>
      </c>
      <c r="AB6" s="3389" t="s">
        <v>524</v>
      </c>
      <c r="AC6" s="3388" t="s">
        <v>525</v>
      </c>
    </row>
    <row r="7" spans="1:30" ht="20.25">
      <c r="A7" s="515"/>
      <c r="B7" s="516"/>
      <c r="C7" s="3416" t="s">
        <v>2926</v>
      </c>
      <c r="D7" s="3417"/>
      <c r="E7" s="3416" t="str">
        <f>土地案例!A4</f>
        <v>白云区艳山红镇原氧化铝厂片区</v>
      </c>
      <c r="F7" s="3417"/>
      <c r="G7" s="3416" t="str">
        <f>土地案例!A5</f>
        <v>白云区艳山红镇原氧化铝厂片区</v>
      </c>
      <c r="H7" s="3417"/>
      <c r="I7" s="3416" t="str">
        <f>土地案例!A7</f>
        <v>白云区艳山红镇原氧化铝厂片区</v>
      </c>
      <c r="J7" s="3417"/>
      <c r="K7" s="514"/>
      <c r="L7" s="2135"/>
      <c r="M7" s="2134"/>
      <c r="N7" s="2134"/>
      <c r="O7" s="2136"/>
      <c r="P7" s="3409"/>
      <c r="Q7" s="3410"/>
      <c r="R7" s="3395"/>
      <c r="S7" s="3396"/>
      <c r="T7" s="3395"/>
      <c r="U7" s="3396"/>
      <c r="V7" s="3413"/>
      <c r="W7" s="3413"/>
      <c r="X7" s="3187"/>
      <c r="Y7" s="3395"/>
      <c r="Z7" s="3396"/>
      <c r="AA7" s="3389"/>
      <c r="AB7" s="3389"/>
      <c r="AC7" s="3389"/>
    </row>
    <row r="8" spans="1:30" ht="21" thickBot="1">
      <c r="A8" s="515"/>
      <c r="B8" s="516"/>
      <c r="C8" s="3418" t="s">
        <v>2930</v>
      </c>
      <c r="D8" s="3419"/>
      <c r="E8" s="3418" t="s">
        <v>2930</v>
      </c>
      <c r="F8" s="3419"/>
      <c r="G8" s="3414" t="s">
        <v>2930</v>
      </c>
      <c r="H8" s="3415"/>
      <c r="I8" s="3414" t="s">
        <v>2930</v>
      </c>
      <c r="J8" s="3415"/>
      <c r="K8" s="514" t="s">
        <v>528</v>
      </c>
      <c r="L8" s="2135"/>
      <c r="M8" s="2134"/>
      <c r="N8" s="2134"/>
      <c r="O8" s="2136"/>
      <c r="P8" s="3411"/>
      <c r="Q8" s="3412"/>
      <c r="R8" s="3395"/>
      <c r="S8" s="3396"/>
      <c r="T8" s="3397"/>
      <c r="U8" s="3398"/>
      <c r="V8" s="3413"/>
      <c r="W8" s="3413"/>
      <c r="X8" s="3187"/>
      <c r="Y8" s="3397"/>
      <c r="Z8" s="3398"/>
      <c r="AA8" s="3390"/>
      <c r="AB8" s="3390"/>
      <c r="AC8" s="3390"/>
    </row>
    <row r="9" spans="1:30" s="1220" customFormat="1" ht="21" thickBot="1">
      <c r="A9" s="2938"/>
      <c r="B9" s="2945" t="s">
        <v>529</v>
      </c>
      <c r="C9" s="2937">
        <f>'数据-取费表'!B2</f>
        <v>43210</v>
      </c>
      <c r="D9" s="520">
        <v>100</v>
      </c>
      <c r="E9" s="521" t="str">
        <f>土地案例!I4</f>
        <v>2017-12-11</v>
      </c>
      <c r="F9" s="522">
        <f>SUMIF(72:72,YEAR(E9)&amp;"-"&amp;INT((MONTH(E9)+2)/3),73:73)</f>
        <v>100</v>
      </c>
      <c r="G9" s="523" t="str">
        <f>土地案例!I5</f>
        <v>2017-12-11</v>
      </c>
      <c r="H9" s="520">
        <f>SUMIF(72:72,YEAR(G9)&amp;"-"&amp;INT((MONTH(G9)+2)/3),73:73)</f>
        <v>100</v>
      </c>
      <c r="I9" s="523" t="str">
        <f>土地案例!I7</f>
        <v>2017-12-11</v>
      </c>
      <c r="J9" s="520">
        <f>SUMIF(72:72,YEAR(I9)&amp;"-"&amp;INT((MONTH(I9)+2)/3),73:73)</f>
        <v>100</v>
      </c>
      <c r="K9" s="524"/>
      <c r="L9" s="2137"/>
      <c r="M9" s="2134"/>
      <c r="N9" s="2134"/>
      <c r="O9" s="2138"/>
      <c r="P9" s="3391" t="s">
        <v>530</v>
      </c>
      <c r="Q9" s="3400"/>
      <c r="R9" s="1569" t="s">
        <v>8</v>
      </c>
      <c r="S9" s="1570">
        <f t="shared" ref="S9:S17" si="0">F9</f>
        <v>100</v>
      </c>
      <c r="T9" s="1569" t="s">
        <v>8</v>
      </c>
      <c r="U9" s="1570">
        <f t="shared" ref="U9:U17" si="1">H9</f>
        <v>100</v>
      </c>
      <c r="V9" s="1569" t="s">
        <v>8</v>
      </c>
      <c r="W9" s="1570">
        <f t="shared" ref="W9:W17" si="2">J9</f>
        <v>100</v>
      </c>
      <c r="X9" s="1571"/>
      <c r="Y9" s="3391" t="s">
        <v>530</v>
      </c>
      <c r="Z9" s="3392"/>
      <c r="AA9" s="1572">
        <f>D9/F9</f>
        <v>1</v>
      </c>
      <c r="AB9" s="1572">
        <f>D9/H9</f>
        <v>1</v>
      </c>
      <c r="AC9" s="1572">
        <f>D9/J9</f>
        <v>1</v>
      </c>
    </row>
    <row r="10" spans="1:30" s="1220" customFormat="1" ht="21" thickBot="1">
      <c r="A10" s="2939"/>
      <c r="B10" s="2946" t="s">
        <v>531</v>
      </c>
      <c r="C10" s="856" t="s">
        <v>532</v>
      </c>
      <c r="D10" s="520">
        <v>100</v>
      </c>
      <c r="E10" s="525" t="s">
        <v>3063</v>
      </c>
      <c r="F10" s="522">
        <f>SUMIF(75:75,E10,76:76)-SUMIF(75:75,C10,76:76)+100</f>
        <v>100</v>
      </c>
      <c r="G10" s="525" t="s">
        <v>3063</v>
      </c>
      <c r="H10" s="520">
        <f>SUMIF(75:75,G10,76:76)-SUMIF(75:75,C10,76:76)+100</f>
        <v>100</v>
      </c>
      <c r="I10" s="525" t="s">
        <v>3063</v>
      </c>
      <c r="J10" s="520">
        <f>SUMIF(75:75,I10,76:76)-SUMIF(75:75,C10,76:76)+100</f>
        <v>100</v>
      </c>
      <c r="K10" s="524"/>
      <c r="L10" s="2137"/>
      <c r="M10" s="2134"/>
      <c r="N10" s="2134"/>
      <c r="O10" s="2138"/>
      <c r="P10" s="3391" t="s">
        <v>533</v>
      </c>
      <c r="Q10" s="3392"/>
      <c r="R10" s="1569" t="s">
        <v>8</v>
      </c>
      <c r="S10" s="1570">
        <f t="shared" si="0"/>
        <v>100</v>
      </c>
      <c r="T10" s="1569" t="s">
        <v>8</v>
      </c>
      <c r="U10" s="1570">
        <f t="shared" si="1"/>
        <v>100</v>
      </c>
      <c r="V10" s="1569" t="s">
        <v>8</v>
      </c>
      <c r="W10" s="1570">
        <f t="shared" si="2"/>
        <v>100</v>
      </c>
      <c r="X10" s="1571"/>
      <c r="Y10" s="3391" t="s">
        <v>533</v>
      </c>
      <c r="Z10" s="3392"/>
      <c r="AA10" s="1572">
        <f t="shared" ref="AA10:AA47" si="3">D10/F10</f>
        <v>1</v>
      </c>
      <c r="AB10" s="1572">
        <f t="shared" ref="AB10:AB47" si="4">D10/H10</f>
        <v>1</v>
      </c>
      <c r="AC10" s="1572">
        <f t="shared" ref="AC10:AC47" si="5">D10/J10</f>
        <v>1</v>
      </c>
    </row>
    <row r="11" spans="1:30" s="1220" customFormat="1" ht="20.25">
      <c r="A11" s="2940"/>
      <c r="B11" s="2947" t="s">
        <v>2755</v>
      </c>
      <c r="C11" s="2934" t="s">
        <v>3064</v>
      </c>
      <c r="D11" s="254">
        <v>100</v>
      </c>
      <c r="E11" s="526" t="s">
        <v>3031</v>
      </c>
      <c r="F11" s="254">
        <f>SUMIF(77:77,E11,78:78)-SUMIF(77:77,C11,78:78)+100</f>
        <v>100</v>
      </c>
      <c r="G11" s="526" t="s">
        <v>3031</v>
      </c>
      <c r="H11" s="254">
        <f>SUMIF(77:77,G11,78:78)-SUMIF(77:77,C11,78:78)+100</f>
        <v>100</v>
      </c>
      <c r="I11" s="526" t="s">
        <v>3031</v>
      </c>
      <c r="J11" s="254">
        <f>SUMIF(77:77,I11,78:78)-SUMIF(77:77,C11,78:78)+100</f>
        <v>100</v>
      </c>
      <c r="K11" s="524"/>
      <c r="L11" s="2137"/>
      <c r="M11" s="2134"/>
      <c r="N11" s="2134"/>
      <c r="O11" s="2139"/>
      <c r="P11" s="3399" t="s">
        <v>535</v>
      </c>
      <c r="Q11" s="3184" t="str">
        <f t="shared" ref="Q11:Q17" si="6">B11</f>
        <v>用途</v>
      </c>
      <c r="R11" s="1569" t="s">
        <v>8</v>
      </c>
      <c r="S11" s="1570">
        <f t="shared" si="0"/>
        <v>100</v>
      </c>
      <c r="T11" s="1569" t="s">
        <v>8</v>
      </c>
      <c r="U11" s="1570">
        <f t="shared" si="1"/>
        <v>100</v>
      </c>
      <c r="V11" s="1569" t="s">
        <v>8</v>
      </c>
      <c r="W11" s="1570">
        <f t="shared" si="2"/>
        <v>100</v>
      </c>
      <c r="X11" s="1571"/>
      <c r="Y11" s="3356" t="s">
        <v>536</v>
      </c>
      <c r="Z11" s="3183" t="str">
        <f t="shared" ref="Z11:Z17" si="7">Q11</f>
        <v>用途</v>
      </c>
      <c r="AA11" s="1572">
        <f t="shared" si="3"/>
        <v>1</v>
      </c>
      <c r="AB11" s="1572">
        <f t="shared" si="4"/>
        <v>1</v>
      </c>
      <c r="AC11" s="1572">
        <f t="shared" si="5"/>
        <v>1</v>
      </c>
    </row>
    <row r="12" spans="1:30" s="1338" customFormat="1" ht="27">
      <c r="A12" s="2941"/>
      <c r="B12" s="2946" t="s">
        <v>2756</v>
      </c>
      <c r="C12" s="910">
        <f>项目基本情况!E19</f>
        <v>37.450000000000003</v>
      </c>
      <c r="D12" s="255">
        <v>100</v>
      </c>
      <c r="E12" s="529" t="s">
        <v>3065</v>
      </c>
      <c r="F12" s="255">
        <f>ROUND(100/'数据-取费表'!G16,0)</f>
        <v>102</v>
      </c>
      <c r="G12" s="530" t="s">
        <v>3065</v>
      </c>
      <c r="H12" s="255">
        <f>ROUND(100/'数据-取费表'!G16,0)</f>
        <v>102</v>
      </c>
      <c r="I12" s="530" t="s">
        <v>3065</v>
      </c>
      <c r="J12" s="255">
        <f>ROUND(100/'数据-取费表'!G16,0)</f>
        <v>102</v>
      </c>
      <c r="K12" s="531"/>
      <c r="L12" s="2140"/>
      <c r="M12" s="2134"/>
      <c r="N12" s="2134"/>
      <c r="O12" s="2141"/>
      <c r="P12" s="3399"/>
      <c r="Q12" s="3184" t="str">
        <f t="shared" si="6"/>
        <v>土地使用年限（年）</v>
      </c>
      <c r="R12" s="1569" t="s">
        <v>8</v>
      </c>
      <c r="S12" s="1570">
        <f t="shared" si="0"/>
        <v>102</v>
      </c>
      <c r="T12" s="1569" t="s">
        <v>8</v>
      </c>
      <c r="U12" s="1570">
        <f t="shared" si="1"/>
        <v>102</v>
      </c>
      <c r="V12" s="1569" t="s">
        <v>8</v>
      </c>
      <c r="W12" s="1570">
        <f t="shared" si="2"/>
        <v>102</v>
      </c>
      <c r="X12" s="1571"/>
      <c r="Y12" s="3356"/>
      <c r="Z12" s="3183" t="str">
        <f t="shared" si="7"/>
        <v>土地使用年限（年）</v>
      </c>
      <c r="AA12" s="1572">
        <f t="shared" si="3"/>
        <v>0.98039215686274506</v>
      </c>
      <c r="AB12" s="1572">
        <f t="shared" si="4"/>
        <v>0.98039215686274506</v>
      </c>
      <c r="AC12" s="1572">
        <f t="shared" si="5"/>
        <v>0.98039215686274506</v>
      </c>
    </row>
    <row r="13" spans="1:30" ht="20.25">
      <c r="A13" s="2942"/>
      <c r="B13" s="2946" t="s">
        <v>2757</v>
      </c>
      <c r="C13" s="534">
        <f>'数据-汇总表'!I6</f>
        <v>3.1</v>
      </c>
      <c r="D13" s="255">
        <v>100</v>
      </c>
      <c r="E13" s="533">
        <v>2.5</v>
      </c>
      <c r="F13" s="255">
        <f>LOOKUP(E13,82:82,83:83)-LOOKUP(C13,82:82,83:83)+100</f>
        <v>103</v>
      </c>
      <c r="G13" s="534">
        <v>3</v>
      </c>
      <c r="H13" s="255">
        <f>LOOKUP(G13,82:82,83:83)-LOOKUP(C13,82:82,83:83)+100</f>
        <v>100</v>
      </c>
      <c r="I13" s="533">
        <v>3</v>
      </c>
      <c r="J13" s="255">
        <f>LOOKUP(I13,82:82,83:83)-LOOKUP(C13,82:82,83:83)+100</f>
        <v>100</v>
      </c>
      <c r="K13" s="535">
        <v>3</v>
      </c>
      <c r="L13" s="2142"/>
      <c r="M13" s="2134"/>
      <c r="N13" s="2134"/>
      <c r="O13" s="2143"/>
      <c r="P13" s="3399"/>
      <c r="Q13" s="3184" t="str">
        <f t="shared" si="6"/>
        <v>容积率</v>
      </c>
      <c r="R13" s="1569" t="s">
        <v>8</v>
      </c>
      <c r="S13" s="1570">
        <f t="shared" si="0"/>
        <v>103</v>
      </c>
      <c r="T13" s="1569" t="s">
        <v>8</v>
      </c>
      <c r="U13" s="1570">
        <f t="shared" si="1"/>
        <v>100</v>
      </c>
      <c r="V13" s="1569" t="s">
        <v>8</v>
      </c>
      <c r="W13" s="1570">
        <f t="shared" si="2"/>
        <v>100</v>
      </c>
      <c r="X13" s="1571"/>
      <c r="Y13" s="3356"/>
      <c r="Z13" s="3183" t="str">
        <f t="shared" si="7"/>
        <v>容积率</v>
      </c>
      <c r="AA13" s="1572">
        <f t="shared" si="3"/>
        <v>0.970873786407767</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99"/>
      <c r="Q14" s="3184" t="str">
        <f t="shared" si="6"/>
        <v>配建</v>
      </c>
      <c r="R14" s="1569" t="s">
        <v>8</v>
      </c>
      <c r="S14" s="1570">
        <f t="shared" si="0"/>
        <v>100</v>
      </c>
      <c r="T14" s="1569" t="s">
        <v>8</v>
      </c>
      <c r="U14" s="1570">
        <f t="shared" si="1"/>
        <v>100</v>
      </c>
      <c r="V14" s="1569" t="s">
        <v>8</v>
      </c>
      <c r="W14" s="1570">
        <f t="shared" si="2"/>
        <v>100</v>
      </c>
      <c r="X14" s="1571"/>
      <c r="Y14" s="3356"/>
      <c r="Z14" s="3183"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99"/>
      <c r="Q15" s="3184">
        <f t="shared" si="6"/>
        <v>0</v>
      </c>
      <c r="R15" s="1569" t="s">
        <v>8</v>
      </c>
      <c r="S15" s="1570">
        <f t="shared" si="0"/>
        <v>100</v>
      </c>
      <c r="T15" s="1569" t="s">
        <v>8</v>
      </c>
      <c r="U15" s="1570">
        <f t="shared" si="1"/>
        <v>100</v>
      </c>
      <c r="V15" s="1569" t="s">
        <v>8</v>
      </c>
      <c r="W15" s="1570">
        <f t="shared" si="2"/>
        <v>100</v>
      </c>
      <c r="X15" s="1571"/>
      <c r="Y15" s="3356"/>
      <c r="Z15" s="3183">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99"/>
      <c r="Q16" s="3184">
        <f t="shared" si="6"/>
        <v>0</v>
      </c>
      <c r="R16" s="1569" t="s">
        <v>8</v>
      </c>
      <c r="S16" s="1570">
        <f t="shared" si="0"/>
        <v>100</v>
      </c>
      <c r="T16" s="1569" t="s">
        <v>8</v>
      </c>
      <c r="U16" s="1570">
        <f t="shared" si="1"/>
        <v>100</v>
      </c>
      <c r="V16" s="1569" t="s">
        <v>8</v>
      </c>
      <c r="W16" s="1570">
        <f t="shared" si="2"/>
        <v>100</v>
      </c>
      <c r="X16" s="1571"/>
      <c r="Y16" s="3356"/>
      <c r="Z16" s="3183">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01" t="s">
        <v>540</v>
      </c>
      <c r="Q17" s="3185" t="str">
        <f t="shared" si="6"/>
        <v>居住社区成熟度</v>
      </c>
      <c r="R17" s="1574" t="s">
        <v>8</v>
      </c>
      <c r="S17" s="1575">
        <f t="shared" si="0"/>
        <v>100</v>
      </c>
      <c r="T17" s="1574" t="s">
        <v>8</v>
      </c>
      <c r="U17" s="1575">
        <f t="shared" si="1"/>
        <v>100</v>
      </c>
      <c r="V17" s="1574" t="s">
        <v>8</v>
      </c>
      <c r="W17" s="1575">
        <f t="shared" si="2"/>
        <v>100</v>
      </c>
      <c r="X17" s="3187"/>
      <c r="Y17" s="3401" t="s">
        <v>540</v>
      </c>
      <c r="Z17" s="3186" t="str">
        <f t="shared" si="7"/>
        <v>居住社区成熟度</v>
      </c>
      <c r="AA17" s="3189">
        <f t="shared" si="3"/>
        <v>1</v>
      </c>
      <c r="AB17" s="3189">
        <f t="shared" si="4"/>
        <v>1</v>
      </c>
      <c r="AC17" s="3189">
        <f t="shared" si="5"/>
        <v>1</v>
      </c>
    </row>
    <row r="18" spans="1:29" ht="20.25" hidden="1">
      <c r="A18" s="532"/>
      <c r="B18" s="553"/>
      <c r="C18" s="554"/>
      <c r="D18" s="557"/>
      <c r="E18" s="558"/>
      <c r="F18" s="555"/>
      <c r="G18" s="556"/>
      <c r="H18" s="559"/>
      <c r="I18" s="558"/>
      <c r="J18" s="555"/>
      <c r="K18" s="531"/>
      <c r="L18" s="2144"/>
      <c r="M18" s="2134"/>
      <c r="N18" s="2134"/>
      <c r="O18" s="2143"/>
      <c r="P18" s="3402"/>
      <c r="Q18" s="3185"/>
      <c r="R18" s="1574"/>
      <c r="S18" s="1575"/>
      <c r="T18" s="1574"/>
      <c r="U18" s="1575"/>
      <c r="V18" s="1574"/>
      <c r="W18" s="1575"/>
      <c r="X18" s="3187"/>
      <c r="Y18" s="3402"/>
      <c r="Z18" s="3186"/>
      <c r="AA18" s="3189">
        <v>1</v>
      </c>
      <c r="AB18" s="3189">
        <v>1</v>
      </c>
      <c r="AC18" s="3189">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02"/>
      <c r="Q19" s="3185" t="str">
        <f>B19</f>
        <v>商业繁华度</v>
      </c>
      <c r="R19" s="1574" t="s">
        <v>8</v>
      </c>
      <c r="S19" s="1575">
        <f>F19</f>
        <v>103</v>
      </c>
      <c r="T19" s="1574" t="s">
        <v>8</v>
      </c>
      <c r="U19" s="1575">
        <f>H19</f>
        <v>103</v>
      </c>
      <c r="V19" s="1574" t="s">
        <v>8</v>
      </c>
      <c r="W19" s="1575">
        <f>J19</f>
        <v>103</v>
      </c>
      <c r="X19" s="3187"/>
      <c r="Y19" s="3402"/>
      <c r="Z19" s="3186" t="str">
        <f>Q19</f>
        <v>商业繁华度</v>
      </c>
      <c r="AA19" s="3189">
        <f t="shared" si="3"/>
        <v>0.970873786407767</v>
      </c>
      <c r="AB19" s="3189">
        <f t="shared" si="4"/>
        <v>0.970873786407767</v>
      </c>
      <c r="AC19" s="3189">
        <f t="shared" si="5"/>
        <v>0.970873786407767</v>
      </c>
    </row>
    <row r="20" spans="1:29" ht="20.25">
      <c r="A20" s="532"/>
      <c r="B20" s="566"/>
      <c r="C20" s="567" t="s">
        <v>3066</v>
      </c>
      <c r="D20" s="563"/>
      <c r="E20" s="569" t="s">
        <v>3067</v>
      </c>
      <c r="F20" s="559"/>
      <c r="G20" s="568" t="s">
        <v>3067</v>
      </c>
      <c r="H20" s="555"/>
      <c r="I20" s="569" t="s">
        <v>3067</v>
      </c>
      <c r="J20" s="555"/>
      <c r="K20" s="531"/>
      <c r="L20" s="2144"/>
      <c r="M20" s="2134"/>
      <c r="N20" s="2134"/>
      <c r="O20" s="2143"/>
      <c r="P20" s="3402"/>
      <c r="Q20" s="3185"/>
      <c r="R20" s="1574"/>
      <c r="S20" s="1575"/>
      <c r="T20" s="1574"/>
      <c r="U20" s="1575"/>
      <c r="V20" s="1574"/>
      <c r="W20" s="1575"/>
      <c r="X20" s="3187"/>
      <c r="Y20" s="3402"/>
      <c r="Z20" s="3186"/>
      <c r="AA20" s="3189">
        <v>1</v>
      </c>
      <c r="AB20" s="3189">
        <v>1</v>
      </c>
      <c r="AC20" s="3189">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02"/>
      <c r="Q21" s="3185" t="str">
        <f>B21</f>
        <v>办公集聚程度</v>
      </c>
      <c r="R21" s="1574" t="s">
        <v>8</v>
      </c>
      <c r="S21" s="1575">
        <f>F21</f>
        <v>100</v>
      </c>
      <c r="T21" s="1574" t="s">
        <v>8</v>
      </c>
      <c r="U21" s="1575">
        <f>H21</f>
        <v>100</v>
      </c>
      <c r="V21" s="1574" t="s">
        <v>8</v>
      </c>
      <c r="W21" s="1575">
        <f>J21</f>
        <v>100</v>
      </c>
      <c r="X21" s="3187"/>
      <c r="Y21" s="3402"/>
      <c r="Z21" s="3186" t="str">
        <f>Q21</f>
        <v>办公集聚程度</v>
      </c>
      <c r="AA21" s="3189">
        <f t="shared" si="3"/>
        <v>1</v>
      </c>
      <c r="AB21" s="3189">
        <f t="shared" si="4"/>
        <v>1</v>
      </c>
      <c r="AC21" s="3189">
        <f t="shared" si="5"/>
        <v>1</v>
      </c>
    </row>
    <row r="22" spans="1:29" ht="20.25">
      <c r="A22" s="532"/>
      <c r="B22" s="566"/>
      <c r="C22" s="554" t="s">
        <v>3067</v>
      </c>
      <c r="D22" s="557"/>
      <c r="E22" s="569" t="s">
        <v>3067</v>
      </c>
      <c r="F22" s="555"/>
      <c r="G22" s="569" t="s">
        <v>3067</v>
      </c>
      <c r="H22" s="555"/>
      <c r="I22" s="569" t="s">
        <v>3067</v>
      </c>
      <c r="J22" s="555"/>
      <c r="K22" s="531"/>
      <c r="L22" s="2144"/>
      <c r="M22" s="2134"/>
      <c r="N22" s="2134"/>
      <c r="O22" s="2143"/>
      <c r="P22" s="3402"/>
      <c r="Q22" s="3185"/>
      <c r="R22" s="1574"/>
      <c r="S22" s="1575"/>
      <c r="T22" s="1574"/>
      <c r="U22" s="1575"/>
      <c r="V22" s="1574"/>
      <c r="W22" s="1575"/>
      <c r="X22" s="3187"/>
      <c r="Y22" s="3402"/>
      <c r="Z22" s="3186"/>
      <c r="AA22" s="3189">
        <v>1</v>
      </c>
      <c r="AB22" s="3189">
        <v>1</v>
      </c>
      <c r="AC22" s="3189">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44"/>
      <c r="M23" s="2134"/>
      <c r="N23" s="2134"/>
      <c r="O23" s="2143"/>
      <c r="P23" s="3402"/>
      <c r="Q23" s="3185" t="str">
        <f>B23</f>
        <v>交通便捷度</v>
      </c>
      <c r="R23" s="1574" t="s">
        <v>8</v>
      </c>
      <c r="S23" s="1575">
        <f>F23</f>
        <v>103</v>
      </c>
      <c r="T23" s="1574" t="s">
        <v>8</v>
      </c>
      <c r="U23" s="1575">
        <f>H23</f>
        <v>103</v>
      </c>
      <c r="V23" s="1574" t="s">
        <v>8</v>
      </c>
      <c r="W23" s="1575">
        <f>J23</f>
        <v>103</v>
      </c>
      <c r="X23" s="3187"/>
      <c r="Y23" s="3402"/>
      <c r="Z23" s="3186" t="str">
        <f>Q23</f>
        <v>交通便捷度</v>
      </c>
      <c r="AA23" s="3189">
        <f t="shared" si="3"/>
        <v>0.970873786407767</v>
      </c>
      <c r="AB23" s="3189">
        <f t="shared" si="4"/>
        <v>0.970873786407767</v>
      </c>
      <c r="AC23" s="3189">
        <f t="shared" si="5"/>
        <v>0.970873786407767</v>
      </c>
    </row>
    <row r="24" spans="1:29" ht="20.25">
      <c r="A24" s="532"/>
      <c r="B24" s="578"/>
      <c r="C24" s="554" t="s">
        <v>3066</v>
      </c>
      <c r="D24" s="557"/>
      <c r="E24" s="558" t="s">
        <v>3067</v>
      </c>
      <c r="F24" s="555"/>
      <c r="G24" s="558" t="s">
        <v>3067</v>
      </c>
      <c r="H24" s="555"/>
      <c r="I24" s="558" t="s">
        <v>3067</v>
      </c>
      <c r="J24" s="555"/>
      <c r="K24" s="531"/>
      <c r="L24" s="2144"/>
      <c r="M24" s="2134"/>
      <c r="N24" s="2134"/>
      <c r="O24" s="2143"/>
      <c r="P24" s="3402"/>
      <c r="Q24" s="3185"/>
      <c r="R24" s="1574"/>
      <c r="S24" s="1575"/>
      <c r="T24" s="1574"/>
      <c r="U24" s="1575"/>
      <c r="V24" s="1574"/>
      <c r="W24" s="1575"/>
      <c r="X24" s="3187"/>
      <c r="Y24" s="3402"/>
      <c r="Z24" s="3186"/>
      <c r="AA24" s="3189">
        <v>1</v>
      </c>
      <c r="AB24" s="3189">
        <v>1</v>
      </c>
      <c r="AC24" s="318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02"/>
      <c r="Q25" s="3185" t="str">
        <f t="shared" ref="Q25:Q39" si="8">B25</f>
        <v>区域土地利用方向</v>
      </c>
      <c r="R25" s="1574" t="s">
        <v>8</v>
      </c>
      <c r="S25" s="1575">
        <f>F25</f>
        <v>100</v>
      </c>
      <c r="T25" s="1574" t="s">
        <v>8</v>
      </c>
      <c r="U25" s="1575">
        <f>H25</f>
        <v>100</v>
      </c>
      <c r="V25" s="1574" t="s">
        <v>8</v>
      </c>
      <c r="W25" s="1575">
        <f>J25</f>
        <v>100</v>
      </c>
      <c r="X25" s="3187"/>
      <c r="Y25" s="3402"/>
      <c r="Z25" s="3186" t="str">
        <f>Q25</f>
        <v>区域土地利用方向</v>
      </c>
      <c r="AA25" s="3189">
        <f t="shared" si="3"/>
        <v>1</v>
      </c>
      <c r="AB25" s="3189">
        <f t="shared" si="4"/>
        <v>1</v>
      </c>
      <c r="AC25" s="3189">
        <f t="shared" si="5"/>
        <v>1</v>
      </c>
    </row>
    <row r="26" spans="1:29" ht="20.25">
      <c r="A26" s="515"/>
      <c r="B26" s="1007"/>
      <c r="C26" s="554" t="s">
        <v>3068</v>
      </c>
      <c r="D26" s="557"/>
      <c r="E26" s="554" t="s">
        <v>3068</v>
      </c>
      <c r="F26" s="555"/>
      <c r="G26" s="554" t="s">
        <v>3068</v>
      </c>
      <c r="H26" s="555"/>
      <c r="I26" s="554" t="s">
        <v>3068</v>
      </c>
      <c r="J26" s="555"/>
      <c r="K26" s="531"/>
      <c r="L26" s="2144"/>
      <c r="M26" s="2134"/>
      <c r="N26" s="2134"/>
      <c r="O26" s="2143"/>
      <c r="P26" s="3402"/>
      <c r="Q26" s="3185"/>
      <c r="R26" s="1574"/>
      <c r="S26" s="1575"/>
      <c r="T26" s="1574"/>
      <c r="U26" s="1575"/>
      <c r="V26" s="1574"/>
      <c r="W26" s="1575"/>
      <c r="X26" s="3187"/>
      <c r="Y26" s="3402"/>
      <c r="Z26" s="3186"/>
      <c r="AA26" s="3189"/>
      <c r="AB26" s="3189"/>
      <c r="AC26" s="3189"/>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02"/>
      <c r="Q27" s="3185" t="str">
        <f t="shared" si="8"/>
        <v>自然及人文环境状况</v>
      </c>
      <c r="R27" s="1574" t="s">
        <v>8</v>
      </c>
      <c r="S27" s="1575">
        <f>F27</f>
        <v>100</v>
      </c>
      <c r="T27" s="1574" t="s">
        <v>8</v>
      </c>
      <c r="U27" s="1575">
        <f>H27</f>
        <v>100</v>
      </c>
      <c r="V27" s="1574" t="s">
        <v>8</v>
      </c>
      <c r="W27" s="1575">
        <f>J27</f>
        <v>100</v>
      </c>
      <c r="X27" s="3187"/>
      <c r="Y27" s="3402"/>
      <c r="Z27" s="3186" t="str">
        <f>Q27</f>
        <v>自然及人文环境状况</v>
      </c>
      <c r="AA27" s="3189">
        <f t="shared" si="3"/>
        <v>1</v>
      </c>
      <c r="AB27" s="3189">
        <f t="shared" si="4"/>
        <v>1</v>
      </c>
      <c r="AC27" s="3189">
        <f t="shared" si="5"/>
        <v>1</v>
      </c>
    </row>
    <row r="28" spans="1:29" ht="20.25">
      <c r="A28" s="515"/>
      <c r="B28" s="566"/>
      <c r="C28" s="554" t="s">
        <v>3067</v>
      </c>
      <c r="D28" s="557"/>
      <c r="E28" s="554" t="s">
        <v>3067</v>
      </c>
      <c r="F28" s="555"/>
      <c r="G28" s="554" t="s">
        <v>3067</v>
      </c>
      <c r="H28" s="555"/>
      <c r="I28" s="554" t="s">
        <v>3067</v>
      </c>
      <c r="J28" s="555"/>
      <c r="K28" s="531"/>
      <c r="L28" s="2144"/>
      <c r="M28" s="2134"/>
      <c r="N28" s="2134"/>
      <c r="O28" s="2143"/>
      <c r="P28" s="3402"/>
      <c r="Q28" s="3185"/>
      <c r="R28" s="1574"/>
      <c r="S28" s="1575"/>
      <c r="T28" s="1574"/>
      <c r="U28" s="1575"/>
      <c r="V28" s="1574"/>
      <c r="W28" s="1575"/>
      <c r="X28" s="3187"/>
      <c r="Y28" s="3402"/>
      <c r="Z28" s="3186"/>
      <c r="AA28" s="3189">
        <v>1</v>
      </c>
      <c r="AB28" s="3189">
        <v>1</v>
      </c>
      <c r="AC28" s="3189">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02"/>
      <c r="Q29" s="3184" t="str">
        <f t="shared" si="8"/>
        <v>公共配套设施</v>
      </c>
      <c r="R29" s="1569" t="s">
        <v>8</v>
      </c>
      <c r="S29" s="1570">
        <f>F29</f>
        <v>100</v>
      </c>
      <c r="T29" s="1569" t="s">
        <v>8</v>
      </c>
      <c r="U29" s="1570">
        <f>H29</f>
        <v>100</v>
      </c>
      <c r="V29" s="1569" t="s">
        <v>8</v>
      </c>
      <c r="W29" s="1570">
        <f>J29</f>
        <v>100</v>
      </c>
      <c r="X29" s="1571"/>
      <c r="Y29" s="3402"/>
      <c r="Z29" s="3183" t="str">
        <f>Q29</f>
        <v>公共配套设施</v>
      </c>
      <c r="AA29" s="3189">
        <f>D29/F29</f>
        <v>1</v>
      </c>
      <c r="AB29" s="3189">
        <f>D29/H29</f>
        <v>1</v>
      </c>
      <c r="AC29" s="3189">
        <f>D29/J29</f>
        <v>1</v>
      </c>
    </row>
    <row r="30" spans="1:29" s="1220" customFormat="1" ht="20.25">
      <c r="A30" s="577"/>
      <c r="B30" s="566"/>
      <c r="C30" s="579" t="s">
        <v>3067</v>
      </c>
      <c r="D30" s="557"/>
      <c r="E30" s="576" t="s">
        <v>3067</v>
      </c>
      <c r="F30" s="555"/>
      <c r="G30" s="576" t="s">
        <v>3067</v>
      </c>
      <c r="H30" s="555"/>
      <c r="I30" s="576" t="s">
        <v>3067</v>
      </c>
      <c r="J30" s="555"/>
      <c r="K30" s="531"/>
      <c r="L30" s="2137"/>
      <c r="M30" s="2134"/>
      <c r="N30" s="2134"/>
      <c r="O30" s="2139"/>
      <c r="P30" s="3402"/>
      <c r="Q30" s="3184"/>
      <c r="R30" s="1569"/>
      <c r="S30" s="1570"/>
      <c r="T30" s="1569"/>
      <c r="U30" s="1570"/>
      <c r="V30" s="1569"/>
      <c r="W30" s="1570"/>
      <c r="X30" s="1571"/>
      <c r="Y30" s="3402"/>
      <c r="Z30" s="3183"/>
      <c r="AA30" s="3189">
        <v>1</v>
      </c>
      <c r="AB30" s="3189">
        <v>1</v>
      </c>
      <c r="AC30" s="3189">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02"/>
      <c r="Q31" s="3184" t="str">
        <f t="shared" ref="Q31" si="9">B31</f>
        <v>基础设施水平</v>
      </c>
      <c r="R31" s="1569" t="s">
        <v>8</v>
      </c>
      <c r="S31" s="1570">
        <f>F31</f>
        <v>100</v>
      </c>
      <c r="T31" s="1569" t="s">
        <v>8</v>
      </c>
      <c r="U31" s="1570">
        <f>H31</f>
        <v>100</v>
      </c>
      <c r="V31" s="1569" t="s">
        <v>8</v>
      </c>
      <c r="W31" s="1570">
        <f>J31</f>
        <v>100</v>
      </c>
      <c r="X31" s="1571"/>
      <c r="Y31" s="3402"/>
      <c r="Z31" s="3183" t="str">
        <f>Q31</f>
        <v>基础设施水平</v>
      </c>
      <c r="AA31" s="3189">
        <f>D31/F31</f>
        <v>1</v>
      </c>
      <c r="AB31" s="3189">
        <f>D31/H31</f>
        <v>1</v>
      </c>
      <c r="AC31" s="3189">
        <f>D31/J31</f>
        <v>1</v>
      </c>
    </row>
    <row r="32" spans="1:29" s="1220" customFormat="1" ht="20.25">
      <c r="A32" s="577"/>
      <c r="B32" s="566"/>
      <c r="C32" s="579" t="s">
        <v>3078</v>
      </c>
      <c r="D32" s="557"/>
      <c r="E32" s="579" t="s">
        <v>3078</v>
      </c>
      <c r="F32" s="555"/>
      <c r="G32" s="579" t="s">
        <v>3078</v>
      </c>
      <c r="H32" s="555"/>
      <c r="I32" s="579" t="s">
        <v>3078</v>
      </c>
      <c r="J32" s="555"/>
      <c r="K32" s="531"/>
      <c r="L32" s="2137"/>
      <c r="M32" s="2134"/>
      <c r="N32" s="2134"/>
      <c r="O32" s="2139"/>
      <c r="P32" s="3402"/>
      <c r="Q32" s="3184"/>
      <c r="R32" s="1569"/>
      <c r="S32" s="1570"/>
      <c r="T32" s="1569"/>
      <c r="U32" s="1570"/>
      <c r="V32" s="1569"/>
      <c r="W32" s="1570"/>
      <c r="X32" s="1571"/>
      <c r="Y32" s="3402"/>
      <c r="Z32" s="3183"/>
      <c r="AA32" s="3189">
        <v>1</v>
      </c>
      <c r="AB32" s="3189">
        <v>1</v>
      </c>
      <c r="AC32" s="3189">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2"/>
      <c r="Q33" s="3185" t="str">
        <f t="shared" si="8"/>
        <v>临街状况</v>
      </c>
      <c r="R33" s="1574" t="s">
        <v>8</v>
      </c>
      <c r="S33" s="1575">
        <f t="shared" ref="S33:S47" si="10">F33</f>
        <v>100</v>
      </c>
      <c r="T33" s="1574" t="s">
        <v>8</v>
      </c>
      <c r="U33" s="1575">
        <f t="shared" ref="U33:U47" si="11">H33</f>
        <v>100</v>
      </c>
      <c r="V33" s="1574" t="s">
        <v>8</v>
      </c>
      <c r="W33" s="1575">
        <f t="shared" ref="W33:W47" si="12">J33</f>
        <v>100</v>
      </c>
      <c r="X33" s="3187"/>
      <c r="Y33" s="3402"/>
      <c r="Z33" s="3186" t="str">
        <f t="shared" ref="Z33:Z47" si="13">Q33</f>
        <v>临街状况</v>
      </c>
      <c r="AA33" s="3189">
        <f t="shared" si="3"/>
        <v>1</v>
      </c>
      <c r="AB33" s="3189">
        <f t="shared" si="4"/>
        <v>1</v>
      </c>
      <c r="AC33" s="3189">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02"/>
      <c r="Q34" s="3185" t="str">
        <f t="shared" si="8"/>
        <v>毗邻道路的类型与等级</v>
      </c>
      <c r="R34" s="1574" t="s">
        <v>8</v>
      </c>
      <c r="S34" s="1575">
        <f t="shared" si="10"/>
        <v>100</v>
      </c>
      <c r="T34" s="1574" t="s">
        <v>8</v>
      </c>
      <c r="U34" s="1575">
        <f t="shared" si="11"/>
        <v>100</v>
      </c>
      <c r="V34" s="1574" t="s">
        <v>8</v>
      </c>
      <c r="W34" s="1575">
        <f t="shared" si="12"/>
        <v>100</v>
      </c>
      <c r="X34" s="3187"/>
      <c r="Y34" s="3402"/>
      <c r="Z34" s="3186" t="str">
        <f t="shared" si="13"/>
        <v>毗邻道路的类型与等级</v>
      </c>
      <c r="AA34" s="3189">
        <f t="shared" si="3"/>
        <v>1</v>
      </c>
      <c r="AB34" s="3189">
        <f t="shared" si="4"/>
        <v>1</v>
      </c>
      <c r="AC34" s="3189">
        <f t="shared" si="5"/>
        <v>1</v>
      </c>
    </row>
    <row r="35" spans="1:29" ht="21" thickBot="1">
      <c r="A35" s="532"/>
      <c r="B35" s="566"/>
      <c r="C35" s="554" t="s">
        <v>3075</v>
      </c>
      <c r="D35" s="557"/>
      <c r="E35" s="554" t="s">
        <v>3075</v>
      </c>
      <c r="F35" s="555"/>
      <c r="G35" s="554" t="s">
        <v>3075</v>
      </c>
      <c r="H35" s="555"/>
      <c r="I35" s="554" t="s">
        <v>3075</v>
      </c>
      <c r="J35" s="555"/>
      <c r="K35" s="581"/>
      <c r="L35" s="2144"/>
      <c r="M35" s="2134"/>
      <c r="N35" s="2134"/>
      <c r="O35" s="2143"/>
      <c r="P35" s="3402"/>
      <c r="Q35" s="3185"/>
      <c r="R35" s="1574"/>
      <c r="S35" s="1575"/>
      <c r="T35" s="1574"/>
      <c r="U35" s="1575"/>
      <c r="V35" s="1574"/>
      <c r="W35" s="1575"/>
      <c r="X35" s="3187"/>
      <c r="Y35" s="3402"/>
      <c r="Z35" s="3186"/>
      <c r="AA35" s="3189">
        <v>1</v>
      </c>
      <c r="AB35" s="3189">
        <v>1</v>
      </c>
      <c r="AC35" s="3189">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2"/>
      <c r="Q36" s="3185" t="str">
        <f t="shared" si="8"/>
        <v>土地级别</v>
      </c>
      <c r="R36" s="1574" t="s">
        <v>8</v>
      </c>
      <c r="S36" s="1575">
        <f t="shared" si="10"/>
        <v>100</v>
      </c>
      <c r="T36" s="1574" t="s">
        <v>8</v>
      </c>
      <c r="U36" s="1575">
        <f t="shared" si="11"/>
        <v>100</v>
      </c>
      <c r="V36" s="1574" t="s">
        <v>8</v>
      </c>
      <c r="W36" s="1575">
        <f t="shared" si="12"/>
        <v>100</v>
      </c>
      <c r="X36" s="3187"/>
      <c r="Y36" s="3402"/>
      <c r="Z36" s="3186" t="str">
        <f t="shared" si="13"/>
        <v>土地级别</v>
      </c>
      <c r="AA36" s="3189">
        <f t="shared" si="3"/>
        <v>1</v>
      </c>
      <c r="AB36" s="3189">
        <f t="shared" si="4"/>
        <v>1</v>
      </c>
      <c r="AC36" s="3189">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2"/>
      <c r="Q37" s="3185">
        <f t="shared" si="8"/>
        <v>0</v>
      </c>
      <c r="R37" s="1574" t="s">
        <v>8</v>
      </c>
      <c r="S37" s="1575">
        <f t="shared" si="10"/>
        <v>100</v>
      </c>
      <c r="T37" s="1574" t="s">
        <v>8</v>
      </c>
      <c r="U37" s="1575">
        <f t="shared" si="11"/>
        <v>100</v>
      </c>
      <c r="V37" s="1574" t="s">
        <v>8</v>
      </c>
      <c r="W37" s="1575">
        <f t="shared" si="12"/>
        <v>100</v>
      </c>
      <c r="X37" s="3187"/>
      <c r="Y37" s="3402"/>
      <c r="Z37" s="3186">
        <f t="shared" si="13"/>
        <v>0</v>
      </c>
      <c r="AA37" s="3189">
        <f t="shared" si="3"/>
        <v>1</v>
      </c>
      <c r="AB37" s="3189">
        <f t="shared" si="4"/>
        <v>1</v>
      </c>
      <c r="AC37" s="3189">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3" t="s">
        <v>550</v>
      </c>
      <c r="Q38" s="3185">
        <f t="shared" si="8"/>
        <v>0</v>
      </c>
      <c r="R38" s="1574" t="s">
        <v>8</v>
      </c>
      <c r="S38" s="1575">
        <f t="shared" si="10"/>
        <v>100</v>
      </c>
      <c r="T38" s="1574" t="s">
        <v>8</v>
      </c>
      <c r="U38" s="1575">
        <f t="shared" si="11"/>
        <v>100</v>
      </c>
      <c r="V38" s="1574" t="s">
        <v>8</v>
      </c>
      <c r="W38" s="1575">
        <f t="shared" si="12"/>
        <v>100</v>
      </c>
      <c r="X38" s="3187"/>
      <c r="Y38" s="3404" t="s">
        <v>550</v>
      </c>
      <c r="Z38" s="3186">
        <f t="shared" si="13"/>
        <v>0</v>
      </c>
      <c r="AA38" s="3189">
        <f t="shared" si="3"/>
        <v>1</v>
      </c>
      <c r="AB38" s="3189">
        <f t="shared" si="4"/>
        <v>1</v>
      </c>
      <c r="AC38" s="3189">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4"/>
      <c r="Q39" s="3185">
        <f t="shared" si="8"/>
        <v>0</v>
      </c>
      <c r="R39" s="1578" t="s">
        <v>8</v>
      </c>
      <c r="S39" s="1579">
        <f t="shared" si="10"/>
        <v>100</v>
      </c>
      <c r="T39" s="1578" t="s">
        <v>8</v>
      </c>
      <c r="U39" s="1579">
        <f t="shared" si="11"/>
        <v>100</v>
      </c>
      <c r="V39" s="1578" t="s">
        <v>8</v>
      </c>
      <c r="W39" s="1579">
        <f t="shared" si="12"/>
        <v>100</v>
      </c>
      <c r="X39" s="1580"/>
      <c r="Y39" s="3404"/>
      <c r="Z39" s="1581">
        <f t="shared" si="13"/>
        <v>0</v>
      </c>
      <c r="AA39" s="3189">
        <f t="shared" si="3"/>
        <v>1</v>
      </c>
      <c r="AB39" s="3189">
        <f t="shared" si="4"/>
        <v>1</v>
      </c>
      <c r="AC39" s="3189">
        <f t="shared" si="5"/>
        <v>1</v>
      </c>
    </row>
    <row r="40" spans="1:29" ht="20.25">
      <c r="A40" s="2933" t="s">
        <v>2754</v>
      </c>
      <c r="B40" s="595" t="s">
        <v>552</v>
      </c>
      <c r="C40" s="596">
        <f>'数据-汇总表'!D3</f>
        <v>40729.97</v>
      </c>
      <c r="D40" s="597">
        <v>100</v>
      </c>
      <c r="E40" s="596">
        <f>土地案例!F4</f>
        <v>15205.4</v>
      </c>
      <c r="F40" s="597">
        <f>LOOKUP(E40,119:119,120:120)-LOOKUP(C40,119:119,120:120)+100</f>
        <v>100</v>
      </c>
      <c r="G40" s="596">
        <f>土地案例!F5</f>
        <v>8456.9</v>
      </c>
      <c r="H40" s="597">
        <f>LOOKUP(G40,119:119,120:120)-LOOKUP(C40,119:119,120:120)+100</f>
        <v>100</v>
      </c>
      <c r="I40" s="598">
        <f>土地案例!F7</f>
        <v>12324.9</v>
      </c>
      <c r="J40" s="597">
        <f>LOOKUP(I40,119:119,120:120)-LOOKUP(C40,119:119,120:120)+100</f>
        <v>100</v>
      </c>
      <c r="K40" s="581"/>
      <c r="L40" s="2144"/>
      <c r="M40" s="2134"/>
      <c r="N40" s="2134"/>
      <c r="O40" s="2143"/>
      <c r="P40" s="3404"/>
      <c r="Q40" s="3185" t="str">
        <f>B40</f>
        <v>宗地面积</v>
      </c>
      <c r="R40" s="1574" t="s">
        <v>8</v>
      </c>
      <c r="S40" s="1575">
        <f t="shared" si="10"/>
        <v>100</v>
      </c>
      <c r="T40" s="1574" t="s">
        <v>8</v>
      </c>
      <c r="U40" s="1575">
        <f t="shared" si="11"/>
        <v>100</v>
      </c>
      <c r="V40" s="1574" t="s">
        <v>8</v>
      </c>
      <c r="W40" s="1575">
        <f t="shared" si="12"/>
        <v>100</v>
      </c>
      <c r="X40" s="3187"/>
      <c r="Y40" s="3404"/>
      <c r="Z40" s="3186" t="str">
        <f t="shared" si="13"/>
        <v>宗地面积</v>
      </c>
      <c r="AA40" s="3189">
        <f t="shared" si="3"/>
        <v>1</v>
      </c>
      <c r="AB40" s="3189">
        <f t="shared" si="4"/>
        <v>1</v>
      </c>
      <c r="AC40" s="3189">
        <f t="shared" si="5"/>
        <v>1</v>
      </c>
    </row>
    <row r="41" spans="1:29" ht="20.25">
      <c r="A41" s="594"/>
      <c r="B41" s="527" t="s">
        <v>553</v>
      </c>
      <c r="C41" s="599" t="s">
        <v>3070</v>
      </c>
      <c r="D41" s="540">
        <v>100</v>
      </c>
      <c r="E41" s="599" t="s">
        <v>3070</v>
      </c>
      <c r="F41" s="540">
        <f>SUMIF(121:121,E41,122:122)-SUMIF(121:121,C41,122:122)+100</f>
        <v>100</v>
      </c>
      <c r="G41" s="599" t="s">
        <v>3070</v>
      </c>
      <c r="H41" s="540">
        <f>SUMIF(121:121,G41,122:122)-SUMIF(121:121,C41,122:122)+100</f>
        <v>100</v>
      </c>
      <c r="I41" s="599" t="s">
        <v>3070</v>
      </c>
      <c r="J41" s="540">
        <f>SUMIF(121:121,I41,122:122)-SUMIF(121:121,C41,122:122)+100</f>
        <v>100</v>
      </c>
      <c r="K41" s="584">
        <v>2</v>
      </c>
      <c r="L41" s="2144"/>
      <c r="M41" s="2134"/>
      <c r="N41" s="2134"/>
      <c r="O41" s="2143"/>
      <c r="P41" s="3404"/>
      <c r="Q41" s="3185" t="str">
        <f t="shared" ref="Q41:Q47" si="14">B41</f>
        <v>宗地形状</v>
      </c>
      <c r="R41" s="1574" t="s">
        <v>8</v>
      </c>
      <c r="S41" s="1575">
        <f t="shared" si="10"/>
        <v>100</v>
      </c>
      <c r="T41" s="1574" t="s">
        <v>8</v>
      </c>
      <c r="U41" s="1575">
        <f t="shared" si="11"/>
        <v>100</v>
      </c>
      <c r="V41" s="1574" t="s">
        <v>8</v>
      </c>
      <c r="W41" s="1575">
        <f t="shared" si="12"/>
        <v>100</v>
      </c>
      <c r="X41" s="3187"/>
      <c r="Y41" s="3404"/>
      <c r="Z41" s="3186" t="str">
        <f t="shared" si="13"/>
        <v>宗地形状</v>
      </c>
      <c r="AA41" s="3189">
        <f t="shared" si="3"/>
        <v>1</v>
      </c>
      <c r="AB41" s="3189">
        <f t="shared" si="4"/>
        <v>1</v>
      </c>
      <c r="AC41" s="3189">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04"/>
      <c r="Q42" s="3185" t="str">
        <f t="shared" si="14"/>
        <v>临街宽度及深度</v>
      </c>
      <c r="R42" s="1574" t="s">
        <v>8</v>
      </c>
      <c r="S42" s="1575">
        <f t="shared" si="10"/>
        <v>100</v>
      </c>
      <c r="T42" s="1574" t="s">
        <v>8</v>
      </c>
      <c r="U42" s="1575">
        <f t="shared" si="11"/>
        <v>100</v>
      </c>
      <c r="V42" s="1574" t="s">
        <v>8</v>
      </c>
      <c r="W42" s="1575">
        <f t="shared" si="12"/>
        <v>100</v>
      </c>
      <c r="X42" s="3187"/>
      <c r="Y42" s="3404"/>
      <c r="Z42" s="3186" t="str">
        <f t="shared" si="13"/>
        <v>临街宽度及深度</v>
      </c>
      <c r="AA42" s="3189">
        <f t="shared" si="3"/>
        <v>1</v>
      </c>
      <c r="AB42" s="3189">
        <f t="shared" si="4"/>
        <v>1</v>
      </c>
      <c r="AC42" s="3189">
        <f t="shared" si="5"/>
        <v>1</v>
      </c>
    </row>
    <row r="43" spans="1:29" s="1220" customFormat="1" ht="20.25">
      <c r="A43" s="600"/>
      <c r="B43" s="1897" t="s">
        <v>2423</v>
      </c>
      <c r="C43" s="601" t="s">
        <v>3079</v>
      </c>
      <c r="D43" s="255">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2</v>
      </c>
      <c r="L43" s="2137"/>
      <c r="M43" s="2134"/>
      <c r="N43" s="2134"/>
      <c r="O43" s="2139"/>
      <c r="P43" s="3404"/>
      <c r="Q43" s="3185" t="str">
        <f t="shared" si="14"/>
        <v>宗地开发程度</v>
      </c>
      <c r="R43" s="1569" t="s">
        <v>8</v>
      </c>
      <c r="S43" s="1570">
        <f t="shared" si="10"/>
        <v>100</v>
      </c>
      <c r="T43" s="1569" t="s">
        <v>8</v>
      </c>
      <c r="U43" s="1570">
        <f t="shared" si="11"/>
        <v>100</v>
      </c>
      <c r="V43" s="1569" t="s">
        <v>8</v>
      </c>
      <c r="W43" s="1570">
        <f t="shared" si="12"/>
        <v>100</v>
      </c>
      <c r="X43" s="1571"/>
      <c r="Y43" s="3404"/>
      <c r="Z43" s="3183" t="str">
        <f t="shared" si="13"/>
        <v>宗地开发程度</v>
      </c>
      <c r="AA43" s="1572">
        <f t="shared" si="3"/>
        <v>1</v>
      </c>
      <c r="AB43" s="1572">
        <f t="shared" si="4"/>
        <v>1</v>
      </c>
      <c r="AC43" s="1572">
        <f t="shared" si="5"/>
        <v>1</v>
      </c>
    </row>
    <row r="44" spans="1:29" ht="21" thickBot="1">
      <c r="A44" s="594"/>
      <c r="B44" s="527" t="s">
        <v>555</v>
      </c>
      <c r="C44" s="599" t="s">
        <v>3068</v>
      </c>
      <c r="D44" s="540">
        <v>100</v>
      </c>
      <c r="E44" s="599" t="s">
        <v>3068</v>
      </c>
      <c r="F44" s="540">
        <f>SUMIF(127:127,E44,128:128)-SUMIF(127:127,C44,128:128)+100</f>
        <v>100</v>
      </c>
      <c r="G44" s="599" t="s">
        <v>3068</v>
      </c>
      <c r="H44" s="540">
        <f>SUMIF(127:127,G44,128:128)-SUMIF(127:127,C44,128:128)+100</f>
        <v>100</v>
      </c>
      <c r="I44" s="599" t="s">
        <v>3068</v>
      </c>
      <c r="J44" s="540">
        <f>SUMIF(127:127,I44,128:128)-SUMIF(127:127,C44,128:128)+100</f>
        <v>100</v>
      </c>
      <c r="K44" s="584">
        <v>2</v>
      </c>
      <c r="L44" s="2144"/>
      <c r="M44" s="2134"/>
      <c r="N44" s="2134"/>
      <c r="O44" s="2143"/>
      <c r="P44" s="3404" t="s">
        <v>550</v>
      </c>
      <c r="Q44" s="3185" t="str">
        <f t="shared" si="14"/>
        <v>工程地质条件</v>
      </c>
      <c r="R44" s="1574" t="s">
        <v>8</v>
      </c>
      <c r="S44" s="1575">
        <f t="shared" si="10"/>
        <v>100</v>
      </c>
      <c r="T44" s="1574" t="s">
        <v>8</v>
      </c>
      <c r="U44" s="1575">
        <f t="shared" si="11"/>
        <v>100</v>
      </c>
      <c r="V44" s="1574" t="s">
        <v>8</v>
      </c>
      <c r="W44" s="1575">
        <f t="shared" si="12"/>
        <v>100</v>
      </c>
      <c r="X44" s="3187"/>
      <c r="Y44" s="3404" t="s">
        <v>550</v>
      </c>
      <c r="Z44" s="3186" t="str">
        <f t="shared" si="13"/>
        <v>工程地质条件</v>
      </c>
      <c r="AA44" s="3189">
        <f t="shared" si="3"/>
        <v>1</v>
      </c>
      <c r="AB44" s="3189">
        <f t="shared" si="4"/>
        <v>1</v>
      </c>
      <c r="AC44" s="3189">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4"/>
      <c r="Q45" s="3185">
        <f t="shared" si="14"/>
        <v>0</v>
      </c>
      <c r="R45" s="1574" t="s">
        <v>8</v>
      </c>
      <c r="S45" s="1575">
        <f t="shared" si="10"/>
        <v>100</v>
      </c>
      <c r="T45" s="1574" t="s">
        <v>8</v>
      </c>
      <c r="U45" s="1575">
        <f t="shared" si="11"/>
        <v>100</v>
      </c>
      <c r="V45" s="1574" t="s">
        <v>8</v>
      </c>
      <c r="W45" s="1575">
        <f t="shared" si="12"/>
        <v>100</v>
      </c>
      <c r="X45" s="3187"/>
      <c r="Y45" s="3404"/>
      <c r="Z45" s="3186">
        <f t="shared" si="13"/>
        <v>0</v>
      </c>
      <c r="AA45" s="3189">
        <f t="shared" si="3"/>
        <v>1</v>
      </c>
      <c r="AB45" s="3189">
        <f t="shared" si="4"/>
        <v>1</v>
      </c>
      <c r="AC45" s="3189">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4"/>
      <c r="Q46" s="3185">
        <f t="shared" si="14"/>
        <v>0</v>
      </c>
      <c r="R46" s="1574" t="s">
        <v>8</v>
      </c>
      <c r="S46" s="1575">
        <f t="shared" si="10"/>
        <v>100</v>
      </c>
      <c r="T46" s="1574" t="s">
        <v>8</v>
      </c>
      <c r="U46" s="1575">
        <f t="shared" si="11"/>
        <v>100</v>
      </c>
      <c r="V46" s="1574" t="s">
        <v>8</v>
      </c>
      <c r="W46" s="1575">
        <f t="shared" si="12"/>
        <v>100</v>
      </c>
      <c r="X46" s="3187"/>
      <c r="Y46" s="3404"/>
      <c r="Z46" s="3186">
        <f t="shared" si="13"/>
        <v>0</v>
      </c>
      <c r="AA46" s="3189">
        <f t="shared" si="3"/>
        <v>1</v>
      </c>
      <c r="AB46" s="3189">
        <f t="shared" si="4"/>
        <v>1</v>
      </c>
      <c r="AC46" s="3189">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4"/>
      <c r="Q47" s="3185">
        <f t="shared" si="14"/>
        <v>0</v>
      </c>
      <c r="R47" s="1578" t="s">
        <v>8</v>
      </c>
      <c r="S47" s="1579">
        <f t="shared" si="10"/>
        <v>100</v>
      </c>
      <c r="T47" s="1578" t="s">
        <v>8</v>
      </c>
      <c r="U47" s="1579">
        <f t="shared" si="11"/>
        <v>100</v>
      </c>
      <c r="V47" s="1578" t="s">
        <v>8</v>
      </c>
      <c r="W47" s="1579">
        <f t="shared" si="12"/>
        <v>100</v>
      </c>
      <c r="X47" s="1580"/>
      <c r="Y47" s="3404"/>
      <c r="Z47" s="1581">
        <f t="shared" si="13"/>
        <v>0</v>
      </c>
      <c r="AA47" s="3189">
        <f t="shared" si="3"/>
        <v>1</v>
      </c>
      <c r="AB47" s="3189">
        <f t="shared" si="4"/>
        <v>1</v>
      </c>
      <c r="AC47" s="3189">
        <f t="shared" si="5"/>
        <v>1</v>
      </c>
    </row>
    <row r="48" spans="1:29" ht="20.25">
      <c r="A48" s="607" t="s">
        <v>556</v>
      </c>
      <c r="B48" s="608" t="s">
        <v>3069</v>
      </c>
      <c r="C48" s="609" t="s">
        <v>1</v>
      </c>
      <c r="D48" s="610"/>
      <c r="E48" s="611">
        <f>土地案例!L4</f>
        <v>2868</v>
      </c>
      <c r="F48" s="612"/>
      <c r="G48" s="613">
        <f>土地案例!L5</f>
        <v>2620</v>
      </c>
      <c r="H48" s="614"/>
      <c r="I48" s="611">
        <f>土地案例!L7</f>
        <v>2369</v>
      </c>
      <c r="J48" s="614"/>
      <c r="K48" s="1340"/>
      <c r="L48" s="2146"/>
      <c r="M48" s="2134"/>
      <c r="N48" s="2134"/>
      <c r="O48" s="2147"/>
      <c r="P48" s="3399" t="str">
        <f>A48</f>
        <v>成交单价</v>
      </c>
      <c r="Q48" s="3399"/>
      <c r="R48" s="3413">
        <f>E48</f>
        <v>2868</v>
      </c>
      <c r="S48" s="3413"/>
      <c r="T48" s="3413">
        <f>G48</f>
        <v>2620</v>
      </c>
      <c r="U48" s="3413"/>
      <c r="V48" s="3413">
        <f>I48</f>
        <v>2369</v>
      </c>
      <c r="W48" s="3413"/>
      <c r="X48" s="1560"/>
      <c r="Y48" s="1582"/>
      <c r="Z48" s="1560"/>
      <c r="AA48" s="1560"/>
      <c r="AB48" s="1560"/>
      <c r="AC48" s="1560"/>
    </row>
    <row r="49" spans="1:29" ht="21" thickBot="1">
      <c r="A49" s="615" t="s">
        <v>2692</v>
      </c>
      <c r="B49" s="616"/>
      <c r="C49" s="617">
        <f>R50</f>
        <v>2394</v>
      </c>
      <c r="D49" s="618"/>
      <c r="E49" s="617">
        <f>R49</f>
        <v>2573</v>
      </c>
      <c r="F49" s="619"/>
      <c r="G49" s="620">
        <f>T49</f>
        <v>2421</v>
      </c>
      <c r="H49" s="618"/>
      <c r="I49" s="617">
        <f>V49</f>
        <v>2189</v>
      </c>
      <c r="J49" s="618"/>
      <c r="K49" s="1341"/>
      <c r="L49" s="2146"/>
      <c r="M49" s="2134"/>
      <c r="N49" s="2134"/>
      <c r="O49" s="2147"/>
      <c r="P49" s="3399" t="str">
        <f>A49</f>
        <v>比较价格（元/平方米）</v>
      </c>
      <c r="Q49" s="3399"/>
      <c r="R49" s="3423">
        <f>ROUND(PRODUCT(R48,AA9:AA47),0)</f>
        <v>2573</v>
      </c>
      <c r="S49" s="3423"/>
      <c r="T49" s="3423">
        <f>ROUND(PRODUCT(T48,AB9:AB47),0)</f>
        <v>2421</v>
      </c>
      <c r="U49" s="3423"/>
      <c r="V49" s="3423">
        <f>ROUND(PRODUCT(V48,AC9:AC47),0)</f>
        <v>2189</v>
      </c>
      <c r="W49" s="3423"/>
      <c r="X49" s="1560"/>
      <c r="Y49" s="1560"/>
      <c r="Z49" s="1560"/>
      <c r="AA49" s="1560"/>
      <c r="AB49" s="1560"/>
      <c r="AC49" s="1560"/>
    </row>
    <row r="50" spans="1:29" ht="21" thickBot="1">
      <c r="A50" s="621" t="s">
        <v>2932</v>
      </c>
      <c r="B50" s="622"/>
      <c r="C50" s="623">
        <f>R50</f>
        <v>2394</v>
      </c>
      <c r="D50" s="623"/>
      <c r="E50" s="623"/>
      <c r="F50" s="623"/>
      <c r="G50" s="623"/>
      <c r="H50" s="623"/>
      <c r="I50" s="623"/>
      <c r="J50" s="623"/>
      <c r="K50" s="1342"/>
      <c r="L50" s="2146"/>
      <c r="M50" s="2134"/>
      <c r="N50" s="2134"/>
      <c r="O50" s="2147"/>
      <c r="P50" s="3420" t="str">
        <f>A50</f>
        <v>估价对象XX用房的比较价格（楼面单价，元/平方米）</v>
      </c>
      <c r="Q50" s="3421"/>
      <c r="R50" s="3422">
        <f>ROUND(AVERAGE(R49:V49),0)</f>
        <v>2394</v>
      </c>
      <c r="S50" s="3422"/>
      <c r="T50" s="3422"/>
      <c r="U50" s="3422"/>
      <c r="V50" s="3422"/>
      <c r="W50" s="3422"/>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0.1146521570151573</v>
      </c>
      <c r="F53" s="627" t="str">
        <f>IF(OR(E53&gt;=0.3,E53&lt;=-0.3),"超过30%","")</f>
        <v/>
      </c>
      <c r="G53" s="626">
        <f>IF(G48&lt;G49,G49/G48-1,G48/G49-1)</f>
        <v>8.2197439074762402E-2</v>
      </c>
      <c r="H53" s="627" t="str">
        <f>IF(OR(G53&gt;=0.3,G53&lt;=-0.3),"超过30%","")</f>
        <v/>
      </c>
      <c r="I53" s="626">
        <f>IF(I48&lt;I49,I49/I48-1,I48/I49-1)</f>
        <v>8.2229328460484252E-2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6.2783973564642714E-2</v>
      </c>
      <c r="F54" s="627" t="str">
        <f>IF(OR(E54&gt;=0.2,E54&lt;=-0.2),"超过20%","")</f>
        <v/>
      </c>
      <c r="G54" s="626">
        <f>IF(G49&lt;I49,I49/G49-1,G49/I49-1)</f>
        <v>0.10598446779351312</v>
      </c>
      <c r="H54" s="627" t="str">
        <f>IF(OR(G54&gt;=0.2,G54&lt;=-0.2),"超过20%","")</f>
        <v/>
      </c>
      <c r="I54" s="626">
        <f>IF(I49&lt;E49,E49/I49-1,I49/E49-1)</f>
        <v>0.17542256738236639</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383" t="s">
        <v>2281</v>
      </c>
      <c r="H57" s="3384"/>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2394</v>
      </c>
      <c r="C58" s="635">
        <v>1</v>
      </c>
      <c r="D58" s="2230">
        <v>1</v>
      </c>
      <c r="E58" s="635">
        <f>'数据-汇总表'!E8+'数据-汇总表'!E9</f>
        <v>126262.9</v>
      </c>
      <c r="F58" s="636">
        <f t="shared" ref="F58:F67" si="15">ROUND(B58*E58/10000,0)</f>
        <v>30227</v>
      </c>
      <c r="G58" s="3385"/>
      <c r="H58" s="338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387"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38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38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38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3188"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3188"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30227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2018-4-1</v>
      </c>
      <c r="D70" s="2825">
        <f>EDATE(C70,-3)</f>
        <v>43101</v>
      </c>
      <c r="E70" s="2825">
        <f t="shared" ref="E70:N70" si="18">EDATE(D70,-3)</f>
        <v>43009</v>
      </c>
      <c r="F70" s="2825">
        <f t="shared" si="18"/>
        <v>42917</v>
      </c>
      <c r="G70" s="2825">
        <f t="shared" si="18"/>
        <v>42826</v>
      </c>
      <c r="H70" s="2825">
        <f t="shared" si="18"/>
        <v>42736</v>
      </c>
      <c r="I70" s="2825">
        <f t="shared" si="18"/>
        <v>42644</v>
      </c>
      <c r="J70" s="2825">
        <f t="shared" si="18"/>
        <v>42552</v>
      </c>
      <c r="K70" s="2825">
        <f t="shared" si="18"/>
        <v>42461</v>
      </c>
      <c r="L70" s="2825">
        <f t="shared" si="18"/>
        <v>42370</v>
      </c>
      <c r="M70" s="2825">
        <f t="shared" si="18"/>
        <v>42278</v>
      </c>
      <c r="N70" s="2825">
        <f t="shared" si="18"/>
        <v>42186</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7" t="str">
        <f>YEAR(C70)&amp;"-"&amp;ROUNDUP(MONTH(C70)/3,0)</f>
        <v>2018-2</v>
      </c>
      <c r="D72" s="2827" t="str">
        <f>YEAR(D70)&amp;"-"&amp;ROUNDUP(MONTH(D70)/3,0)</f>
        <v>2018-1</v>
      </c>
      <c r="E72" s="2827" t="str">
        <f t="shared" ref="E72:N72" si="19">YEAR(E70)&amp;"-"&amp;ROUNDUP(MONTH(E70)/3,0)</f>
        <v>2017-4</v>
      </c>
      <c r="F72" s="2827" t="str">
        <f t="shared" si="19"/>
        <v>2017-3</v>
      </c>
      <c r="G72" s="2827" t="str">
        <f t="shared" si="19"/>
        <v>2017-2</v>
      </c>
      <c r="H72" s="2827" t="str">
        <f t="shared" si="19"/>
        <v>2017-1</v>
      </c>
      <c r="I72" s="2827" t="str">
        <f t="shared" si="19"/>
        <v>2016-4</v>
      </c>
      <c r="J72" s="2827" t="str">
        <f t="shared" si="19"/>
        <v>2016-3</v>
      </c>
      <c r="K72" s="2827" t="str">
        <f t="shared" si="19"/>
        <v>2016-2</v>
      </c>
      <c r="L72" s="2827" t="str">
        <f t="shared" si="19"/>
        <v>2016-1</v>
      </c>
      <c r="M72" s="2827" t="str">
        <f t="shared" si="19"/>
        <v>2015-4</v>
      </c>
      <c r="N72" s="2827"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2646</v>
      </c>
      <c r="B73" s="479" t="str">
        <f>"北京市平均增长率"&amp;TEXT(SUMIF(基准地价!N21:N25,A73,基准地价!P21:P25),"0.00%")</f>
        <v>北京市平均增长率2.17%</v>
      </c>
      <c r="C73" s="894">
        <v>100</v>
      </c>
      <c r="D73" s="3192">
        <f>C73-$C$74</f>
        <v>100</v>
      </c>
      <c r="E73" s="3192">
        <f t="shared" ref="E73:N73" si="20">D73-$C$74</f>
        <v>100</v>
      </c>
      <c r="F73" s="3192">
        <f t="shared" si="20"/>
        <v>100</v>
      </c>
      <c r="G73" s="3192">
        <f t="shared" si="20"/>
        <v>100</v>
      </c>
      <c r="H73" s="3192">
        <f t="shared" si="20"/>
        <v>100</v>
      </c>
      <c r="I73" s="3192">
        <f t="shared" si="20"/>
        <v>100</v>
      </c>
      <c r="J73" s="3192">
        <f t="shared" si="20"/>
        <v>100</v>
      </c>
      <c r="K73" s="3192">
        <f t="shared" si="20"/>
        <v>100</v>
      </c>
      <c r="L73" s="3192">
        <f t="shared" si="20"/>
        <v>100</v>
      </c>
      <c r="M73" s="3192">
        <f t="shared" si="20"/>
        <v>100</v>
      </c>
      <c r="N73" s="3192">
        <f t="shared" si="20"/>
        <v>100</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商业、商务</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8"/>
      <c r="O83" s="2168"/>
      <c r="P83" s="2167"/>
      <c r="Q83" s="2160"/>
      <c r="R83" s="2147"/>
      <c r="S83" s="2147"/>
      <c r="T83" s="2147"/>
      <c r="U83" s="2147"/>
      <c r="V83" s="2147"/>
      <c r="W83" s="2147"/>
      <c r="X83" s="2147"/>
      <c r="Y83" s="2147"/>
      <c r="Z83" s="2147"/>
      <c r="AA83" s="2147"/>
      <c r="AB83" s="2147"/>
      <c r="AC83" s="2147"/>
    </row>
    <row r="84" spans="1:29" s="1339" customFormat="1" ht="16.5" hidden="1" thickTop="1" thickBot="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6.5" hidden="1" thickTop="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6.5" hidden="1" thickTop="1" thickBot="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6.5" hidden="1" thickTop="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6.5" hidden="1" thickTop="1" thickBot="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6.5" hidden="1" thickTop="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75" hidden="1" thickTop="1" thickBot="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6.5" hidden="1" thickTop="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2548</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6.5" hidden="1" thickTop="1" thickBot="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6.5" hidden="1" thickTop="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3073</v>
      </c>
      <c r="D108" s="3194" t="s">
        <v>3074</v>
      </c>
      <c r="E108" s="3194" t="s">
        <v>3076</v>
      </c>
      <c r="F108" s="3194" t="s">
        <v>3077</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6.5" hidden="1" thickTop="1" thickBot="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6.5" hidden="1" thickTop="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6.5" hidden="1" thickTop="1" thickBot="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6.5" hidden="1" thickTop="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75" hidden="1" thickTop="1" thickBot="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6.5" hidden="1" thickTop="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75" hidden="1" thickTop="1" thickBot="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6.5" hidden="1" thickTop="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3071</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75" hidden="1" thickTop="1" thickBot="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6.5" hidden="1" thickTop="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3080</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3072</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6.5" hidden="1" thickTop="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6.5" hidden="1" thickTop="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6.5" hidden="1" thickTop="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P49:Q49"/>
    <mergeCell ref="R49:S49"/>
    <mergeCell ref="T49:U49"/>
    <mergeCell ref="P17:P37"/>
    <mergeCell ref="Y17:Y37"/>
    <mergeCell ref="V49:W49"/>
    <mergeCell ref="P50:Q50"/>
    <mergeCell ref="R50:W50"/>
    <mergeCell ref="P38:P47"/>
    <mergeCell ref="Y38:Y47"/>
    <mergeCell ref="P48:Q48"/>
    <mergeCell ref="R48:S48"/>
    <mergeCell ref="T48:U48"/>
    <mergeCell ref="V48:W48"/>
    <mergeCell ref="P10:Q10"/>
    <mergeCell ref="Y10:Z10"/>
    <mergeCell ref="P11:P16"/>
    <mergeCell ref="Y11:Y16"/>
    <mergeCell ref="Y9:Z9"/>
    <mergeCell ref="V6:W8"/>
    <mergeCell ref="Y6:Z8"/>
    <mergeCell ref="AA6:AA8"/>
    <mergeCell ref="AB6:AB8"/>
    <mergeCell ref="P9:Q9"/>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1"/>
  <sheetViews>
    <sheetView workbookViewId="0">
      <selection activeCell="I20" sqref="I20"/>
    </sheetView>
  </sheetViews>
  <sheetFormatPr defaultRowHeight="12.75"/>
  <cols>
    <col min="1" max="1" width="39.25" style="3190" customWidth="1"/>
    <col min="2" max="2" width="6.25" style="3190" customWidth="1"/>
    <col min="3" max="3" width="11.75" style="3190" customWidth="1"/>
    <col min="4" max="4" width="7.875" style="3190" customWidth="1"/>
    <col min="5" max="5" width="11.25" style="3190" customWidth="1"/>
    <col min="6" max="7" width="13.875" style="3190" customWidth="1"/>
    <col min="8" max="8" width="6.25" style="3190" customWidth="1"/>
    <col min="9" max="9" width="9" style="3190" customWidth="1"/>
    <col min="10" max="10" width="34.375" style="3190" customWidth="1"/>
    <col min="11" max="11" width="10.625" style="3190" customWidth="1"/>
    <col min="12" max="12" width="14.375" style="3190" customWidth="1"/>
    <col min="13" max="13" width="6.25" style="3190" customWidth="1"/>
    <col min="14" max="14" width="7.875" style="3190" customWidth="1"/>
    <col min="15" max="256" width="9" style="3190"/>
    <col min="257" max="257" width="39.25" style="3190" customWidth="1"/>
    <col min="258" max="258" width="6.25" style="3190" customWidth="1"/>
    <col min="259" max="259" width="11.75" style="3190" customWidth="1"/>
    <col min="260" max="260" width="7.875" style="3190" customWidth="1"/>
    <col min="261" max="261" width="11.25" style="3190" customWidth="1"/>
    <col min="262" max="263" width="13.875" style="3190" customWidth="1"/>
    <col min="264" max="264" width="6.25" style="3190" customWidth="1"/>
    <col min="265" max="265" width="9" style="3190" customWidth="1"/>
    <col min="266" max="266" width="34.375" style="3190" customWidth="1"/>
    <col min="267" max="267" width="10.625" style="3190" customWidth="1"/>
    <col min="268" max="268" width="14.375" style="3190" customWidth="1"/>
    <col min="269" max="269" width="6.25" style="3190" customWidth="1"/>
    <col min="270" max="270" width="7.875" style="3190" customWidth="1"/>
    <col min="271" max="512" width="9" style="3190"/>
    <col min="513" max="513" width="39.25" style="3190" customWidth="1"/>
    <col min="514" max="514" width="6.25" style="3190" customWidth="1"/>
    <col min="515" max="515" width="11.75" style="3190" customWidth="1"/>
    <col min="516" max="516" width="7.875" style="3190" customWidth="1"/>
    <col min="517" max="517" width="11.25" style="3190" customWidth="1"/>
    <col min="518" max="519" width="13.875" style="3190" customWidth="1"/>
    <col min="520" max="520" width="6.25" style="3190" customWidth="1"/>
    <col min="521" max="521" width="9" style="3190" customWidth="1"/>
    <col min="522" max="522" width="34.375" style="3190" customWidth="1"/>
    <col min="523" max="523" width="10.625" style="3190" customWidth="1"/>
    <col min="524" max="524" width="14.375" style="3190" customWidth="1"/>
    <col min="525" max="525" width="6.25" style="3190" customWidth="1"/>
    <col min="526" max="526" width="7.875" style="3190" customWidth="1"/>
    <col min="527" max="768" width="9" style="3190"/>
    <col min="769" max="769" width="39.25" style="3190" customWidth="1"/>
    <col min="770" max="770" width="6.25" style="3190" customWidth="1"/>
    <col min="771" max="771" width="11.75" style="3190" customWidth="1"/>
    <col min="772" max="772" width="7.875" style="3190" customWidth="1"/>
    <col min="773" max="773" width="11.25" style="3190" customWidth="1"/>
    <col min="774" max="775" width="13.875" style="3190" customWidth="1"/>
    <col min="776" max="776" width="6.25" style="3190" customWidth="1"/>
    <col min="777" max="777" width="9" style="3190" customWidth="1"/>
    <col min="778" max="778" width="34.375" style="3190" customWidth="1"/>
    <col min="779" max="779" width="10.625" style="3190" customWidth="1"/>
    <col min="780" max="780" width="14.375" style="3190" customWidth="1"/>
    <col min="781" max="781" width="6.25" style="3190" customWidth="1"/>
    <col min="782" max="782" width="7.875" style="3190" customWidth="1"/>
    <col min="783" max="1024" width="9" style="3190"/>
    <col min="1025" max="1025" width="39.25" style="3190" customWidth="1"/>
    <col min="1026" max="1026" width="6.25" style="3190" customWidth="1"/>
    <col min="1027" max="1027" width="11.75" style="3190" customWidth="1"/>
    <col min="1028" max="1028" width="7.875" style="3190" customWidth="1"/>
    <col min="1029" max="1029" width="11.25" style="3190" customWidth="1"/>
    <col min="1030" max="1031" width="13.875" style="3190" customWidth="1"/>
    <col min="1032" max="1032" width="6.25" style="3190" customWidth="1"/>
    <col min="1033" max="1033" width="9" style="3190" customWidth="1"/>
    <col min="1034" max="1034" width="34.375" style="3190" customWidth="1"/>
    <col min="1035" max="1035" width="10.625" style="3190" customWidth="1"/>
    <col min="1036" max="1036" width="14.375" style="3190" customWidth="1"/>
    <col min="1037" max="1037" width="6.25" style="3190" customWidth="1"/>
    <col min="1038" max="1038" width="7.875" style="3190" customWidth="1"/>
    <col min="1039" max="1280" width="9" style="3190"/>
    <col min="1281" max="1281" width="39.25" style="3190" customWidth="1"/>
    <col min="1282" max="1282" width="6.25" style="3190" customWidth="1"/>
    <col min="1283" max="1283" width="11.75" style="3190" customWidth="1"/>
    <col min="1284" max="1284" width="7.875" style="3190" customWidth="1"/>
    <col min="1285" max="1285" width="11.25" style="3190" customWidth="1"/>
    <col min="1286" max="1287" width="13.875" style="3190" customWidth="1"/>
    <col min="1288" max="1288" width="6.25" style="3190" customWidth="1"/>
    <col min="1289" max="1289" width="9" style="3190" customWidth="1"/>
    <col min="1290" max="1290" width="34.375" style="3190" customWidth="1"/>
    <col min="1291" max="1291" width="10.625" style="3190" customWidth="1"/>
    <col min="1292" max="1292" width="14.375" style="3190" customWidth="1"/>
    <col min="1293" max="1293" width="6.25" style="3190" customWidth="1"/>
    <col min="1294" max="1294" width="7.875" style="3190" customWidth="1"/>
    <col min="1295" max="1536" width="9" style="3190"/>
    <col min="1537" max="1537" width="39.25" style="3190" customWidth="1"/>
    <col min="1538" max="1538" width="6.25" style="3190" customWidth="1"/>
    <col min="1539" max="1539" width="11.75" style="3190" customWidth="1"/>
    <col min="1540" max="1540" width="7.875" style="3190" customWidth="1"/>
    <col min="1541" max="1541" width="11.25" style="3190" customWidth="1"/>
    <col min="1542" max="1543" width="13.875" style="3190" customWidth="1"/>
    <col min="1544" max="1544" width="6.25" style="3190" customWidth="1"/>
    <col min="1545" max="1545" width="9" style="3190" customWidth="1"/>
    <col min="1546" max="1546" width="34.375" style="3190" customWidth="1"/>
    <col min="1547" max="1547" width="10.625" style="3190" customWidth="1"/>
    <col min="1548" max="1548" width="14.375" style="3190" customWidth="1"/>
    <col min="1549" max="1549" width="6.25" style="3190" customWidth="1"/>
    <col min="1550" max="1550" width="7.875" style="3190" customWidth="1"/>
    <col min="1551" max="1792" width="9" style="3190"/>
    <col min="1793" max="1793" width="39.25" style="3190" customWidth="1"/>
    <col min="1794" max="1794" width="6.25" style="3190" customWidth="1"/>
    <col min="1795" max="1795" width="11.75" style="3190" customWidth="1"/>
    <col min="1796" max="1796" width="7.875" style="3190" customWidth="1"/>
    <col min="1797" max="1797" width="11.25" style="3190" customWidth="1"/>
    <col min="1798" max="1799" width="13.875" style="3190" customWidth="1"/>
    <col min="1800" max="1800" width="6.25" style="3190" customWidth="1"/>
    <col min="1801" max="1801" width="9" style="3190" customWidth="1"/>
    <col min="1802" max="1802" width="34.375" style="3190" customWidth="1"/>
    <col min="1803" max="1803" width="10.625" style="3190" customWidth="1"/>
    <col min="1804" max="1804" width="14.375" style="3190" customWidth="1"/>
    <col min="1805" max="1805" width="6.25" style="3190" customWidth="1"/>
    <col min="1806" max="1806" width="7.875" style="3190" customWidth="1"/>
    <col min="1807" max="2048" width="9" style="3190"/>
    <col min="2049" max="2049" width="39.25" style="3190" customWidth="1"/>
    <col min="2050" max="2050" width="6.25" style="3190" customWidth="1"/>
    <col min="2051" max="2051" width="11.75" style="3190" customWidth="1"/>
    <col min="2052" max="2052" width="7.875" style="3190" customWidth="1"/>
    <col min="2053" max="2053" width="11.25" style="3190" customWidth="1"/>
    <col min="2054" max="2055" width="13.875" style="3190" customWidth="1"/>
    <col min="2056" max="2056" width="6.25" style="3190" customWidth="1"/>
    <col min="2057" max="2057" width="9" style="3190" customWidth="1"/>
    <col min="2058" max="2058" width="34.375" style="3190" customWidth="1"/>
    <col min="2059" max="2059" width="10.625" style="3190" customWidth="1"/>
    <col min="2060" max="2060" width="14.375" style="3190" customWidth="1"/>
    <col min="2061" max="2061" width="6.25" style="3190" customWidth="1"/>
    <col min="2062" max="2062" width="7.875" style="3190" customWidth="1"/>
    <col min="2063" max="2304" width="9" style="3190"/>
    <col min="2305" max="2305" width="39.25" style="3190" customWidth="1"/>
    <col min="2306" max="2306" width="6.25" style="3190" customWidth="1"/>
    <col min="2307" max="2307" width="11.75" style="3190" customWidth="1"/>
    <col min="2308" max="2308" width="7.875" style="3190" customWidth="1"/>
    <col min="2309" max="2309" width="11.25" style="3190" customWidth="1"/>
    <col min="2310" max="2311" width="13.875" style="3190" customWidth="1"/>
    <col min="2312" max="2312" width="6.25" style="3190" customWidth="1"/>
    <col min="2313" max="2313" width="9" style="3190" customWidth="1"/>
    <col min="2314" max="2314" width="34.375" style="3190" customWidth="1"/>
    <col min="2315" max="2315" width="10.625" style="3190" customWidth="1"/>
    <col min="2316" max="2316" width="14.375" style="3190" customWidth="1"/>
    <col min="2317" max="2317" width="6.25" style="3190" customWidth="1"/>
    <col min="2318" max="2318" width="7.875" style="3190" customWidth="1"/>
    <col min="2319" max="2560" width="9" style="3190"/>
    <col min="2561" max="2561" width="39.25" style="3190" customWidth="1"/>
    <col min="2562" max="2562" width="6.25" style="3190" customWidth="1"/>
    <col min="2563" max="2563" width="11.75" style="3190" customWidth="1"/>
    <col min="2564" max="2564" width="7.875" style="3190" customWidth="1"/>
    <col min="2565" max="2565" width="11.25" style="3190" customWidth="1"/>
    <col min="2566" max="2567" width="13.875" style="3190" customWidth="1"/>
    <col min="2568" max="2568" width="6.25" style="3190" customWidth="1"/>
    <col min="2569" max="2569" width="9" style="3190" customWidth="1"/>
    <col min="2570" max="2570" width="34.375" style="3190" customWidth="1"/>
    <col min="2571" max="2571" width="10.625" style="3190" customWidth="1"/>
    <col min="2572" max="2572" width="14.375" style="3190" customWidth="1"/>
    <col min="2573" max="2573" width="6.25" style="3190" customWidth="1"/>
    <col min="2574" max="2574" width="7.875" style="3190" customWidth="1"/>
    <col min="2575" max="2816" width="9" style="3190"/>
    <col min="2817" max="2817" width="39.25" style="3190" customWidth="1"/>
    <col min="2818" max="2818" width="6.25" style="3190" customWidth="1"/>
    <col min="2819" max="2819" width="11.75" style="3190" customWidth="1"/>
    <col min="2820" max="2820" width="7.875" style="3190" customWidth="1"/>
    <col min="2821" max="2821" width="11.25" style="3190" customWidth="1"/>
    <col min="2822" max="2823" width="13.875" style="3190" customWidth="1"/>
    <col min="2824" max="2824" width="6.25" style="3190" customWidth="1"/>
    <col min="2825" max="2825" width="9" style="3190" customWidth="1"/>
    <col min="2826" max="2826" width="34.375" style="3190" customWidth="1"/>
    <col min="2827" max="2827" width="10.625" style="3190" customWidth="1"/>
    <col min="2828" max="2828" width="14.375" style="3190" customWidth="1"/>
    <col min="2829" max="2829" width="6.25" style="3190" customWidth="1"/>
    <col min="2830" max="2830" width="7.875" style="3190" customWidth="1"/>
    <col min="2831" max="3072" width="9" style="3190"/>
    <col min="3073" max="3073" width="39.25" style="3190" customWidth="1"/>
    <col min="3074" max="3074" width="6.25" style="3190" customWidth="1"/>
    <col min="3075" max="3075" width="11.75" style="3190" customWidth="1"/>
    <col min="3076" max="3076" width="7.875" style="3190" customWidth="1"/>
    <col min="3077" max="3077" width="11.25" style="3190" customWidth="1"/>
    <col min="3078" max="3079" width="13.875" style="3190" customWidth="1"/>
    <col min="3080" max="3080" width="6.25" style="3190" customWidth="1"/>
    <col min="3081" max="3081" width="9" style="3190" customWidth="1"/>
    <col min="3082" max="3082" width="34.375" style="3190" customWidth="1"/>
    <col min="3083" max="3083" width="10.625" style="3190" customWidth="1"/>
    <col min="3084" max="3084" width="14.375" style="3190" customWidth="1"/>
    <col min="3085" max="3085" width="6.25" style="3190" customWidth="1"/>
    <col min="3086" max="3086" width="7.875" style="3190" customWidth="1"/>
    <col min="3087" max="3328" width="9" style="3190"/>
    <col min="3329" max="3329" width="39.25" style="3190" customWidth="1"/>
    <col min="3330" max="3330" width="6.25" style="3190" customWidth="1"/>
    <col min="3331" max="3331" width="11.75" style="3190" customWidth="1"/>
    <col min="3332" max="3332" width="7.875" style="3190" customWidth="1"/>
    <col min="3333" max="3333" width="11.25" style="3190" customWidth="1"/>
    <col min="3334" max="3335" width="13.875" style="3190" customWidth="1"/>
    <col min="3336" max="3336" width="6.25" style="3190" customWidth="1"/>
    <col min="3337" max="3337" width="9" style="3190" customWidth="1"/>
    <col min="3338" max="3338" width="34.375" style="3190" customWidth="1"/>
    <col min="3339" max="3339" width="10.625" style="3190" customWidth="1"/>
    <col min="3340" max="3340" width="14.375" style="3190" customWidth="1"/>
    <col min="3341" max="3341" width="6.25" style="3190" customWidth="1"/>
    <col min="3342" max="3342" width="7.875" style="3190" customWidth="1"/>
    <col min="3343" max="3584" width="9" style="3190"/>
    <col min="3585" max="3585" width="39.25" style="3190" customWidth="1"/>
    <col min="3586" max="3586" width="6.25" style="3190" customWidth="1"/>
    <col min="3587" max="3587" width="11.75" style="3190" customWidth="1"/>
    <col min="3588" max="3588" width="7.875" style="3190" customWidth="1"/>
    <col min="3589" max="3589" width="11.25" style="3190" customWidth="1"/>
    <col min="3590" max="3591" width="13.875" style="3190" customWidth="1"/>
    <col min="3592" max="3592" width="6.25" style="3190" customWidth="1"/>
    <col min="3593" max="3593" width="9" style="3190" customWidth="1"/>
    <col min="3594" max="3594" width="34.375" style="3190" customWidth="1"/>
    <col min="3595" max="3595" width="10.625" style="3190" customWidth="1"/>
    <col min="3596" max="3596" width="14.375" style="3190" customWidth="1"/>
    <col min="3597" max="3597" width="6.25" style="3190" customWidth="1"/>
    <col min="3598" max="3598" width="7.875" style="3190" customWidth="1"/>
    <col min="3599" max="3840" width="9" style="3190"/>
    <col min="3841" max="3841" width="39.25" style="3190" customWidth="1"/>
    <col min="3842" max="3842" width="6.25" style="3190" customWidth="1"/>
    <col min="3843" max="3843" width="11.75" style="3190" customWidth="1"/>
    <col min="3844" max="3844" width="7.875" style="3190" customWidth="1"/>
    <col min="3845" max="3845" width="11.25" style="3190" customWidth="1"/>
    <col min="3846" max="3847" width="13.875" style="3190" customWidth="1"/>
    <col min="3848" max="3848" width="6.25" style="3190" customWidth="1"/>
    <col min="3849" max="3849" width="9" style="3190" customWidth="1"/>
    <col min="3850" max="3850" width="34.375" style="3190" customWidth="1"/>
    <col min="3851" max="3851" width="10.625" style="3190" customWidth="1"/>
    <col min="3852" max="3852" width="14.375" style="3190" customWidth="1"/>
    <col min="3853" max="3853" width="6.25" style="3190" customWidth="1"/>
    <col min="3854" max="3854" width="7.875" style="3190" customWidth="1"/>
    <col min="3855" max="4096" width="9" style="3190"/>
    <col min="4097" max="4097" width="39.25" style="3190" customWidth="1"/>
    <col min="4098" max="4098" width="6.25" style="3190" customWidth="1"/>
    <col min="4099" max="4099" width="11.75" style="3190" customWidth="1"/>
    <col min="4100" max="4100" width="7.875" style="3190" customWidth="1"/>
    <col min="4101" max="4101" width="11.25" style="3190" customWidth="1"/>
    <col min="4102" max="4103" width="13.875" style="3190" customWidth="1"/>
    <col min="4104" max="4104" width="6.25" style="3190" customWidth="1"/>
    <col min="4105" max="4105" width="9" style="3190" customWidth="1"/>
    <col min="4106" max="4106" width="34.375" style="3190" customWidth="1"/>
    <col min="4107" max="4107" width="10.625" style="3190" customWidth="1"/>
    <col min="4108" max="4108" width="14.375" style="3190" customWidth="1"/>
    <col min="4109" max="4109" width="6.25" style="3190" customWidth="1"/>
    <col min="4110" max="4110" width="7.875" style="3190" customWidth="1"/>
    <col min="4111" max="4352" width="9" style="3190"/>
    <col min="4353" max="4353" width="39.25" style="3190" customWidth="1"/>
    <col min="4354" max="4354" width="6.25" style="3190" customWidth="1"/>
    <col min="4355" max="4355" width="11.75" style="3190" customWidth="1"/>
    <col min="4356" max="4356" width="7.875" style="3190" customWidth="1"/>
    <col min="4357" max="4357" width="11.25" style="3190" customWidth="1"/>
    <col min="4358" max="4359" width="13.875" style="3190" customWidth="1"/>
    <col min="4360" max="4360" width="6.25" style="3190" customWidth="1"/>
    <col min="4361" max="4361" width="9" style="3190" customWidth="1"/>
    <col min="4362" max="4362" width="34.375" style="3190" customWidth="1"/>
    <col min="4363" max="4363" width="10.625" style="3190" customWidth="1"/>
    <col min="4364" max="4364" width="14.375" style="3190" customWidth="1"/>
    <col min="4365" max="4365" width="6.25" style="3190" customWidth="1"/>
    <col min="4366" max="4366" width="7.875" style="3190" customWidth="1"/>
    <col min="4367" max="4608" width="9" style="3190"/>
    <col min="4609" max="4609" width="39.25" style="3190" customWidth="1"/>
    <col min="4610" max="4610" width="6.25" style="3190" customWidth="1"/>
    <col min="4611" max="4611" width="11.75" style="3190" customWidth="1"/>
    <col min="4612" max="4612" width="7.875" style="3190" customWidth="1"/>
    <col min="4613" max="4613" width="11.25" style="3190" customWidth="1"/>
    <col min="4614" max="4615" width="13.875" style="3190" customWidth="1"/>
    <col min="4616" max="4616" width="6.25" style="3190" customWidth="1"/>
    <col min="4617" max="4617" width="9" style="3190" customWidth="1"/>
    <col min="4618" max="4618" width="34.375" style="3190" customWidth="1"/>
    <col min="4619" max="4619" width="10.625" style="3190" customWidth="1"/>
    <col min="4620" max="4620" width="14.375" style="3190" customWidth="1"/>
    <col min="4621" max="4621" width="6.25" style="3190" customWidth="1"/>
    <col min="4622" max="4622" width="7.875" style="3190" customWidth="1"/>
    <col min="4623" max="4864" width="9" style="3190"/>
    <col min="4865" max="4865" width="39.25" style="3190" customWidth="1"/>
    <col min="4866" max="4866" width="6.25" style="3190" customWidth="1"/>
    <col min="4867" max="4867" width="11.75" style="3190" customWidth="1"/>
    <col min="4868" max="4868" width="7.875" style="3190" customWidth="1"/>
    <col min="4869" max="4869" width="11.25" style="3190" customWidth="1"/>
    <col min="4870" max="4871" width="13.875" style="3190" customWidth="1"/>
    <col min="4872" max="4872" width="6.25" style="3190" customWidth="1"/>
    <col min="4873" max="4873" width="9" style="3190" customWidth="1"/>
    <col min="4874" max="4874" width="34.375" style="3190" customWidth="1"/>
    <col min="4875" max="4875" width="10.625" style="3190" customWidth="1"/>
    <col min="4876" max="4876" width="14.375" style="3190" customWidth="1"/>
    <col min="4877" max="4877" width="6.25" style="3190" customWidth="1"/>
    <col min="4878" max="4878" width="7.875" style="3190" customWidth="1"/>
    <col min="4879" max="5120" width="9" style="3190"/>
    <col min="5121" max="5121" width="39.25" style="3190" customWidth="1"/>
    <col min="5122" max="5122" width="6.25" style="3190" customWidth="1"/>
    <col min="5123" max="5123" width="11.75" style="3190" customWidth="1"/>
    <col min="5124" max="5124" width="7.875" style="3190" customWidth="1"/>
    <col min="5125" max="5125" width="11.25" style="3190" customWidth="1"/>
    <col min="5126" max="5127" width="13.875" style="3190" customWidth="1"/>
    <col min="5128" max="5128" width="6.25" style="3190" customWidth="1"/>
    <col min="5129" max="5129" width="9" style="3190" customWidth="1"/>
    <col min="5130" max="5130" width="34.375" style="3190" customWidth="1"/>
    <col min="5131" max="5131" width="10.625" style="3190" customWidth="1"/>
    <col min="5132" max="5132" width="14.375" style="3190" customWidth="1"/>
    <col min="5133" max="5133" width="6.25" style="3190" customWidth="1"/>
    <col min="5134" max="5134" width="7.875" style="3190" customWidth="1"/>
    <col min="5135" max="5376" width="9" style="3190"/>
    <col min="5377" max="5377" width="39.25" style="3190" customWidth="1"/>
    <col min="5378" max="5378" width="6.25" style="3190" customWidth="1"/>
    <col min="5379" max="5379" width="11.75" style="3190" customWidth="1"/>
    <col min="5380" max="5380" width="7.875" style="3190" customWidth="1"/>
    <col min="5381" max="5381" width="11.25" style="3190" customWidth="1"/>
    <col min="5382" max="5383" width="13.875" style="3190" customWidth="1"/>
    <col min="5384" max="5384" width="6.25" style="3190" customWidth="1"/>
    <col min="5385" max="5385" width="9" style="3190" customWidth="1"/>
    <col min="5386" max="5386" width="34.375" style="3190" customWidth="1"/>
    <col min="5387" max="5387" width="10.625" style="3190" customWidth="1"/>
    <col min="5388" max="5388" width="14.375" style="3190" customWidth="1"/>
    <col min="5389" max="5389" width="6.25" style="3190" customWidth="1"/>
    <col min="5390" max="5390" width="7.875" style="3190" customWidth="1"/>
    <col min="5391" max="5632" width="9" style="3190"/>
    <col min="5633" max="5633" width="39.25" style="3190" customWidth="1"/>
    <col min="5634" max="5634" width="6.25" style="3190" customWidth="1"/>
    <col min="5635" max="5635" width="11.75" style="3190" customWidth="1"/>
    <col min="5636" max="5636" width="7.875" style="3190" customWidth="1"/>
    <col min="5637" max="5637" width="11.25" style="3190" customWidth="1"/>
    <col min="5638" max="5639" width="13.875" style="3190" customWidth="1"/>
    <col min="5640" max="5640" width="6.25" style="3190" customWidth="1"/>
    <col min="5641" max="5641" width="9" style="3190" customWidth="1"/>
    <col min="5642" max="5642" width="34.375" style="3190" customWidth="1"/>
    <col min="5643" max="5643" width="10.625" style="3190" customWidth="1"/>
    <col min="5644" max="5644" width="14.375" style="3190" customWidth="1"/>
    <col min="5645" max="5645" width="6.25" style="3190" customWidth="1"/>
    <col min="5646" max="5646" width="7.875" style="3190" customWidth="1"/>
    <col min="5647" max="5888" width="9" style="3190"/>
    <col min="5889" max="5889" width="39.25" style="3190" customWidth="1"/>
    <col min="5890" max="5890" width="6.25" style="3190" customWidth="1"/>
    <col min="5891" max="5891" width="11.75" style="3190" customWidth="1"/>
    <col min="5892" max="5892" width="7.875" style="3190" customWidth="1"/>
    <col min="5893" max="5893" width="11.25" style="3190" customWidth="1"/>
    <col min="5894" max="5895" width="13.875" style="3190" customWidth="1"/>
    <col min="5896" max="5896" width="6.25" style="3190" customWidth="1"/>
    <col min="5897" max="5897" width="9" style="3190" customWidth="1"/>
    <col min="5898" max="5898" width="34.375" style="3190" customWidth="1"/>
    <col min="5899" max="5899" width="10.625" style="3190" customWidth="1"/>
    <col min="5900" max="5900" width="14.375" style="3190" customWidth="1"/>
    <col min="5901" max="5901" width="6.25" style="3190" customWidth="1"/>
    <col min="5902" max="5902" width="7.875" style="3190" customWidth="1"/>
    <col min="5903" max="6144" width="9" style="3190"/>
    <col min="6145" max="6145" width="39.25" style="3190" customWidth="1"/>
    <col min="6146" max="6146" width="6.25" style="3190" customWidth="1"/>
    <col min="6147" max="6147" width="11.75" style="3190" customWidth="1"/>
    <col min="6148" max="6148" width="7.875" style="3190" customWidth="1"/>
    <col min="6149" max="6149" width="11.25" style="3190" customWidth="1"/>
    <col min="6150" max="6151" width="13.875" style="3190" customWidth="1"/>
    <col min="6152" max="6152" width="6.25" style="3190" customWidth="1"/>
    <col min="6153" max="6153" width="9" style="3190" customWidth="1"/>
    <col min="6154" max="6154" width="34.375" style="3190" customWidth="1"/>
    <col min="6155" max="6155" width="10.625" style="3190" customWidth="1"/>
    <col min="6156" max="6156" width="14.375" style="3190" customWidth="1"/>
    <col min="6157" max="6157" width="6.25" style="3190" customWidth="1"/>
    <col min="6158" max="6158" width="7.875" style="3190" customWidth="1"/>
    <col min="6159" max="6400" width="9" style="3190"/>
    <col min="6401" max="6401" width="39.25" style="3190" customWidth="1"/>
    <col min="6402" max="6402" width="6.25" style="3190" customWidth="1"/>
    <col min="6403" max="6403" width="11.75" style="3190" customWidth="1"/>
    <col min="6404" max="6404" width="7.875" style="3190" customWidth="1"/>
    <col min="6405" max="6405" width="11.25" style="3190" customWidth="1"/>
    <col min="6406" max="6407" width="13.875" style="3190" customWidth="1"/>
    <col min="6408" max="6408" width="6.25" style="3190" customWidth="1"/>
    <col min="6409" max="6409" width="9" style="3190" customWidth="1"/>
    <col min="6410" max="6410" width="34.375" style="3190" customWidth="1"/>
    <col min="6411" max="6411" width="10.625" style="3190" customWidth="1"/>
    <col min="6412" max="6412" width="14.375" style="3190" customWidth="1"/>
    <col min="6413" max="6413" width="6.25" style="3190" customWidth="1"/>
    <col min="6414" max="6414" width="7.875" style="3190" customWidth="1"/>
    <col min="6415" max="6656" width="9" style="3190"/>
    <col min="6657" max="6657" width="39.25" style="3190" customWidth="1"/>
    <col min="6658" max="6658" width="6.25" style="3190" customWidth="1"/>
    <col min="6659" max="6659" width="11.75" style="3190" customWidth="1"/>
    <col min="6660" max="6660" width="7.875" style="3190" customWidth="1"/>
    <col min="6661" max="6661" width="11.25" style="3190" customWidth="1"/>
    <col min="6662" max="6663" width="13.875" style="3190" customWidth="1"/>
    <col min="6664" max="6664" width="6.25" style="3190" customWidth="1"/>
    <col min="6665" max="6665" width="9" style="3190" customWidth="1"/>
    <col min="6666" max="6666" width="34.375" style="3190" customWidth="1"/>
    <col min="6667" max="6667" width="10.625" style="3190" customWidth="1"/>
    <col min="6668" max="6668" width="14.375" style="3190" customWidth="1"/>
    <col min="6669" max="6669" width="6.25" style="3190" customWidth="1"/>
    <col min="6670" max="6670" width="7.875" style="3190" customWidth="1"/>
    <col min="6671" max="6912" width="9" style="3190"/>
    <col min="6913" max="6913" width="39.25" style="3190" customWidth="1"/>
    <col min="6914" max="6914" width="6.25" style="3190" customWidth="1"/>
    <col min="6915" max="6915" width="11.75" style="3190" customWidth="1"/>
    <col min="6916" max="6916" width="7.875" style="3190" customWidth="1"/>
    <col min="6917" max="6917" width="11.25" style="3190" customWidth="1"/>
    <col min="6918" max="6919" width="13.875" style="3190" customWidth="1"/>
    <col min="6920" max="6920" width="6.25" style="3190" customWidth="1"/>
    <col min="6921" max="6921" width="9" style="3190" customWidth="1"/>
    <col min="6922" max="6922" width="34.375" style="3190" customWidth="1"/>
    <col min="6923" max="6923" width="10.625" style="3190" customWidth="1"/>
    <col min="6924" max="6924" width="14.375" style="3190" customWidth="1"/>
    <col min="6925" max="6925" width="6.25" style="3190" customWidth="1"/>
    <col min="6926" max="6926" width="7.875" style="3190" customWidth="1"/>
    <col min="6927" max="7168" width="9" style="3190"/>
    <col min="7169" max="7169" width="39.25" style="3190" customWidth="1"/>
    <col min="7170" max="7170" width="6.25" style="3190" customWidth="1"/>
    <col min="7171" max="7171" width="11.75" style="3190" customWidth="1"/>
    <col min="7172" max="7172" width="7.875" style="3190" customWidth="1"/>
    <col min="7173" max="7173" width="11.25" style="3190" customWidth="1"/>
    <col min="7174" max="7175" width="13.875" style="3190" customWidth="1"/>
    <col min="7176" max="7176" width="6.25" style="3190" customWidth="1"/>
    <col min="7177" max="7177" width="9" style="3190" customWidth="1"/>
    <col min="7178" max="7178" width="34.375" style="3190" customWidth="1"/>
    <col min="7179" max="7179" width="10.625" style="3190" customWidth="1"/>
    <col min="7180" max="7180" width="14.375" style="3190" customWidth="1"/>
    <col min="7181" max="7181" width="6.25" style="3190" customWidth="1"/>
    <col min="7182" max="7182" width="7.875" style="3190" customWidth="1"/>
    <col min="7183" max="7424" width="9" style="3190"/>
    <col min="7425" max="7425" width="39.25" style="3190" customWidth="1"/>
    <col min="7426" max="7426" width="6.25" style="3190" customWidth="1"/>
    <col min="7427" max="7427" width="11.75" style="3190" customWidth="1"/>
    <col min="7428" max="7428" width="7.875" style="3190" customWidth="1"/>
    <col min="7429" max="7429" width="11.25" style="3190" customWidth="1"/>
    <col min="7430" max="7431" width="13.875" style="3190" customWidth="1"/>
    <col min="7432" max="7432" width="6.25" style="3190" customWidth="1"/>
    <col min="7433" max="7433" width="9" style="3190" customWidth="1"/>
    <col min="7434" max="7434" width="34.375" style="3190" customWidth="1"/>
    <col min="7435" max="7435" width="10.625" style="3190" customWidth="1"/>
    <col min="7436" max="7436" width="14.375" style="3190" customWidth="1"/>
    <col min="7437" max="7437" width="6.25" style="3190" customWidth="1"/>
    <col min="7438" max="7438" width="7.875" style="3190" customWidth="1"/>
    <col min="7439" max="7680" width="9" style="3190"/>
    <col min="7681" max="7681" width="39.25" style="3190" customWidth="1"/>
    <col min="7682" max="7682" width="6.25" style="3190" customWidth="1"/>
    <col min="7683" max="7683" width="11.75" style="3190" customWidth="1"/>
    <col min="7684" max="7684" width="7.875" style="3190" customWidth="1"/>
    <col min="7685" max="7685" width="11.25" style="3190" customWidth="1"/>
    <col min="7686" max="7687" width="13.875" style="3190" customWidth="1"/>
    <col min="7688" max="7688" width="6.25" style="3190" customWidth="1"/>
    <col min="7689" max="7689" width="9" style="3190" customWidth="1"/>
    <col min="7690" max="7690" width="34.375" style="3190" customWidth="1"/>
    <col min="7691" max="7691" width="10.625" style="3190" customWidth="1"/>
    <col min="7692" max="7692" width="14.375" style="3190" customWidth="1"/>
    <col min="7693" max="7693" width="6.25" style="3190" customWidth="1"/>
    <col min="7694" max="7694" width="7.875" style="3190" customWidth="1"/>
    <col min="7695" max="7936" width="9" style="3190"/>
    <col min="7937" max="7937" width="39.25" style="3190" customWidth="1"/>
    <col min="7938" max="7938" width="6.25" style="3190" customWidth="1"/>
    <col min="7939" max="7939" width="11.75" style="3190" customWidth="1"/>
    <col min="7940" max="7940" width="7.875" style="3190" customWidth="1"/>
    <col min="7941" max="7941" width="11.25" style="3190" customWidth="1"/>
    <col min="7942" max="7943" width="13.875" style="3190" customWidth="1"/>
    <col min="7944" max="7944" width="6.25" style="3190" customWidth="1"/>
    <col min="7945" max="7945" width="9" style="3190" customWidth="1"/>
    <col min="7946" max="7946" width="34.375" style="3190" customWidth="1"/>
    <col min="7947" max="7947" width="10.625" style="3190" customWidth="1"/>
    <col min="7948" max="7948" width="14.375" style="3190" customWidth="1"/>
    <col min="7949" max="7949" width="6.25" style="3190" customWidth="1"/>
    <col min="7950" max="7950" width="7.875" style="3190" customWidth="1"/>
    <col min="7951" max="8192" width="9" style="3190"/>
    <col min="8193" max="8193" width="39.25" style="3190" customWidth="1"/>
    <col min="8194" max="8194" width="6.25" style="3190" customWidth="1"/>
    <col min="8195" max="8195" width="11.75" style="3190" customWidth="1"/>
    <col min="8196" max="8196" width="7.875" style="3190" customWidth="1"/>
    <col min="8197" max="8197" width="11.25" style="3190" customWidth="1"/>
    <col min="8198" max="8199" width="13.875" style="3190" customWidth="1"/>
    <col min="8200" max="8200" width="6.25" style="3190" customWidth="1"/>
    <col min="8201" max="8201" width="9" style="3190" customWidth="1"/>
    <col min="8202" max="8202" width="34.375" style="3190" customWidth="1"/>
    <col min="8203" max="8203" width="10.625" style="3190" customWidth="1"/>
    <col min="8204" max="8204" width="14.375" style="3190" customWidth="1"/>
    <col min="8205" max="8205" width="6.25" style="3190" customWidth="1"/>
    <col min="8206" max="8206" width="7.875" style="3190" customWidth="1"/>
    <col min="8207" max="8448" width="9" style="3190"/>
    <col min="8449" max="8449" width="39.25" style="3190" customWidth="1"/>
    <col min="8450" max="8450" width="6.25" style="3190" customWidth="1"/>
    <col min="8451" max="8451" width="11.75" style="3190" customWidth="1"/>
    <col min="8452" max="8452" width="7.875" style="3190" customWidth="1"/>
    <col min="8453" max="8453" width="11.25" style="3190" customWidth="1"/>
    <col min="8454" max="8455" width="13.875" style="3190" customWidth="1"/>
    <col min="8456" max="8456" width="6.25" style="3190" customWidth="1"/>
    <col min="8457" max="8457" width="9" style="3190" customWidth="1"/>
    <col min="8458" max="8458" width="34.375" style="3190" customWidth="1"/>
    <col min="8459" max="8459" width="10.625" style="3190" customWidth="1"/>
    <col min="8460" max="8460" width="14.375" style="3190" customWidth="1"/>
    <col min="8461" max="8461" width="6.25" style="3190" customWidth="1"/>
    <col min="8462" max="8462" width="7.875" style="3190" customWidth="1"/>
    <col min="8463" max="8704" width="9" style="3190"/>
    <col min="8705" max="8705" width="39.25" style="3190" customWidth="1"/>
    <col min="8706" max="8706" width="6.25" style="3190" customWidth="1"/>
    <col min="8707" max="8707" width="11.75" style="3190" customWidth="1"/>
    <col min="8708" max="8708" width="7.875" style="3190" customWidth="1"/>
    <col min="8709" max="8709" width="11.25" style="3190" customWidth="1"/>
    <col min="8710" max="8711" width="13.875" style="3190" customWidth="1"/>
    <col min="8712" max="8712" width="6.25" style="3190" customWidth="1"/>
    <col min="8713" max="8713" width="9" style="3190" customWidth="1"/>
    <col min="8714" max="8714" width="34.375" style="3190" customWidth="1"/>
    <col min="8715" max="8715" width="10.625" style="3190" customWidth="1"/>
    <col min="8716" max="8716" width="14.375" style="3190" customWidth="1"/>
    <col min="8717" max="8717" width="6.25" style="3190" customWidth="1"/>
    <col min="8718" max="8718" width="7.875" style="3190" customWidth="1"/>
    <col min="8719" max="8960" width="9" style="3190"/>
    <col min="8961" max="8961" width="39.25" style="3190" customWidth="1"/>
    <col min="8962" max="8962" width="6.25" style="3190" customWidth="1"/>
    <col min="8963" max="8963" width="11.75" style="3190" customWidth="1"/>
    <col min="8964" max="8964" width="7.875" style="3190" customWidth="1"/>
    <col min="8965" max="8965" width="11.25" style="3190" customWidth="1"/>
    <col min="8966" max="8967" width="13.875" style="3190" customWidth="1"/>
    <col min="8968" max="8968" width="6.25" style="3190" customWidth="1"/>
    <col min="8969" max="8969" width="9" style="3190" customWidth="1"/>
    <col min="8970" max="8970" width="34.375" style="3190" customWidth="1"/>
    <col min="8971" max="8971" width="10.625" style="3190" customWidth="1"/>
    <col min="8972" max="8972" width="14.375" style="3190" customWidth="1"/>
    <col min="8973" max="8973" width="6.25" style="3190" customWidth="1"/>
    <col min="8974" max="8974" width="7.875" style="3190" customWidth="1"/>
    <col min="8975" max="9216" width="9" style="3190"/>
    <col min="9217" max="9217" width="39.25" style="3190" customWidth="1"/>
    <col min="9218" max="9218" width="6.25" style="3190" customWidth="1"/>
    <col min="9219" max="9219" width="11.75" style="3190" customWidth="1"/>
    <col min="9220" max="9220" width="7.875" style="3190" customWidth="1"/>
    <col min="9221" max="9221" width="11.25" style="3190" customWidth="1"/>
    <col min="9222" max="9223" width="13.875" style="3190" customWidth="1"/>
    <col min="9224" max="9224" width="6.25" style="3190" customWidth="1"/>
    <col min="9225" max="9225" width="9" style="3190" customWidth="1"/>
    <col min="9226" max="9226" width="34.375" style="3190" customWidth="1"/>
    <col min="9227" max="9227" width="10.625" style="3190" customWidth="1"/>
    <col min="9228" max="9228" width="14.375" style="3190" customWidth="1"/>
    <col min="9229" max="9229" width="6.25" style="3190" customWidth="1"/>
    <col min="9230" max="9230" width="7.875" style="3190" customWidth="1"/>
    <col min="9231" max="9472" width="9" style="3190"/>
    <col min="9473" max="9473" width="39.25" style="3190" customWidth="1"/>
    <col min="9474" max="9474" width="6.25" style="3190" customWidth="1"/>
    <col min="9475" max="9475" width="11.75" style="3190" customWidth="1"/>
    <col min="9476" max="9476" width="7.875" style="3190" customWidth="1"/>
    <col min="9477" max="9477" width="11.25" style="3190" customWidth="1"/>
    <col min="9478" max="9479" width="13.875" style="3190" customWidth="1"/>
    <col min="9480" max="9480" width="6.25" style="3190" customWidth="1"/>
    <col min="9481" max="9481" width="9" style="3190" customWidth="1"/>
    <col min="9482" max="9482" width="34.375" style="3190" customWidth="1"/>
    <col min="9483" max="9483" width="10.625" style="3190" customWidth="1"/>
    <col min="9484" max="9484" width="14.375" style="3190" customWidth="1"/>
    <col min="9485" max="9485" width="6.25" style="3190" customWidth="1"/>
    <col min="9486" max="9486" width="7.875" style="3190" customWidth="1"/>
    <col min="9487" max="9728" width="9" style="3190"/>
    <col min="9729" max="9729" width="39.25" style="3190" customWidth="1"/>
    <col min="9730" max="9730" width="6.25" style="3190" customWidth="1"/>
    <col min="9731" max="9731" width="11.75" style="3190" customWidth="1"/>
    <col min="9732" max="9732" width="7.875" style="3190" customWidth="1"/>
    <col min="9733" max="9733" width="11.25" style="3190" customWidth="1"/>
    <col min="9734" max="9735" width="13.875" style="3190" customWidth="1"/>
    <col min="9736" max="9736" width="6.25" style="3190" customWidth="1"/>
    <col min="9737" max="9737" width="9" style="3190" customWidth="1"/>
    <col min="9738" max="9738" width="34.375" style="3190" customWidth="1"/>
    <col min="9739" max="9739" width="10.625" style="3190" customWidth="1"/>
    <col min="9740" max="9740" width="14.375" style="3190" customWidth="1"/>
    <col min="9741" max="9741" width="6.25" style="3190" customWidth="1"/>
    <col min="9742" max="9742" width="7.875" style="3190" customWidth="1"/>
    <col min="9743" max="9984" width="9" style="3190"/>
    <col min="9985" max="9985" width="39.25" style="3190" customWidth="1"/>
    <col min="9986" max="9986" width="6.25" style="3190" customWidth="1"/>
    <col min="9987" max="9987" width="11.75" style="3190" customWidth="1"/>
    <col min="9988" max="9988" width="7.875" style="3190" customWidth="1"/>
    <col min="9989" max="9989" width="11.25" style="3190" customWidth="1"/>
    <col min="9990" max="9991" width="13.875" style="3190" customWidth="1"/>
    <col min="9992" max="9992" width="6.25" style="3190" customWidth="1"/>
    <col min="9993" max="9993" width="9" style="3190" customWidth="1"/>
    <col min="9994" max="9994" width="34.375" style="3190" customWidth="1"/>
    <col min="9995" max="9995" width="10.625" style="3190" customWidth="1"/>
    <col min="9996" max="9996" width="14.375" style="3190" customWidth="1"/>
    <col min="9997" max="9997" width="6.25" style="3190" customWidth="1"/>
    <col min="9998" max="9998" width="7.875" style="3190" customWidth="1"/>
    <col min="9999" max="10240" width="9" style="3190"/>
    <col min="10241" max="10241" width="39.25" style="3190" customWidth="1"/>
    <col min="10242" max="10242" width="6.25" style="3190" customWidth="1"/>
    <col min="10243" max="10243" width="11.75" style="3190" customWidth="1"/>
    <col min="10244" max="10244" width="7.875" style="3190" customWidth="1"/>
    <col min="10245" max="10245" width="11.25" style="3190" customWidth="1"/>
    <col min="10246" max="10247" width="13.875" style="3190" customWidth="1"/>
    <col min="10248" max="10248" width="6.25" style="3190" customWidth="1"/>
    <col min="10249" max="10249" width="9" style="3190" customWidth="1"/>
    <col min="10250" max="10250" width="34.375" style="3190" customWidth="1"/>
    <col min="10251" max="10251" width="10.625" style="3190" customWidth="1"/>
    <col min="10252" max="10252" width="14.375" style="3190" customWidth="1"/>
    <col min="10253" max="10253" width="6.25" style="3190" customWidth="1"/>
    <col min="10254" max="10254" width="7.875" style="3190" customWidth="1"/>
    <col min="10255" max="10496" width="9" style="3190"/>
    <col min="10497" max="10497" width="39.25" style="3190" customWidth="1"/>
    <col min="10498" max="10498" width="6.25" style="3190" customWidth="1"/>
    <col min="10499" max="10499" width="11.75" style="3190" customWidth="1"/>
    <col min="10500" max="10500" width="7.875" style="3190" customWidth="1"/>
    <col min="10501" max="10501" width="11.25" style="3190" customWidth="1"/>
    <col min="10502" max="10503" width="13.875" style="3190" customWidth="1"/>
    <col min="10504" max="10504" width="6.25" style="3190" customWidth="1"/>
    <col min="10505" max="10505" width="9" style="3190" customWidth="1"/>
    <col min="10506" max="10506" width="34.375" style="3190" customWidth="1"/>
    <col min="10507" max="10507" width="10.625" style="3190" customWidth="1"/>
    <col min="10508" max="10508" width="14.375" style="3190" customWidth="1"/>
    <col min="10509" max="10509" width="6.25" style="3190" customWidth="1"/>
    <col min="10510" max="10510" width="7.875" style="3190" customWidth="1"/>
    <col min="10511" max="10752" width="9" style="3190"/>
    <col min="10753" max="10753" width="39.25" style="3190" customWidth="1"/>
    <col min="10754" max="10754" width="6.25" style="3190" customWidth="1"/>
    <col min="10755" max="10755" width="11.75" style="3190" customWidth="1"/>
    <col min="10756" max="10756" width="7.875" style="3190" customWidth="1"/>
    <col min="10757" max="10757" width="11.25" style="3190" customWidth="1"/>
    <col min="10758" max="10759" width="13.875" style="3190" customWidth="1"/>
    <col min="10760" max="10760" width="6.25" style="3190" customWidth="1"/>
    <col min="10761" max="10761" width="9" style="3190" customWidth="1"/>
    <col min="10762" max="10762" width="34.375" style="3190" customWidth="1"/>
    <col min="10763" max="10763" width="10.625" style="3190" customWidth="1"/>
    <col min="10764" max="10764" width="14.375" style="3190" customWidth="1"/>
    <col min="10765" max="10765" width="6.25" style="3190" customWidth="1"/>
    <col min="10766" max="10766" width="7.875" style="3190" customWidth="1"/>
    <col min="10767" max="11008" width="9" style="3190"/>
    <col min="11009" max="11009" width="39.25" style="3190" customWidth="1"/>
    <col min="11010" max="11010" width="6.25" style="3190" customWidth="1"/>
    <col min="11011" max="11011" width="11.75" style="3190" customWidth="1"/>
    <col min="11012" max="11012" width="7.875" style="3190" customWidth="1"/>
    <col min="11013" max="11013" width="11.25" style="3190" customWidth="1"/>
    <col min="11014" max="11015" width="13.875" style="3190" customWidth="1"/>
    <col min="11016" max="11016" width="6.25" style="3190" customWidth="1"/>
    <col min="11017" max="11017" width="9" style="3190" customWidth="1"/>
    <col min="11018" max="11018" width="34.375" style="3190" customWidth="1"/>
    <col min="11019" max="11019" width="10.625" style="3190" customWidth="1"/>
    <col min="11020" max="11020" width="14.375" style="3190" customWidth="1"/>
    <col min="11021" max="11021" width="6.25" style="3190" customWidth="1"/>
    <col min="11022" max="11022" width="7.875" style="3190" customWidth="1"/>
    <col min="11023" max="11264" width="9" style="3190"/>
    <col min="11265" max="11265" width="39.25" style="3190" customWidth="1"/>
    <col min="11266" max="11266" width="6.25" style="3190" customWidth="1"/>
    <col min="11267" max="11267" width="11.75" style="3190" customWidth="1"/>
    <col min="11268" max="11268" width="7.875" style="3190" customWidth="1"/>
    <col min="11269" max="11269" width="11.25" style="3190" customWidth="1"/>
    <col min="11270" max="11271" width="13.875" style="3190" customWidth="1"/>
    <col min="11272" max="11272" width="6.25" style="3190" customWidth="1"/>
    <col min="11273" max="11273" width="9" style="3190" customWidth="1"/>
    <col min="11274" max="11274" width="34.375" style="3190" customWidth="1"/>
    <col min="11275" max="11275" width="10.625" style="3190" customWidth="1"/>
    <col min="11276" max="11276" width="14.375" style="3190" customWidth="1"/>
    <col min="11277" max="11277" width="6.25" style="3190" customWidth="1"/>
    <col min="11278" max="11278" width="7.875" style="3190" customWidth="1"/>
    <col min="11279" max="11520" width="9" style="3190"/>
    <col min="11521" max="11521" width="39.25" style="3190" customWidth="1"/>
    <col min="11522" max="11522" width="6.25" style="3190" customWidth="1"/>
    <col min="11523" max="11523" width="11.75" style="3190" customWidth="1"/>
    <col min="11524" max="11524" width="7.875" style="3190" customWidth="1"/>
    <col min="11525" max="11525" width="11.25" style="3190" customWidth="1"/>
    <col min="11526" max="11527" width="13.875" style="3190" customWidth="1"/>
    <col min="11528" max="11528" width="6.25" style="3190" customWidth="1"/>
    <col min="11529" max="11529" width="9" style="3190" customWidth="1"/>
    <col min="11530" max="11530" width="34.375" style="3190" customWidth="1"/>
    <col min="11531" max="11531" width="10.625" style="3190" customWidth="1"/>
    <col min="11532" max="11532" width="14.375" style="3190" customWidth="1"/>
    <col min="11533" max="11533" width="6.25" style="3190" customWidth="1"/>
    <col min="11534" max="11534" width="7.875" style="3190" customWidth="1"/>
    <col min="11535" max="11776" width="9" style="3190"/>
    <col min="11777" max="11777" width="39.25" style="3190" customWidth="1"/>
    <col min="11778" max="11778" width="6.25" style="3190" customWidth="1"/>
    <col min="11779" max="11779" width="11.75" style="3190" customWidth="1"/>
    <col min="11780" max="11780" width="7.875" style="3190" customWidth="1"/>
    <col min="11781" max="11781" width="11.25" style="3190" customWidth="1"/>
    <col min="11782" max="11783" width="13.875" style="3190" customWidth="1"/>
    <col min="11784" max="11784" width="6.25" style="3190" customWidth="1"/>
    <col min="11785" max="11785" width="9" style="3190" customWidth="1"/>
    <col min="11786" max="11786" width="34.375" style="3190" customWidth="1"/>
    <col min="11787" max="11787" width="10.625" style="3190" customWidth="1"/>
    <col min="11788" max="11788" width="14.375" style="3190" customWidth="1"/>
    <col min="11789" max="11789" width="6.25" style="3190" customWidth="1"/>
    <col min="11790" max="11790" width="7.875" style="3190" customWidth="1"/>
    <col min="11791" max="12032" width="9" style="3190"/>
    <col min="12033" max="12033" width="39.25" style="3190" customWidth="1"/>
    <col min="12034" max="12034" width="6.25" style="3190" customWidth="1"/>
    <col min="12035" max="12035" width="11.75" style="3190" customWidth="1"/>
    <col min="12036" max="12036" width="7.875" style="3190" customWidth="1"/>
    <col min="12037" max="12037" width="11.25" style="3190" customWidth="1"/>
    <col min="12038" max="12039" width="13.875" style="3190" customWidth="1"/>
    <col min="12040" max="12040" width="6.25" style="3190" customWidth="1"/>
    <col min="12041" max="12041" width="9" style="3190" customWidth="1"/>
    <col min="12042" max="12042" width="34.375" style="3190" customWidth="1"/>
    <col min="12043" max="12043" width="10.625" style="3190" customWidth="1"/>
    <col min="12044" max="12044" width="14.375" style="3190" customWidth="1"/>
    <col min="12045" max="12045" width="6.25" style="3190" customWidth="1"/>
    <col min="12046" max="12046" width="7.875" style="3190" customWidth="1"/>
    <col min="12047" max="12288" width="9" style="3190"/>
    <col min="12289" max="12289" width="39.25" style="3190" customWidth="1"/>
    <col min="12290" max="12290" width="6.25" style="3190" customWidth="1"/>
    <col min="12291" max="12291" width="11.75" style="3190" customWidth="1"/>
    <col min="12292" max="12292" width="7.875" style="3190" customWidth="1"/>
    <col min="12293" max="12293" width="11.25" style="3190" customWidth="1"/>
    <col min="12294" max="12295" width="13.875" style="3190" customWidth="1"/>
    <col min="12296" max="12296" width="6.25" style="3190" customWidth="1"/>
    <col min="12297" max="12297" width="9" style="3190" customWidth="1"/>
    <col min="12298" max="12298" width="34.375" style="3190" customWidth="1"/>
    <col min="12299" max="12299" width="10.625" style="3190" customWidth="1"/>
    <col min="12300" max="12300" width="14.375" style="3190" customWidth="1"/>
    <col min="12301" max="12301" width="6.25" style="3190" customWidth="1"/>
    <col min="12302" max="12302" width="7.875" style="3190" customWidth="1"/>
    <col min="12303" max="12544" width="9" style="3190"/>
    <col min="12545" max="12545" width="39.25" style="3190" customWidth="1"/>
    <col min="12546" max="12546" width="6.25" style="3190" customWidth="1"/>
    <col min="12547" max="12547" width="11.75" style="3190" customWidth="1"/>
    <col min="12548" max="12548" width="7.875" style="3190" customWidth="1"/>
    <col min="12549" max="12549" width="11.25" style="3190" customWidth="1"/>
    <col min="12550" max="12551" width="13.875" style="3190" customWidth="1"/>
    <col min="12552" max="12552" width="6.25" style="3190" customWidth="1"/>
    <col min="12553" max="12553" width="9" style="3190" customWidth="1"/>
    <col min="12554" max="12554" width="34.375" style="3190" customWidth="1"/>
    <col min="12555" max="12555" width="10.625" style="3190" customWidth="1"/>
    <col min="12556" max="12556" width="14.375" style="3190" customWidth="1"/>
    <col min="12557" max="12557" width="6.25" style="3190" customWidth="1"/>
    <col min="12558" max="12558" width="7.875" style="3190" customWidth="1"/>
    <col min="12559" max="12800" width="9" style="3190"/>
    <col min="12801" max="12801" width="39.25" style="3190" customWidth="1"/>
    <col min="12802" max="12802" width="6.25" style="3190" customWidth="1"/>
    <col min="12803" max="12803" width="11.75" style="3190" customWidth="1"/>
    <col min="12804" max="12804" width="7.875" style="3190" customWidth="1"/>
    <col min="12805" max="12805" width="11.25" style="3190" customWidth="1"/>
    <col min="12806" max="12807" width="13.875" style="3190" customWidth="1"/>
    <col min="12808" max="12808" width="6.25" style="3190" customWidth="1"/>
    <col min="12809" max="12809" width="9" style="3190" customWidth="1"/>
    <col min="12810" max="12810" width="34.375" style="3190" customWidth="1"/>
    <col min="12811" max="12811" width="10.625" style="3190" customWidth="1"/>
    <col min="12812" max="12812" width="14.375" style="3190" customWidth="1"/>
    <col min="12813" max="12813" width="6.25" style="3190" customWidth="1"/>
    <col min="12814" max="12814" width="7.875" style="3190" customWidth="1"/>
    <col min="12815" max="13056" width="9" style="3190"/>
    <col min="13057" max="13057" width="39.25" style="3190" customWidth="1"/>
    <col min="13058" max="13058" width="6.25" style="3190" customWidth="1"/>
    <col min="13059" max="13059" width="11.75" style="3190" customWidth="1"/>
    <col min="13060" max="13060" width="7.875" style="3190" customWidth="1"/>
    <col min="13061" max="13061" width="11.25" style="3190" customWidth="1"/>
    <col min="13062" max="13063" width="13.875" style="3190" customWidth="1"/>
    <col min="13064" max="13064" width="6.25" style="3190" customWidth="1"/>
    <col min="13065" max="13065" width="9" style="3190" customWidth="1"/>
    <col min="13066" max="13066" width="34.375" style="3190" customWidth="1"/>
    <col min="13067" max="13067" width="10.625" style="3190" customWidth="1"/>
    <col min="13068" max="13068" width="14.375" style="3190" customWidth="1"/>
    <col min="13069" max="13069" width="6.25" style="3190" customWidth="1"/>
    <col min="13070" max="13070" width="7.875" style="3190" customWidth="1"/>
    <col min="13071" max="13312" width="9" style="3190"/>
    <col min="13313" max="13313" width="39.25" style="3190" customWidth="1"/>
    <col min="13314" max="13314" width="6.25" style="3190" customWidth="1"/>
    <col min="13315" max="13315" width="11.75" style="3190" customWidth="1"/>
    <col min="13316" max="13316" width="7.875" style="3190" customWidth="1"/>
    <col min="13317" max="13317" width="11.25" style="3190" customWidth="1"/>
    <col min="13318" max="13319" width="13.875" style="3190" customWidth="1"/>
    <col min="13320" max="13320" width="6.25" style="3190" customWidth="1"/>
    <col min="13321" max="13321" width="9" style="3190" customWidth="1"/>
    <col min="13322" max="13322" width="34.375" style="3190" customWidth="1"/>
    <col min="13323" max="13323" width="10.625" style="3190" customWidth="1"/>
    <col min="13324" max="13324" width="14.375" style="3190" customWidth="1"/>
    <col min="13325" max="13325" width="6.25" style="3190" customWidth="1"/>
    <col min="13326" max="13326" width="7.875" style="3190" customWidth="1"/>
    <col min="13327" max="13568" width="9" style="3190"/>
    <col min="13569" max="13569" width="39.25" style="3190" customWidth="1"/>
    <col min="13570" max="13570" width="6.25" style="3190" customWidth="1"/>
    <col min="13571" max="13571" width="11.75" style="3190" customWidth="1"/>
    <col min="13572" max="13572" width="7.875" style="3190" customWidth="1"/>
    <col min="13573" max="13573" width="11.25" style="3190" customWidth="1"/>
    <col min="13574" max="13575" width="13.875" style="3190" customWidth="1"/>
    <col min="13576" max="13576" width="6.25" style="3190" customWidth="1"/>
    <col min="13577" max="13577" width="9" style="3190" customWidth="1"/>
    <col min="13578" max="13578" width="34.375" style="3190" customWidth="1"/>
    <col min="13579" max="13579" width="10.625" style="3190" customWidth="1"/>
    <col min="13580" max="13580" width="14.375" style="3190" customWidth="1"/>
    <col min="13581" max="13581" width="6.25" style="3190" customWidth="1"/>
    <col min="13582" max="13582" width="7.875" style="3190" customWidth="1"/>
    <col min="13583" max="13824" width="9" style="3190"/>
    <col min="13825" max="13825" width="39.25" style="3190" customWidth="1"/>
    <col min="13826" max="13826" width="6.25" style="3190" customWidth="1"/>
    <col min="13827" max="13827" width="11.75" style="3190" customWidth="1"/>
    <col min="13828" max="13828" width="7.875" style="3190" customWidth="1"/>
    <col min="13829" max="13829" width="11.25" style="3190" customWidth="1"/>
    <col min="13830" max="13831" width="13.875" style="3190" customWidth="1"/>
    <col min="13832" max="13832" width="6.25" style="3190" customWidth="1"/>
    <col min="13833" max="13833" width="9" style="3190" customWidth="1"/>
    <col min="13834" max="13834" width="34.375" style="3190" customWidth="1"/>
    <col min="13835" max="13835" width="10.625" style="3190" customWidth="1"/>
    <col min="13836" max="13836" width="14.375" style="3190" customWidth="1"/>
    <col min="13837" max="13837" width="6.25" style="3190" customWidth="1"/>
    <col min="13838" max="13838" width="7.875" style="3190" customWidth="1"/>
    <col min="13839" max="14080" width="9" style="3190"/>
    <col min="14081" max="14081" width="39.25" style="3190" customWidth="1"/>
    <col min="14082" max="14082" width="6.25" style="3190" customWidth="1"/>
    <col min="14083" max="14083" width="11.75" style="3190" customWidth="1"/>
    <col min="14084" max="14084" width="7.875" style="3190" customWidth="1"/>
    <col min="14085" max="14085" width="11.25" style="3190" customWidth="1"/>
    <col min="14086" max="14087" width="13.875" style="3190" customWidth="1"/>
    <col min="14088" max="14088" width="6.25" style="3190" customWidth="1"/>
    <col min="14089" max="14089" width="9" style="3190" customWidth="1"/>
    <col min="14090" max="14090" width="34.375" style="3190" customWidth="1"/>
    <col min="14091" max="14091" width="10.625" style="3190" customWidth="1"/>
    <col min="14092" max="14092" width="14.375" style="3190" customWidth="1"/>
    <col min="14093" max="14093" width="6.25" style="3190" customWidth="1"/>
    <col min="14094" max="14094" width="7.875" style="3190" customWidth="1"/>
    <col min="14095" max="14336" width="9" style="3190"/>
    <col min="14337" max="14337" width="39.25" style="3190" customWidth="1"/>
    <col min="14338" max="14338" width="6.25" style="3190" customWidth="1"/>
    <col min="14339" max="14339" width="11.75" style="3190" customWidth="1"/>
    <col min="14340" max="14340" width="7.875" style="3190" customWidth="1"/>
    <col min="14341" max="14341" width="11.25" style="3190" customWidth="1"/>
    <col min="14342" max="14343" width="13.875" style="3190" customWidth="1"/>
    <col min="14344" max="14344" width="6.25" style="3190" customWidth="1"/>
    <col min="14345" max="14345" width="9" style="3190" customWidth="1"/>
    <col min="14346" max="14346" width="34.375" style="3190" customWidth="1"/>
    <col min="14347" max="14347" width="10.625" style="3190" customWidth="1"/>
    <col min="14348" max="14348" width="14.375" style="3190" customWidth="1"/>
    <col min="14349" max="14349" width="6.25" style="3190" customWidth="1"/>
    <col min="14350" max="14350" width="7.875" style="3190" customWidth="1"/>
    <col min="14351" max="14592" width="9" style="3190"/>
    <col min="14593" max="14593" width="39.25" style="3190" customWidth="1"/>
    <col min="14594" max="14594" width="6.25" style="3190" customWidth="1"/>
    <col min="14595" max="14595" width="11.75" style="3190" customWidth="1"/>
    <col min="14596" max="14596" width="7.875" style="3190" customWidth="1"/>
    <col min="14597" max="14597" width="11.25" style="3190" customWidth="1"/>
    <col min="14598" max="14599" width="13.875" style="3190" customWidth="1"/>
    <col min="14600" max="14600" width="6.25" style="3190" customWidth="1"/>
    <col min="14601" max="14601" width="9" style="3190" customWidth="1"/>
    <col min="14602" max="14602" width="34.375" style="3190" customWidth="1"/>
    <col min="14603" max="14603" width="10.625" style="3190" customWidth="1"/>
    <col min="14604" max="14604" width="14.375" style="3190" customWidth="1"/>
    <col min="14605" max="14605" width="6.25" style="3190" customWidth="1"/>
    <col min="14606" max="14606" width="7.875" style="3190" customWidth="1"/>
    <col min="14607" max="14848" width="9" style="3190"/>
    <col min="14849" max="14849" width="39.25" style="3190" customWidth="1"/>
    <col min="14850" max="14850" width="6.25" style="3190" customWidth="1"/>
    <col min="14851" max="14851" width="11.75" style="3190" customWidth="1"/>
    <col min="14852" max="14852" width="7.875" style="3190" customWidth="1"/>
    <col min="14853" max="14853" width="11.25" style="3190" customWidth="1"/>
    <col min="14854" max="14855" width="13.875" style="3190" customWidth="1"/>
    <col min="14856" max="14856" width="6.25" style="3190" customWidth="1"/>
    <col min="14857" max="14857" width="9" style="3190" customWidth="1"/>
    <col min="14858" max="14858" width="34.375" style="3190" customWidth="1"/>
    <col min="14859" max="14859" width="10.625" style="3190" customWidth="1"/>
    <col min="14860" max="14860" width="14.375" style="3190" customWidth="1"/>
    <col min="14861" max="14861" width="6.25" style="3190" customWidth="1"/>
    <col min="14862" max="14862" width="7.875" style="3190" customWidth="1"/>
    <col min="14863" max="15104" width="9" style="3190"/>
    <col min="15105" max="15105" width="39.25" style="3190" customWidth="1"/>
    <col min="15106" max="15106" width="6.25" style="3190" customWidth="1"/>
    <col min="15107" max="15107" width="11.75" style="3190" customWidth="1"/>
    <col min="15108" max="15108" width="7.875" style="3190" customWidth="1"/>
    <col min="15109" max="15109" width="11.25" style="3190" customWidth="1"/>
    <col min="15110" max="15111" width="13.875" style="3190" customWidth="1"/>
    <col min="15112" max="15112" width="6.25" style="3190" customWidth="1"/>
    <col min="15113" max="15113" width="9" style="3190" customWidth="1"/>
    <col min="15114" max="15114" width="34.375" style="3190" customWidth="1"/>
    <col min="15115" max="15115" width="10.625" style="3190" customWidth="1"/>
    <col min="15116" max="15116" width="14.375" style="3190" customWidth="1"/>
    <col min="15117" max="15117" width="6.25" style="3190" customWidth="1"/>
    <col min="15118" max="15118" width="7.875" style="3190" customWidth="1"/>
    <col min="15119" max="15360" width="9" style="3190"/>
    <col min="15361" max="15361" width="39.25" style="3190" customWidth="1"/>
    <col min="15362" max="15362" width="6.25" style="3190" customWidth="1"/>
    <col min="15363" max="15363" width="11.75" style="3190" customWidth="1"/>
    <col min="15364" max="15364" width="7.875" style="3190" customWidth="1"/>
    <col min="15365" max="15365" width="11.25" style="3190" customWidth="1"/>
    <col min="15366" max="15367" width="13.875" style="3190" customWidth="1"/>
    <col min="15368" max="15368" width="6.25" style="3190" customWidth="1"/>
    <col min="15369" max="15369" width="9" style="3190" customWidth="1"/>
    <col min="15370" max="15370" width="34.375" style="3190" customWidth="1"/>
    <col min="15371" max="15371" width="10.625" style="3190" customWidth="1"/>
    <col min="15372" max="15372" width="14.375" style="3190" customWidth="1"/>
    <col min="15373" max="15373" width="6.25" style="3190" customWidth="1"/>
    <col min="15374" max="15374" width="7.875" style="3190" customWidth="1"/>
    <col min="15375" max="15616" width="9" style="3190"/>
    <col min="15617" max="15617" width="39.25" style="3190" customWidth="1"/>
    <col min="15618" max="15618" width="6.25" style="3190" customWidth="1"/>
    <col min="15619" max="15619" width="11.75" style="3190" customWidth="1"/>
    <col min="15620" max="15620" width="7.875" style="3190" customWidth="1"/>
    <col min="15621" max="15621" width="11.25" style="3190" customWidth="1"/>
    <col min="15622" max="15623" width="13.875" style="3190" customWidth="1"/>
    <col min="15624" max="15624" width="6.25" style="3190" customWidth="1"/>
    <col min="15625" max="15625" width="9" style="3190" customWidth="1"/>
    <col min="15626" max="15626" width="34.375" style="3190" customWidth="1"/>
    <col min="15627" max="15627" width="10.625" style="3190" customWidth="1"/>
    <col min="15628" max="15628" width="14.375" style="3190" customWidth="1"/>
    <col min="15629" max="15629" width="6.25" style="3190" customWidth="1"/>
    <col min="15630" max="15630" width="7.875" style="3190" customWidth="1"/>
    <col min="15631" max="15872" width="9" style="3190"/>
    <col min="15873" max="15873" width="39.25" style="3190" customWidth="1"/>
    <col min="15874" max="15874" width="6.25" style="3190" customWidth="1"/>
    <col min="15875" max="15875" width="11.75" style="3190" customWidth="1"/>
    <col min="15876" max="15876" width="7.875" style="3190" customWidth="1"/>
    <col min="15877" max="15877" width="11.25" style="3190" customWidth="1"/>
    <col min="15878" max="15879" width="13.875" style="3190" customWidth="1"/>
    <col min="15880" max="15880" width="6.25" style="3190" customWidth="1"/>
    <col min="15881" max="15881" width="9" style="3190" customWidth="1"/>
    <col min="15882" max="15882" width="34.375" style="3190" customWidth="1"/>
    <col min="15883" max="15883" width="10.625" style="3190" customWidth="1"/>
    <col min="15884" max="15884" width="14.375" style="3190" customWidth="1"/>
    <col min="15885" max="15885" width="6.25" style="3190" customWidth="1"/>
    <col min="15886" max="15886" width="7.875" style="3190" customWidth="1"/>
    <col min="15887" max="16128" width="9" style="3190"/>
    <col min="16129" max="16129" width="39.25" style="3190" customWidth="1"/>
    <col min="16130" max="16130" width="6.25" style="3190" customWidth="1"/>
    <col min="16131" max="16131" width="11.75" style="3190" customWidth="1"/>
    <col min="16132" max="16132" width="7.875" style="3190" customWidth="1"/>
    <col min="16133" max="16133" width="11.25" style="3190" customWidth="1"/>
    <col min="16134" max="16135" width="13.875" style="3190" customWidth="1"/>
    <col min="16136" max="16136" width="6.25" style="3190" customWidth="1"/>
    <col min="16137" max="16137" width="9" style="3190" customWidth="1"/>
    <col min="16138" max="16138" width="34.375" style="3190" customWidth="1"/>
    <col min="16139" max="16139" width="10.625" style="3190" customWidth="1"/>
    <col min="16140" max="16140" width="14.375" style="3190" customWidth="1"/>
    <col min="16141" max="16141" width="6.25" style="3190" customWidth="1"/>
    <col min="16142" max="16142" width="7.875" style="3190" customWidth="1"/>
    <col min="16143" max="16384" width="9" style="3190"/>
  </cols>
  <sheetData>
    <row r="1" spans="1:14">
      <c r="A1" s="3190" t="s">
        <v>3014</v>
      </c>
      <c r="B1" s="3190" t="s">
        <v>3015</v>
      </c>
      <c r="C1" s="3190" t="s">
        <v>3016</v>
      </c>
      <c r="D1" s="3190" t="s">
        <v>3017</v>
      </c>
      <c r="E1" s="3190" t="s">
        <v>3018</v>
      </c>
      <c r="F1" s="3190" t="s">
        <v>3019</v>
      </c>
      <c r="G1" s="3190" t="s">
        <v>3020</v>
      </c>
      <c r="H1" s="3190" t="s">
        <v>2032</v>
      </c>
      <c r="I1" s="3190" t="s">
        <v>3021</v>
      </c>
      <c r="J1" s="3190" t="s">
        <v>3022</v>
      </c>
      <c r="K1" s="3190" t="s">
        <v>3023</v>
      </c>
      <c r="L1" s="3190" t="s">
        <v>3024</v>
      </c>
      <c r="M1" s="3190" t="s">
        <v>3025</v>
      </c>
      <c r="N1" s="3190" t="s">
        <v>3026</v>
      </c>
    </row>
    <row r="2" spans="1:14">
      <c r="A2" s="3190" t="s">
        <v>3027</v>
      </c>
      <c r="B2" s="3190" t="s">
        <v>3028</v>
      </c>
      <c r="C2" s="3190" t="s">
        <v>3029</v>
      </c>
      <c r="D2" s="3190" t="s">
        <v>3030</v>
      </c>
      <c r="E2" s="3190" t="s">
        <v>3031</v>
      </c>
      <c r="F2" s="3190">
        <v>2637.77</v>
      </c>
      <c r="G2" s="3190">
        <v>1318.89</v>
      </c>
      <c r="H2" s="3190" t="s">
        <v>3032</v>
      </c>
      <c r="I2" s="3190" t="s">
        <v>3033</v>
      </c>
      <c r="J2" s="3190" t="s">
        <v>3034</v>
      </c>
      <c r="K2" s="3190">
        <v>1422</v>
      </c>
      <c r="L2" s="3190">
        <v>10781.79</v>
      </c>
      <c r="M2" s="3190">
        <v>4.5599999999999996</v>
      </c>
      <c r="N2" s="3190" t="s">
        <v>3035</v>
      </c>
    </row>
    <row r="3" spans="1:14">
      <c r="A3" s="3190" t="s">
        <v>3036</v>
      </c>
      <c r="B3" s="3190" t="s">
        <v>3028</v>
      </c>
      <c r="C3" s="3190" t="s">
        <v>3029</v>
      </c>
      <c r="D3" s="3190" t="s">
        <v>3030</v>
      </c>
      <c r="E3" s="3190" t="s">
        <v>3031</v>
      </c>
      <c r="F3" s="3190">
        <v>2960.9</v>
      </c>
      <c r="G3" s="3190">
        <v>1480.45</v>
      </c>
      <c r="H3" s="3190" t="s">
        <v>3032</v>
      </c>
      <c r="I3" s="3190" t="s">
        <v>3037</v>
      </c>
      <c r="J3" s="3190" t="s">
        <v>3038</v>
      </c>
      <c r="K3" s="3190">
        <v>1599</v>
      </c>
      <c r="L3" s="3190">
        <v>10800.77</v>
      </c>
      <c r="M3" s="3190">
        <v>4.51</v>
      </c>
      <c r="N3" s="3190" t="s">
        <v>3035</v>
      </c>
    </row>
    <row r="4" spans="1:14" s="3191" customFormat="1">
      <c r="A4" s="3191" t="s">
        <v>3039</v>
      </c>
      <c r="B4" s="3191" t="s">
        <v>3028</v>
      </c>
      <c r="C4" s="3191" t="s">
        <v>3029</v>
      </c>
      <c r="D4" s="3191" t="s">
        <v>3030</v>
      </c>
      <c r="E4" s="3191" t="s">
        <v>3031</v>
      </c>
      <c r="F4" s="3191">
        <v>15205.4</v>
      </c>
      <c r="G4" s="3191">
        <v>38013.5</v>
      </c>
      <c r="H4" s="3191" t="s">
        <v>3040</v>
      </c>
      <c r="I4" s="3191" t="s">
        <v>3041</v>
      </c>
      <c r="J4" s="3191" t="s">
        <v>3042</v>
      </c>
      <c r="K4" s="3191">
        <v>10902.27</v>
      </c>
      <c r="L4" s="3191">
        <v>2868</v>
      </c>
      <c r="M4" s="3191">
        <v>3.17</v>
      </c>
      <c r="N4" s="3191" t="s">
        <v>3035</v>
      </c>
    </row>
    <row r="5" spans="1:14" s="3191" customFormat="1">
      <c r="A5" s="3191" t="s">
        <v>3039</v>
      </c>
      <c r="B5" s="3191" t="s">
        <v>3028</v>
      </c>
      <c r="C5" s="3191" t="s">
        <v>3029</v>
      </c>
      <c r="D5" s="3191" t="s">
        <v>3030</v>
      </c>
      <c r="E5" s="3191" t="s">
        <v>3031</v>
      </c>
      <c r="F5" s="3191">
        <v>8456.9</v>
      </c>
      <c r="G5" s="3191">
        <v>25370.7</v>
      </c>
      <c r="H5" s="3191" t="s">
        <v>3043</v>
      </c>
      <c r="I5" s="3191" t="s">
        <v>3041</v>
      </c>
      <c r="J5" s="3191" t="s">
        <v>3044</v>
      </c>
      <c r="K5" s="3191">
        <v>6647.11</v>
      </c>
      <c r="L5" s="3191">
        <v>2620</v>
      </c>
      <c r="M5" s="3191">
        <v>7.38</v>
      </c>
      <c r="N5" s="3191" t="s">
        <v>3035</v>
      </c>
    </row>
    <row r="6" spans="1:14">
      <c r="A6" s="3190" t="s">
        <v>3039</v>
      </c>
      <c r="B6" s="3190" t="s">
        <v>3028</v>
      </c>
      <c r="C6" s="3190" t="s">
        <v>3029</v>
      </c>
      <c r="D6" s="3190" t="s">
        <v>3030</v>
      </c>
      <c r="E6" s="3190" t="s">
        <v>3031</v>
      </c>
      <c r="F6" s="3190">
        <v>84475.6</v>
      </c>
      <c r="G6" s="3190">
        <v>295664.59999999998</v>
      </c>
      <c r="H6" s="3190" t="s">
        <v>3045</v>
      </c>
      <c r="I6" s="3190" t="s">
        <v>3041</v>
      </c>
      <c r="J6" s="3190" t="s">
        <v>3042</v>
      </c>
      <c r="K6" s="3190">
        <v>65312.3</v>
      </c>
      <c r="L6" s="3190">
        <v>2209</v>
      </c>
      <c r="M6" s="3190">
        <v>1.8</v>
      </c>
      <c r="N6" s="3190" t="s">
        <v>3035</v>
      </c>
    </row>
    <row r="7" spans="1:14" s="3191" customFormat="1">
      <c r="A7" s="3191" t="s">
        <v>3039</v>
      </c>
      <c r="B7" s="3191" t="s">
        <v>3028</v>
      </c>
      <c r="C7" s="3191" t="s">
        <v>3029</v>
      </c>
      <c r="D7" s="3191" t="s">
        <v>3030</v>
      </c>
      <c r="E7" s="3191" t="s">
        <v>3031</v>
      </c>
      <c r="F7" s="3191">
        <v>12324.9</v>
      </c>
      <c r="G7" s="3191">
        <v>36974.699999999997</v>
      </c>
      <c r="H7" s="3191" t="s">
        <v>3043</v>
      </c>
      <c r="I7" s="3191" t="s">
        <v>3041</v>
      </c>
      <c r="J7" s="3191" t="s">
        <v>3042</v>
      </c>
      <c r="K7" s="3191">
        <v>8759.2999999999993</v>
      </c>
      <c r="L7" s="3191">
        <v>2369</v>
      </c>
      <c r="M7" s="3191">
        <v>3.45</v>
      </c>
      <c r="N7" s="3191" t="s">
        <v>3035</v>
      </c>
    </row>
    <row r="8" spans="1:14">
      <c r="A8" s="3190" t="s">
        <v>3046</v>
      </c>
      <c r="B8" s="3190" t="s">
        <v>3028</v>
      </c>
      <c r="C8" s="3190" t="s">
        <v>3029</v>
      </c>
      <c r="D8" s="3190" t="s">
        <v>3030</v>
      </c>
      <c r="E8" s="3190" t="s">
        <v>3031</v>
      </c>
      <c r="F8" s="3190">
        <v>2160</v>
      </c>
      <c r="G8" s="3190">
        <v>1728</v>
      </c>
      <c r="H8" s="3190" t="s">
        <v>3047</v>
      </c>
      <c r="I8" s="3190" t="s">
        <v>3048</v>
      </c>
      <c r="J8" s="3190" t="s">
        <v>3049</v>
      </c>
      <c r="K8" s="3190">
        <v>1672</v>
      </c>
      <c r="L8" s="3190">
        <v>9675.93</v>
      </c>
      <c r="M8" s="3190">
        <v>4.5</v>
      </c>
      <c r="N8" s="3190" t="s">
        <v>3035</v>
      </c>
    </row>
    <row r="9" spans="1:14">
      <c r="A9" s="3190" t="s">
        <v>3050</v>
      </c>
      <c r="B9" s="3190" t="s">
        <v>3028</v>
      </c>
      <c r="C9" s="3190" t="s">
        <v>3029</v>
      </c>
      <c r="D9" s="3190" t="s">
        <v>3030</v>
      </c>
      <c r="E9" s="3190" t="s">
        <v>3051</v>
      </c>
      <c r="F9" s="3190">
        <v>4019.3</v>
      </c>
      <c r="G9" s="3190">
        <v>2009.65</v>
      </c>
      <c r="H9" s="3190" t="s">
        <v>3032</v>
      </c>
      <c r="I9" s="3190" t="s">
        <v>3052</v>
      </c>
      <c r="J9" s="3190" t="s">
        <v>3053</v>
      </c>
      <c r="K9" s="3190">
        <v>1295</v>
      </c>
      <c r="L9" s="3190">
        <v>6443.9</v>
      </c>
      <c r="M9" s="3190">
        <v>3.6</v>
      </c>
      <c r="N9" s="3190" t="s">
        <v>3035</v>
      </c>
    </row>
    <row r="10" spans="1:14">
      <c r="A10" s="3190" t="s">
        <v>3054</v>
      </c>
      <c r="B10" s="3190" t="s">
        <v>3028</v>
      </c>
      <c r="C10" s="3190" t="s">
        <v>3029</v>
      </c>
      <c r="D10" s="3190" t="s">
        <v>3055</v>
      </c>
      <c r="E10" s="3190" t="s">
        <v>3051</v>
      </c>
      <c r="F10" s="3190">
        <v>41473.1</v>
      </c>
      <c r="G10" s="3190">
        <v>41473.1</v>
      </c>
      <c r="H10" s="3190" t="s">
        <v>3056</v>
      </c>
      <c r="I10" s="3190" t="s">
        <v>3057</v>
      </c>
      <c r="J10" s="3190" t="s">
        <v>3058</v>
      </c>
      <c r="K10" s="3190">
        <v>19193.75</v>
      </c>
      <c r="L10" s="3190">
        <v>4628</v>
      </c>
      <c r="M10" s="3190">
        <v>1.71</v>
      </c>
      <c r="N10" s="3190" t="s">
        <v>3035</v>
      </c>
    </row>
    <row r="11" spans="1:14">
      <c r="A11" s="3190" t="s">
        <v>3059</v>
      </c>
      <c r="B11" s="3190" t="s">
        <v>3028</v>
      </c>
      <c r="C11" s="3190" t="s">
        <v>3029</v>
      </c>
      <c r="D11" s="3190" t="s">
        <v>3055</v>
      </c>
      <c r="E11" s="3190" t="s">
        <v>3051</v>
      </c>
      <c r="F11" s="3190">
        <v>37957</v>
      </c>
      <c r="G11" s="3190">
        <v>37957</v>
      </c>
      <c r="H11" s="3190" t="s">
        <v>3056</v>
      </c>
      <c r="I11" s="3190" t="s">
        <v>3057</v>
      </c>
      <c r="J11" s="3190" t="s">
        <v>3058</v>
      </c>
      <c r="K11" s="3190">
        <v>17999.2</v>
      </c>
      <c r="L11" s="3190">
        <v>4742</v>
      </c>
      <c r="M11" s="3190">
        <v>1.76</v>
      </c>
      <c r="N11" s="3190" t="s">
        <v>3035</v>
      </c>
    </row>
    <row r="12" spans="1:14">
      <c r="A12" s="3190" t="s">
        <v>3060</v>
      </c>
      <c r="B12" s="3190" t="s">
        <v>3028</v>
      </c>
      <c r="C12" s="3190" t="s">
        <v>3029</v>
      </c>
      <c r="D12" s="3190" t="s">
        <v>3030</v>
      </c>
      <c r="E12" s="3190" t="s">
        <v>3051</v>
      </c>
      <c r="F12" s="3190">
        <v>1909</v>
      </c>
      <c r="G12" s="3190">
        <v>763.6</v>
      </c>
      <c r="H12" s="3190" t="s">
        <v>3061</v>
      </c>
      <c r="I12" s="3190" t="s">
        <v>3062</v>
      </c>
      <c r="J12" s="3190" t="s">
        <v>3034</v>
      </c>
      <c r="K12" s="3190">
        <v>1625</v>
      </c>
      <c r="L12" s="3190">
        <v>21280.77</v>
      </c>
      <c r="M12" s="3190">
        <v>3.5</v>
      </c>
      <c r="N12" s="3190" t="s">
        <v>3035</v>
      </c>
    </row>
    <row r="15" spans="1:14" ht="13.5">
      <c r="B15" s="3195" t="s">
        <v>3081</v>
      </c>
      <c r="C15"/>
      <c r="D15"/>
      <c r="E15"/>
    </row>
    <row r="16" spans="1:14" ht="15" thickBot="1">
      <c r="B16" s="3196" t="s">
        <v>3082</v>
      </c>
      <c r="C16" s="3197" t="s">
        <v>3083</v>
      </c>
      <c r="D16" s="3197" t="s">
        <v>3084</v>
      </c>
      <c r="E16" s="3197" t="s">
        <v>3085</v>
      </c>
    </row>
    <row r="17" spans="2:5" ht="13.5">
      <c r="B17" s="3198">
        <v>2017.1</v>
      </c>
      <c r="C17" s="3200">
        <v>9308</v>
      </c>
      <c r="D17" s="3200">
        <v>0.92</v>
      </c>
      <c r="E17" s="3199"/>
    </row>
    <row r="18" spans="2:5" ht="13.5">
      <c r="B18" s="3201">
        <v>2017.2</v>
      </c>
      <c r="C18" s="3203">
        <v>9409</v>
      </c>
      <c r="D18" s="3203">
        <v>1.0900000000000001</v>
      </c>
      <c r="E18" s="3202"/>
    </row>
    <row r="19" spans="2:5" ht="13.5">
      <c r="B19" s="3198">
        <v>2017.3</v>
      </c>
      <c r="C19" s="3200">
        <v>9525</v>
      </c>
      <c r="D19" s="3200">
        <v>1.23</v>
      </c>
      <c r="E19" s="3199"/>
    </row>
    <row r="20" spans="2:5" ht="13.5">
      <c r="B20" s="3201">
        <v>2017.4</v>
      </c>
      <c r="C20" s="3203">
        <v>9636</v>
      </c>
      <c r="D20" s="3203">
        <v>1.17</v>
      </c>
      <c r="E20" s="3202"/>
    </row>
    <row r="21" spans="2:5" ht="14.25">
      <c r="B21" s="3204">
        <v>2018.1</v>
      </c>
      <c r="C21" s="3205">
        <v>9701</v>
      </c>
      <c r="D21" s="3205">
        <v>0.67</v>
      </c>
      <c r="E21"/>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B7" sqref="B7"/>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8</v>
      </c>
    </row>
    <row r="2" spans="1:31" s="2043" customFormat="1" ht="18" customHeight="1">
      <c r="A2" s="2103" t="s">
        <v>467</v>
      </c>
      <c r="B2" s="2107">
        <f ca="1">C36</f>
        <v>39752</v>
      </c>
      <c r="C2" s="2106"/>
      <c r="D2" s="2106"/>
      <c r="E2" s="2106"/>
      <c r="F2" s="2106"/>
      <c r="G2" s="2106"/>
      <c r="H2" s="2106"/>
      <c r="I2" s="2106"/>
      <c r="J2" s="2106"/>
      <c r="K2" s="2106"/>
    </row>
    <row r="3" spans="1:31" s="2043" customFormat="1" ht="18" customHeight="1">
      <c r="A3" s="2108" t="s">
        <v>1685</v>
      </c>
      <c r="B3" s="2109">
        <f ca="1">ROUND(B2*10000/IF(B1="",'数据-汇总表'!E3,INDIRECT("'数据-取费表'!K"&amp;$K$1)),0)</f>
        <v>3148</v>
      </c>
      <c r="C3" s="2106"/>
      <c r="D3" s="2106"/>
      <c r="E3" s="2106"/>
      <c r="F3" s="2106"/>
      <c r="G3" s="2106"/>
      <c r="H3" s="2106"/>
      <c r="I3" s="2106"/>
      <c r="J3" s="2106"/>
      <c r="K3" s="2106"/>
    </row>
    <row r="4" spans="1:31" s="2043" customFormat="1" ht="18" customHeight="1">
      <c r="A4" s="426" t="s">
        <v>468</v>
      </c>
      <c r="B4" s="427">
        <f ca="1">ROUND(B2*10000/IF(B1="",'数据-汇总表'!D3,INDIRECT("'数据-取费表'!R"&amp;$K$1)),0)</f>
        <v>9760</v>
      </c>
      <c r="C4" s="428"/>
      <c r="D4" s="422"/>
      <c r="E4" s="422"/>
      <c r="F4" s="422"/>
      <c r="G4" s="422"/>
      <c r="H4" s="422"/>
      <c r="I4" s="422"/>
      <c r="J4" s="422"/>
      <c r="K4" s="422"/>
      <c r="M4" s="3182">
        <f ca="1">B2+'[2]剩余法-待开发'!$B$2+'[4]剩余法-待开发'!$B$2+'[6]剩余法-待开发'!$B$2</f>
        <v>80092</v>
      </c>
    </row>
    <row r="5" spans="1:31" s="2043" customFormat="1" ht="18" customHeight="1" thickBot="1">
      <c r="A5" s="429"/>
      <c r="B5" s="430">
        <f ca="1">ROUND(B2/(IF(B1="",'数据-汇总表'!D3,INDIRECT("'数据-取费表'!R"&amp;$K$1))/666.67),0)</f>
        <v>651</v>
      </c>
      <c r="C5" s="431" t="s">
        <v>469</v>
      </c>
      <c r="D5" s="422"/>
      <c r="E5" s="422"/>
      <c r="F5" s="422"/>
      <c r="G5" s="422"/>
      <c r="H5" s="422"/>
      <c r="I5" s="422"/>
      <c r="J5" s="422"/>
      <c r="K5" s="422"/>
    </row>
    <row r="6" spans="1:31" s="2113" customFormat="1" ht="16.5" customHeight="1">
      <c r="A6" s="2854" t="s">
        <v>1843</v>
      </c>
      <c r="B6" s="2855"/>
      <c r="C6" s="2856">
        <f ca="1">SUM(C10:K10)</f>
        <v>113551</v>
      </c>
      <c r="D6" s="2855"/>
      <c r="E6" s="2855"/>
      <c r="F6" s="2855"/>
      <c r="G6" s="2855"/>
      <c r="H6" s="2855"/>
      <c r="I6" s="2855"/>
      <c r="J6" s="2855"/>
      <c r="K6" s="2857"/>
    </row>
    <row r="7" spans="1:31" s="2115" customFormat="1" ht="15">
      <c r="A7" s="2858" t="s">
        <v>470</v>
      </c>
      <c r="B7" s="2859" t="s">
        <v>471</v>
      </c>
      <c r="C7" s="436" t="s">
        <v>2979</v>
      </c>
      <c r="D7" s="436" t="s">
        <v>1678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'不动产收益法（商业）'!B3</f>
        <v>9765</v>
      </c>
      <c r="D8" s="2860">
        <f ca="1">'不动产收益法（办公）'!B3</f>
        <v>8222</v>
      </c>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63131.45</v>
      </c>
      <c r="D9" s="441">
        <f>SUMIF('数据-汇总表'!$C19:$C33,'剩余法-待开发'!D7,'数据-汇总表'!$E19:$E33)</f>
        <v>63131.45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'不动产收益法（商业）'!B2</f>
        <v>61646</v>
      </c>
      <c r="D10" s="3055">
        <f ca="1">'不动产收益法（办公）'!B2</f>
        <v>51905</v>
      </c>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36616</v>
      </c>
      <c r="D13" s="2870"/>
      <c r="E13" s="2871"/>
      <c r="F13" s="2872"/>
      <c r="G13" s="2838"/>
      <c r="H13" s="2839"/>
      <c r="I13" s="2839"/>
      <c r="J13" s="2839"/>
      <c r="K13" s="2840"/>
    </row>
    <row r="14" spans="1:31" s="2118" customFormat="1" ht="13.5" customHeight="1">
      <c r="A14" s="2868" t="s">
        <v>1850</v>
      </c>
      <c r="B14" s="2869" t="s">
        <v>480</v>
      </c>
      <c r="C14" s="53">
        <f ca="1">ROUND(C13*F14,0)</f>
        <v>1098</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2525</v>
      </c>
      <c r="D16" s="2870">
        <f ca="1">IF(B1="",'数据-汇总表'!E3,INDIRECT("'数据-取费表'!K"&amp;$K$1)+INDIRECT("'数据-取费表'!S"&amp;$K$1))</f>
        <v>126262.9</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549</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40788</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126262.9</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1136</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1136</v>
      </c>
      <c r="D22" s="2870">
        <f ca="1">IF(B1="",'数据-汇总表'!E6,IF(INDIRECT("'数据-取费表'!c"&amp;$K$1)="住宅",INDIRECT("'数据-取费表'!s"&amp;$K$1),INDIRECT("'数据-取费表'!k"&amp;$K$1)+INDIRECT("'数据-取费表'!s"&amp;$K$1)))</f>
        <v>126262.9</v>
      </c>
      <c r="E22" s="53">
        <f>'数据-取费表'!B28</f>
        <v>90</v>
      </c>
      <c r="F22" s="2873"/>
      <c r="G22" s="26"/>
      <c r="H22" s="51"/>
      <c r="I22" s="51"/>
      <c r="J22" s="51"/>
      <c r="K22" s="2845"/>
    </row>
    <row r="23" spans="1:14" s="2118" customFormat="1" ht="13.5" customHeight="1">
      <c r="A23" s="2876" t="s">
        <v>1859</v>
      </c>
      <c r="B23" s="3061" t="s">
        <v>2833</v>
      </c>
      <c r="C23" s="2878">
        <f ca="1">ROUND((C18+C19+C20)*F23,0)</f>
        <v>419</v>
      </c>
      <c r="D23" s="468"/>
      <c r="E23" s="468"/>
      <c r="F23" s="2882">
        <f>'数据-取费表'!B37</f>
        <v>0.01</v>
      </c>
      <c r="G23" s="2838" t="s">
        <v>2430</v>
      </c>
      <c r="H23" s="2839"/>
      <c r="I23" s="2839"/>
      <c r="J23" s="2839"/>
      <c r="K23" s="2840"/>
      <c r="L23" s="2120"/>
      <c r="M23" s="2120"/>
      <c r="N23" s="2120"/>
    </row>
    <row r="24" spans="1:14" s="2118" customFormat="1" ht="13.5" customHeight="1">
      <c r="A24" s="2876" t="s">
        <v>1860</v>
      </c>
      <c r="B24" s="3061" t="s">
        <v>2836</v>
      </c>
      <c r="C24" s="2878">
        <f ca="1">ROUND(C6*F24,0)</f>
        <v>2271</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2119</v>
      </c>
      <c r="D26" s="467">
        <f ca="1">C27</f>
        <v>0.10100000000000001</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0.10100000000000001</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2119</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6056</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52789</v>
      </c>
      <c r="D30" s="477">
        <f ca="1">C32</f>
        <v>0.1396</v>
      </c>
      <c r="E30" s="469" t="s">
        <v>495</v>
      </c>
      <c r="F30" s="471"/>
      <c r="G30" s="2846" t="s">
        <v>2972</v>
      </c>
      <c r="H30" s="2839"/>
      <c r="I30" s="2839"/>
      <c r="J30" s="2839"/>
      <c r="K30" s="2840"/>
    </row>
    <row r="31" spans="1:14" s="2122" customFormat="1" ht="13.5" customHeight="1">
      <c r="A31" s="803" t="s">
        <v>1857</v>
      </c>
      <c r="B31" s="2884"/>
      <c r="C31" s="450">
        <f ca="1">C18+C19+C20+C23+C24+C26+C29</f>
        <v>52789</v>
      </c>
      <c r="D31" s="472"/>
      <c r="E31" s="473"/>
      <c r="F31" s="474"/>
      <c r="G31" s="261"/>
      <c r="H31" s="2841"/>
      <c r="I31" s="2841"/>
      <c r="J31" s="2841"/>
      <c r="K31" s="279"/>
    </row>
    <row r="32" spans="1:14" s="2122" customFormat="1" ht="13.5" customHeight="1">
      <c r="A32" s="803" t="s">
        <v>1858</v>
      </c>
      <c r="B32" s="2884"/>
      <c r="C32" s="53">
        <f ca="1">ROUND(C25+D26,4)</f>
        <v>0.1396</v>
      </c>
      <c r="D32" s="472"/>
      <c r="E32" s="473"/>
      <c r="F32" s="474"/>
      <c r="G32" s="261"/>
      <c r="H32" s="2841"/>
      <c r="I32" s="2841"/>
      <c r="J32" s="2841"/>
      <c r="K32" s="279"/>
    </row>
    <row r="33" spans="1:11" s="2124" customFormat="1" ht="13.5" customHeight="1">
      <c r="A33" s="3060" t="s">
        <v>2832</v>
      </c>
      <c r="B33" s="3058" t="s">
        <v>2830</v>
      </c>
      <c r="C33" s="478">
        <f ca="1">C35</f>
        <v>8031</v>
      </c>
      <c r="D33" s="467">
        <f ca="1">C34</f>
        <v>0.18690000000000001</v>
      </c>
      <c r="E33" s="469" t="s">
        <v>495</v>
      </c>
      <c r="F33" s="479">
        <f ca="1">IF(B1="",'数据-取费表'!Q16,INDIRECT("'数据-取费表'!q"&amp;$K$1))</f>
        <v>0.18</v>
      </c>
      <c r="G33" s="2842"/>
      <c r="H33" s="2843"/>
      <c r="I33" s="2843"/>
      <c r="J33" s="2843"/>
      <c r="K33" s="2844"/>
    </row>
    <row r="34" spans="1:11" s="2125" customFormat="1" ht="13.5" customHeight="1">
      <c r="A34" s="375" t="s">
        <v>1857</v>
      </c>
      <c r="B34" s="2889" t="s">
        <v>501</v>
      </c>
      <c r="C34" s="472">
        <f ca="1">ROUND((1+C25)*F33,4)</f>
        <v>0.18690000000000001</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8031</v>
      </c>
      <c r="D35" s="1630"/>
      <c r="E35" s="2890"/>
      <c r="F35" s="1631"/>
      <c r="G35" s="2848"/>
      <c r="H35" s="2849"/>
      <c r="I35" s="2849"/>
      <c r="J35" s="2849"/>
      <c r="K35" s="2850"/>
    </row>
    <row r="36" spans="1:11" s="2087" customFormat="1" ht="13.5" customHeight="1" thickBot="1">
      <c r="A36" s="284" t="s">
        <v>1845</v>
      </c>
      <c r="B36" s="2852"/>
      <c r="C36" s="2891">
        <f ca="1">ROUND((C6-C30-C33)/(1+D30+D33),0)</f>
        <v>39752</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47" sqref="I4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405" t="s">
        <v>522</v>
      </c>
      <c r="D6" s="3406"/>
      <c r="E6" s="3429" t="s">
        <v>523</v>
      </c>
      <c r="F6" s="3430"/>
      <c r="G6" s="3405" t="s">
        <v>524</v>
      </c>
      <c r="H6" s="3406"/>
      <c r="I6" s="3405" t="s">
        <v>525</v>
      </c>
      <c r="J6" s="3406"/>
      <c r="K6" s="514" t="s">
        <v>526</v>
      </c>
      <c r="L6" s="2135"/>
      <c r="M6" s="2136"/>
      <c r="N6" s="2136"/>
      <c r="O6" s="2136"/>
      <c r="P6" s="3407" t="s">
        <v>527</v>
      </c>
      <c r="Q6" s="3408"/>
      <c r="R6" s="3393" t="s">
        <v>523</v>
      </c>
      <c r="S6" s="3394"/>
      <c r="T6" s="3393" t="s">
        <v>524</v>
      </c>
      <c r="U6" s="3394"/>
      <c r="V6" s="3413" t="s">
        <v>525</v>
      </c>
      <c r="W6" s="3413"/>
      <c r="X6" s="1568"/>
      <c r="Y6" s="3393" t="s">
        <v>527</v>
      </c>
      <c r="Z6" s="3394"/>
      <c r="AA6" s="3388" t="s">
        <v>523</v>
      </c>
      <c r="AB6" s="3389" t="s">
        <v>524</v>
      </c>
      <c r="AC6" s="3388" t="s">
        <v>525</v>
      </c>
    </row>
    <row r="7" spans="1:29" ht="15">
      <c r="A7" s="515"/>
      <c r="B7" s="516"/>
      <c r="C7" s="3416" t="s">
        <v>2926</v>
      </c>
      <c r="D7" s="3417"/>
      <c r="E7" s="3431" t="s">
        <v>2927</v>
      </c>
      <c r="F7" s="3432"/>
      <c r="G7" s="3416" t="s">
        <v>2928</v>
      </c>
      <c r="H7" s="3417"/>
      <c r="I7" s="3416" t="s">
        <v>2929</v>
      </c>
      <c r="J7" s="3417"/>
      <c r="K7" s="514"/>
      <c r="L7" s="2135"/>
      <c r="M7" s="2136"/>
      <c r="N7" s="2136"/>
      <c r="O7" s="2136"/>
      <c r="P7" s="3409"/>
      <c r="Q7" s="3410"/>
      <c r="R7" s="3395"/>
      <c r="S7" s="3396"/>
      <c r="T7" s="3395"/>
      <c r="U7" s="3396"/>
      <c r="V7" s="3413"/>
      <c r="W7" s="3413"/>
      <c r="X7" s="1568"/>
      <c r="Y7" s="3395"/>
      <c r="Z7" s="3396"/>
      <c r="AA7" s="3389"/>
      <c r="AB7" s="3389"/>
      <c r="AC7" s="3389"/>
    </row>
    <row r="8" spans="1:29" ht="15.75" thickBot="1">
      <c r="A8" s="517"/>
      <c r="B8" s="518"/>
      <c r="C8" s="3414" t="s">
        <v>2930</v>
      </c>
      <c r="D8" s="3415"/>
      <c r="E8" s="3433" t="s">
        <v>2930</v>
      </c>
      <c r="F8" s="3434"/>
      <c r="G8" s="3414" t="s">
        <v>2930</v>
      </c>
      <c r="H8" s="3415"/>
      <c r="I8" s="3414" t="s">
        <v>2930</v>
      </c>
      <c r="J8" s="3415"/>
      <c r="K8" s="514" t="s">
        <v>528</v>
      </c>
      <c r="L8" s="2135"/>
      <c r="M8" s="2136"/>
      <c r="N8" s="2136"/>
      <c r="O8" s="2136"/>
      <c r="P8" s="3411"/>
      <c r="Q8" s="3412"/>
      <c r="R8" s="3395"/>
      <c r="S8" s="3396"/>
      <c r="T8" s="3397"/>
      <c r="U8" s="3398"/>
      <c r="V8" s="3413"/>
      <c r="W8" s="3413"/>
      <c r="X8" s="1568"/>
      <c r="Y8" s="3397"/>
      <c r="Z8" s="3398"/>
      <c r="AA8" s="3390"/>
      <c r="AB8" s="3390"/>
      <c r="AC8" s="3390"/>
    </row>
    <row r="9" spans="1:29" s="1220" customFormat="1" ht="15.75" thickBot="1">
      <c r="A9" s="2938"/>
      <c r="B9" s="2945" t="s">
        <v>529</v>
      </c>
      <c r="C9" s="519">
        <f>'数据-取费表'!B2</f>
        <v>43210</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1" t="s">
        <v>530</v>
      </c>
      <c r="Q9" s="3400"/>
      <c r="R9" s="1569" t="s">
        <v>8</v>
      </c>
      <c r="S9" s="1570">
        <f t="shared" ref="S9:S17" si="0">F9</f>
        <v>0</v>
      </c>
      <c r="T9" s="1569" t="s">
        <v>8</v>
      </c>
      <c r="U9" s="1570">
        <f t="shared" ref="U9:U17" si="1">H9</f>
        <v>0</v>
      </c>
      <c r="V9" s="1569" t="s">
        <v>8</v>
      </c>
      <c r="W9" s="1570">
        <f t="shared" ref="W9:W17" si="2">J9</f>
        <v>0</v>
      </c>
      <c r="X9" s="1571"/>
      <c r="Y9" s="3391" t="s">
        <v>530</v>
      </c>
      <c r="Z9" s="3392"/>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1" t="s">
        <v>533</v>
      </c>
      <c r="Q10" s="3392"/>
      <c r="R10" s="1569" t="s">
        <v>8</v>
      </c>
      <c r="S10" s="1570">
        <f t="shared" si="0"/>
        <v>0</v>
      </c>
      <c r="T10" s="1569" t="s">
        <v>8</v>
      </c>
      <c r="U10" s="1570">
        <f t="shared" si="1"/>
        <v>0</v>
      </c>
      <c r="V10" s="1569" t="s">
        <v>8</v>
      </c>
      <c r="W10" s="1570">
        <f t="shared" si="2"/>
        <v>0</v>
      </c>
      <c r="X10" s="1571"/>
      <c r="Y10" s="3391" t="s">
        <v>533</v>
      </c>
      <c r="Z10" s="3392"/>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99" t="s">
        <v>535</v>
      </c>
      <c r="Q11" s="1151" t="str">
        <f t="shared" ref="Q11:Q17" si="6">B11</f>
        <v>用途</v>
      </c>
      <c r="R11" s="1569" t="s">
        <v>8</v>
      </c>
      <c r="S11" s="1570">
        <f t="shared" si="0"/>
        <v>100</v>
      </c>
      <c r="T11" s="1569" t="s">
        <v>8</v>
      </c>
      <c r="U11" s="1570">
        <f t="shared" si="1"/>
        <v>100</v>
      </c>
      <c r="V11" s="1569" t="s">
        <v>8</v>
      </c>
      <c r="W11" s="1570">
        <f t="shared" si="2"/>
        <v>100</v>
      </c>
      <c r="X11" s="1571"/>
      <c r="Y11" s="3356"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99"/>
      <c r="Q12" s="1151" t="str">
        <f t="shared" si="6"/>
        <v>土地使用年限（年）</v>
      </c>
      <c r="R12" s="1569" t="s">
        <v>8</v>
      </c>
      <c r="S12" s="1570">
        <f t="shared" si="0"/>
        <v>102</v>
      </c>
      <c r="T12" s="1569" t="s">
        <v>8</v>
      </c>
      <c r="U12" s="1570">
        <f t="shared" si="1"/>
        <v>102</v>
      </c>
      <c r="V12" s="1569" t="s">
        <v>8</v>
      </c>
      <c r="W12" s="1570">
        <f t="shared" si="2"/>
        <v>102</v>
      </c>
      <c r="X12" s="1571"/>
      <c r="Y12" s="3356"/>
      <c r="Z12" s="1150" t="str">
        <f t="shared" si="7"/>
        <v>土地使用年限（年）</v>
      </c>
      <c r="AA12" s="1572">
        <f t="shared" si="3"/>
        <v>0.98039215686274506</v>
      </c>
      <c r="AB12" s="1572">
        <f t="shared" si="4"/>
        <v>0.98039215686274506</v>
      </c>
      <c r="AC12" s="1572">
        <f t="shared" si="5"/>
        <v>0.98039215686274506</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99"/>
      <c r="Q13" s="1151" t="str">
        <f t="shared" si="6"/>
        <v>容积率</v>
      </c>
      <c r="R13" s="1569" t="s">
        <v>8</v>
      </c>
      <c r="S13" s="1570" t="e">
        <f t="shared" si="0"/>
        <v>#N/A</v>
      </c>
      <c r="T13" s="1569" t="s">
        <v>8</v>
      </c>
      <c r="U13" s="1570" t="e">
        <f t="shared" si="1"/>
        <v>#N/A</v>
      </c>
      <c r="V13" s="1569" t="s">
        <v>8</v>
      </c>
      <c r="W13" s="1570" t="e">
        <f t="shared" si="2"/>
        <v>#N/A</v>
      </c>
      <c r="X13" s="1571"/>
      <c r="Y13" s="3356"/>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99"/>
      <c r="Q15" s="1151">
        <f t="shared" si="6"/>
        <v>111</v>
      </c>
      <c r="R15" s="1569" t="s">
        <v>8</v>
      </c>
      <c r="S15" s="1570">
        <f t="shared" si="0"/>
        <v>100</v>
      </c>
      <c r="T15" s="1569" t="s">
        <v>8</v>
      </c>
      <c r="U15" s="1570">
        <f t="shared" si="1"/>
        <v>100</v>
      </c>
      <c r="V15" s="1569" t="s">
        <v>8</v>
      </c>
      <c r="W15" s="1570">
        <f t="shared" si="2"/>
        <v>100</v>
      </c>
      <c r="X15" s="1571"/>
      <c r="Y15" s="3356"/>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99"/>
      <c r="Q16" s="1151">
        <f t="shared" si="6"/>
        <v>111</v>
      </c>
      <c r="R16" s="1569" t="s">
        <v>8</v>
      </c>
      <c r="S16" s="1570">
        <f t="shared" si="0"/>
        <v>100</v>
      </c>
      <c r="T16" s="1569" t="s">
        <v>8</v>
      </c>
      <c r="U16" s="1570">
        <f t="shared" si="1"/>
        <v>100</v>
      </c>
      <c r="V16" s="1569" t="s">
        <v>8</v>
      </c>
      <c r="W16" s="1570">
        <f t="shared" si="2"/>
        <v>100</v>
      </c>
      <c r="X16" s="1571"/>
      <c r="Y16" s="3356"/>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1" t="s">
        <v>540</v>
      </c>
      <c r="Q17" s="1573" t="str">
        <f t="shared" si="6"/>
        <v>产业集聚程度</v>
      </c>
      <c r="R17" s="1574" t="s">
        <v>8</v>
      </c>
      <c r="S17" s="1575">
        <f t="shared" si="0"/>
        <v>100</v>
      </c>
      <c r="T17" s="1574" t="s">
        <v>8</v>
      </c>
      <c r="U17" s="1575">
        <f t="shared" si="1"/>
        <v>100</v>
      </c>
      <c r="V17" s="1574" t="s">
        <v>8</v>
      </c>
      <c r="W17" s="1575">
        <f t="shared" si="2"/>
        <v>100</v>
      </c>
      <c r="X17" s="1568"/>
      <c r="Y17" s="3401"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2"/>
      <c r="Q18" s="1573"/>
      <c r="R18" s="1574"/>
      <c r="S18" s="1575"/>
      <c r="T18" s="1574"/>
      <c r="U18" s="1575"/>
      <c r="V18" s="1574"/>
      <c r="W18" s="1575"/>
      <c r="X18" s="1568"/>
      <c r="Y18" s="3402"/>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2"/>
      <c r="Q19" s="1573" t="str">
        <f>B19</f>
        <v>交通便捷度</v>
      </c>
      <c r="R19" s="1574" t="s">
        <v>8</v>
      </c>
      <c r="S19" s="1575">
        <f>F19</f>
        <v>100</v>
      </c>
      <c r="T19" s="1574" t="s">
        <v>8</v>
      </c>
      <c r="U19" s="1575">
        <f>H19</f>
        <v>100</v>
      </c>
      <c r="V19" s="1574" t="s">
        <v>8</v>
      </c>
      <c r="W19" s="1575">
        <f>J19</f>
        <v>100</v>
      </c>
      <c r="X19" s="1568"/>
      <c r="Y19" s="340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2"/>
      <c r="Q21" s="1573" t="str">
        <f t="shared" ref="Q21:Q35" si="8">B21</f>
        <v>区域土地利用方向</v>
      </c>
      <c r="R21" s="1574" t="s">
        <v>8</v>
      </c>
      <c r="S21" s="1575">
        <f>F21</f>
        <v>100</v>
      </c>
      <c r="T21" s="1574" t="s">
        <v>8</v>
      </c>
      <c r="U21" s="1575">
        <f>H21</f>
        <v>100</v>
      </c>
      <c r="V21" s="1574" t="s">
        <v>8</v>
      </c>
      <c r="W21" s="1575">
        <f>J21</f>
        <v>100</v>
      </c>
      <c r="X21" s="1568"/>
      <c r="Y21" s="340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2"/>
      <c r="Q22" s="1573"/>
      <c r="R22" s="1574"/>
      <c r="S22" s="1575"/>
      <c r="T22" s="1574"/>
      <c r="U22" s="1575"/>
      <c r="V22" s="1574"/>
      <c r="W22" s="1575"/>
      <c r="X22" s="1568"/>
      <c r="Y22" s="3402"/>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2"/>
      <c r="Q23" s="1573" t="str">
        <f t="shared" si="8"/>
        <v>环境状况</v>
      </c>
      <c r="R23" s="1574" t="s">
        <v>8</v>
      </c>
      <c r="S23" s="1575">
        <f>F23</f>
        <v>100</v>
      </c>
      <c r="T23" s="1574" t="s">
        <v>8</v>
      </c>
      <c r="U23" s="1575">
        <f>H23</f>
        <v>100</v>
      </c>
      <c r="V23" s="1574" t="s">
        <v>8</v>
      </c>
      <c r="W23" s="1575">
        <f>J23</f>
        <v>100</v>
      </c>
      <c r="X23" s="1568"/>
      <c r="Y23" s="340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2"/>
      <c r="Q24" s="1573"/>
      <c r="R24" s="1574"/>
      <c r="S24" s="1575"/>
      <c r="T24" s="1574"/>
      <c r="U24" s="1575"/>
      <c r="V24" s="1574"/>
      <c r="W24" s="1575"/>
      <c r="X24" s="1568"/>
      <c r="Y24" s="3402"/>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2"/>
      <c r="Q25" s="1151" t="str">
        <f t="shared" si="8"/>
        <v>公共配套设施</v>
      </c>
      <c r="R25" s="1569" t="s">
        <v>8</v>
      </c>
      <c r="S25" s="1570">
        <f>F25</f>
        <v>100</v>
      </c>
      <c r="T25" s="1569" t="s">
        <v>8</v>
      </c>
      <c r="U25" s="1570">
        <f>H25</f>
        <v>100</v>
      </c>
      <c r="V25" s="1569" t="s">
        <v>8</v>
      </c>
      <c r="W25" s="1570">
        <f>J25</f>
        <v>100</v>
      </c>
      <c r="X25" s="1571"/>
      <c r="Y25" s="3402"/>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02"/>
      <c r="Q26" s="1151"/>
      <c r="R26" s="1569"/>
      <c r="S26" s="1570"/>
      <c r="T26" s="1569"/>
      <c r="U26" s="1570"/>
      <c r="V26" s="1569"/>
      <c r="W26" s="1570"/>
      <c r="X26" s="1571"/>
      <c r="Y26" s="3402"/>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2"/>
      <c r="Q27" s="2604" t="str">
        <f t="shared" ref="Q27" si="9">B27</f>
        <v>基础设施水平</v>
      </c>
      <c r="R27" s="1569" t="s">
        <v>8</v>
      </c>
      <c r="S27" s="1570">
        <f>F27</f>
        <v>100</v>
      </c>
      <c r="T27" s="1569" t="s">
        <v>8</v>
      </c>
      <c r="U27" s="1570">
        <f>H27</f>
        <v>100</v>
      </c>
      <c r="V27" s="1569" t="s">
        <v>8</v>
      </c>
      <c r="W27" s="1570">
        <f>J27</f>
        <v>100</v>
      </c>
      <c r="X27" s="1571"/>
      <c r="Y27" s="3402"/>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02"/>
      <c r="Q28" s="2604"/>
      <c r="R28" s="1569"/>
      <c r="S28" s="1570"/>
      <c r="T28" s="1569"/>
      <c r="U28" s="1570"/>
      <c r="V28" s="1569"/>
      <c r="W28" s="1570"/>
      <c r="X28" s="1571"/>
      <c r="Y28" s="3402"/>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2"/>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2"/>
      <c r="Q30" s="1573" t="str">
        <f t="shared" si="8"/>
        <v>毗邻道路的类型与等级</v>
      </c>
      <c r="R30" s="1574" t="s">
        <v>8</v>
      </c>
      <c r="S30" s="1575">
        <f t="shared" si="10"/>
        <v>100</v>
      </c>
      <c r="T30" s="1574" t="s">
        <v>8</v>
      </c>
      <c r="U30" s="1575">
        <f t="shared" si="11"/>
        <v>100</v>
      </c>
      <c r="V30" s="1574" t="s">
        <v>8</v>
      </c>
      <c r="W30" s="1575">
        <f t="shared" si="12"/>
        <v>100</v>
      </c>
      <c r="X30" s="1568"/>
      <c r="Y30" s="340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2"/>
      <c r="Q31" s="1573"/>
      <c r="R31" s="1574"/>
      <c r="S31" s="1575"/>
      <c r="T31" s="1574"/>
      <c r="U31" s="1575"/>
      <c r="V31" s="1574"/>
      <c r="W31" s="1575"/>
      <c r="X31" s="1568"/>
      <c r="Y31" s="3402"/>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2"/>
      <c r="Q32" s="1573" t="str">
        <f t="shared" si="8"/>
        <v>土地级别</v>
      </c>
      <c r="R32" s="1574" t="s">
        <v>8</v>
      </c>
      <c r="S32" s="1575">
        <f t="shared" si="10"/>
        <v>100</v>
      </c>
      <c r="T32" s="1574" t="s">
        <v>8</v>
      </c>
      <c r="U32" s="1575">
        <f t="shared" si="11"/>
        <v>100</v>
      </c>
      <c r="V32" s="1574" t="s">
        <v>8</v>
      </c>
      <c r="W32" s="1575">
        <f t="shared" si="12"/>
        <v>100</v>
      </c>
      <c r="X32" s="1568"/>
      <c r="Y32" s="340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2"/>
      <c r="Q33" s="1573">
        <f t="shared" si="8"/>
        <v>111</v>
      </c>
      <c r="R33" s="1574" t="s">
        <v>8</v>
      </c>
      <c r="S33" s="1575">
        <f t="shared" si="10"/>
        <v>100</v>
      </c>
      <c r="T33" s="1574" t="s">
        <v>8</v>
      </c>
      <c r="U33" s="1575">
        <f t="shared" si="11"/>
        <v>100</v>
      </c>
      <c r="V33" s="1574" t="s">
        <v>8</v>
      </c>
      <c r="W33" s="1575">
        <f t="shared" si="12"/>
        <v>100</v>
      </c>
      <c r="X33" s="1568"/>
      <c r="Y33" s="340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3" t="s">
        <v>550</v>
      </c>
      <c r="Q34" s="1573">
        <f t="shared" si="8"/>
        <v>111</v>
      </c>
      <c r="R34" s="1574" t="s">
        <v>8</v>
      </c>
      <c r="S34" s="1575">
        <f t="shared" si="10"/>
        <v>100</v>
      </c>
      <c r="T34" s="1574" t="s">
        <v>8</v>
      </c>
      <c r="U34" s="1575">
        <f t="shared" si="11"/>
        <v>100</v>
      </c>
      <c r="V34" s="1574" t="s">
        <v>8</v>
      </c>
      <c r="W34" s="1575">
        <f t="shared" si="12"/>
        <v>100</v>
      </c>
      <c r="X34" s="1568"/>
      <c r="Y34" s="3404"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4"/>
      <c r="Q35" s="1573">
        <f t="shared" si="8"/>
        <v>111</v>
      </c>
      <c r="R35" s="1578" t="s">
        <v>8</v>
      </c>
      <c r="S35" s="1579">
        <f t="shared" si="10"/>
        <v>100</v>
      </c>
      <c r="T35" s="1578" t="s">
        <v>8</v>
      </c>
      <c r="U35" s="1579">
        <f t="shared" si="11"/>
        <v>100</v>
      </c>
      <c r="V35" s="1578" t="s">
        <v>8</v>
      </c>
      <c r="W35" s="1579">
        <f t="shared" si="12"/>
        <v>100</v>
      </c>
      <c r="X35" s="1580"/>
      <c r="Y35" s="3404"/>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4"/>
      <c r="Q36" s="1573" t="str">
        <f>B36</f>
        <v>宗地面积</v>
      </c>
      <c r="R36" s="1574" t="s">
        <v>8</v>
      </c>
      <c r="S36" s="1575" t="e">
        <f t="shared" si="10"/>
        <v>#N/A</v>
      </c>
      <c r="T36" s="1574" t="s">
        <v>8</v>
      </c>
      <c r="U36" s="1575" t="e">
        <f t="shared" si="11"/>
        <v>#N/A</v>
      </c>
      <c r="V36" s="1574" t="s">
        <v>8</v>
      </c>
      <c r="W36" s="1575" t="e">
        <f t="shared" si="12"/>
        <v>#N/A</v>
      </c>
      <c r="X36" s="1568"/>
      <c r="Y36" s="3404"/>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4"/>
      <c r="Q37" s="1573" t="str">
        <f t="shared" ref="Q37:Q42" si="14">B37</f>
        <v>宗地形状</v>
      </c>
      <c r="R37" s="1574" t="s">
        <v>8</v>
      </c>
      <c r="S37" s="1575">
        <f t="shared" si="10"/>
        <v>100</v>
      </c>
      <c r="T37" s="1574" t="s">
        <v>8</v>
      </c>
      <c r="U37" s="1575">
        <f t="shared" si="11"/>
        <v>100</v>
      </c>
      <c r="V37" s="1574" t="s">
        <v>8</v>
      </c>
      <c r="W37" s="1575">
        <f t="shared" si="12"/>
        <v>100</v>
      </c>
      <c r="X37" s="1568"/>
      <c r="Y37" s="3404"/>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4"/>
      <c r="Q38" s="1573" t="str">
        <f t="shared" si="14"/>
        <v>宗地开发程度</v>
      </c>
      <c r="R38" s="1569" t="s">
        <v>8</v>
      </c>
      <c r="S38" s="1570">
        <f t="shared" si="10"/>
        <v>100</v>
      </c>
      <c r="T38" s="1569" t="s">
        <v>8</v>
      </c>
      <c r="U38" s="1570">
        <f t="shared" si="11"/>
        <v>100</v>
      </c>
      <c r="V38" s="1569" t="s">
        <v>8</v>
      </c>
      <c r="W38" s="1570">
        <f t="shared" si="12"/>
        <v>100</v>
      </c>
      <c r="X38" s="1571"/>
      <c r="Y38" s="3404"/>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t="s">
        <v>601</v>
      </c>
      <c r="Q39" s="1573" t="str">
        <f t="shared" si="14"/>
        <v>工程地质条件</v>
      </c>
      <c r="R39" s="1574" t="s">
        <v>8</v>
      </c>
      <c r="S39" s="1575">
        <f t="shared" si="10"/>
        <v>100</v>
      </c>
      <c r="T39" s="1574" t="s">
        <v>8</v>
      </c>
      <c r="U39" s="1575">
        <f t="shared" si="11"/>
        <v>100</v>
      </c>
      <c r="V39" s="1574" t="s">
        <v>8</v>
      </c>
      <c r="W39" s="1575">
        <f t="shared" si="12"/>
        <v>100</v>
      </c>
      <c r="X39" s="1568"/>
      <c r="Y39" s="3404"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4"/>
      <c r="Q40" s="1573">
        <f t="shared" si="14"/>
        <v>111</v>
      </c>
      <c r="R40" s="1574" t="s">
        <v>8</v>
      </c>
      <c r="S40" s="1575">
        <f t="shared" si="10"/>
        <v>100</v>
      </c>
      <c r="T40" s="1574" t="s">
        <v>8</v>
      </c>
      <c r="U40" s="1575">
        <f t="shared" si="11"/>
        <v>100</v>
      </c>
      <c r="V40" s="1574" t="s">
        <v>8</v>
      </c>
      <c r="W40" s="1575">
        <f t="shared" si="12"/>
        <v>100</v>
      </c>
      <c r="X40" s="1568"/>
      <c r="Y40" s="340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4"/>
      <c r="Q41" s="1573">
        <f t="shared" si="14"/>
        <v>111</v>
      </c>
      <c r="R41" s="1574" t="s">
        <v>8</v>
      </c>
      <c r="S41" s="1575">
        <f t="shared" si="10"/>
        <v>100</v>
      </c>
      <c r="T41" s="1574" t="s">
        <v>8</v>
      </c>
      <c r="U41" s="1575">
        <f t="shared" si="11"/>
        <v>100</v>
      </c>
      <c r="V41" s="1574" t="s">
        <v>8</v>
      </c>
      <c r="W41" s="1575">
        <f t="shared" si="12"/>
        <v>100</v>
      </c>
      <c r="X41" s="1568"/>
      <c r="Y41" s="340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4"/>
      <c r="Q42" s="1573">
        <f t="shared" si="14"/>
        <v>111</v>
      </c>
      <c r="R42" s="1578" t="s">
        <v>8</v>
      </c>
      <c r="S42" s="1579">
        <f t="shared" si="10"/>
        <v>100</v>
      </c>
      <c r="T42" s="1578" t="s">
        <v>8</v>
      </c>
      <c r="U42" s="1579">
        <f t="shared" si="11"/>
        <v>100</v>
      </c>
      <c r="V42" s="1578" t="s">
        <v>8</v>
      </c>
      <c r="W42" s="1579">
        <f t="shared" si="12"/>
        <v>100</v>
      </c>
      <c r="X42" s="1580"/>
      <c r="Y42" s="3404"/>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399" t="str">
        <f>A43</f>
        <v>成交单价</v>
      </c>
      <c r="Q43" s="3399"/>
      <c r="R43" s="3413">
        <f>E43</f>
        <v>0</v>
      </c>
      <c r="S43" s="3413"/>
      <c r="T43" s="3413">
        <f>G43</f>
        <v>0</v>
      </c>
      <c r="U43" s="3413"/>
      <c r="V43" s="3413">
        <f>I43</f>
        <v>0</v>
      </c>
      <c r="W43" s="3413"/>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399" t="str">
        <f>A44</f>
        <v>比较价格（元/平方米）</v>
      </c>
      <c r="Q44" s="3399"/>
      <c r="R44" s="3423" t="e">
        <f>ROUND(PRODUCT(R43,AA9:AA42),0)</f>
        <v>#DIV/0!</v>
      </c>
      <c r="S44" s="3423"/>
      <c r="T44" s="3423" t="e">
        <f>ROUND(PRODUCT(T43,AB9:AB42),0)</f>
        <v>#DIV/0!</v>
      </c>
      <c r="U44" s="3423"/>
      <c r="V44" s="3423" t="e">
        <f>ROUND(PRODUCT(V43,AC9:AC42),0)</f>
        <v>#DIV/0!</v>
      </c>
      <c r="W44" s="3423"/>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420" t="str">
        <f>A45</f>
        <v>估价对象XX用房的比较价格（楼面单价，元/平方米）</v>
      </c>
      <c r="Q45" s="3421"/>
      <c r="R45" s="3422" t="e">
        <f>ROUND(AVERAGE(R44:V44),0)</f>
        <v>#DIV/0!</v>
      </c>
      <c r="S45" s="3422"/>
      <c r="T45" s="3422"/>
      <c r="U45" s="3422"/>
      <c r="V45" s="3422"/>
      <c r="W45" s="3422"/>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424" t="s">
        <v>2284</v>
      </c>
      <c r="H52" s="3425"/>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126262.9</v>
      </c>
      <c r="F53" s="1952" t="e">
        <f t="shared" ref="F53:F62" si="15">ROUND(B53*E53/10000,0)</f>
        <v>#DIV/0!</v>
      </c>
      <c r="G53" s="3426"/>
      <c r="H53" s="3427"/>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28"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28"/>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28"/>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28"/>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40729.97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2018-4-1</v>
      </c>
      <c r="D65" s="2825">
        <f>EDATE(C65,-3)</f>
        <v>43101</v>
      </c>
      <c r="E65" s="2825">
        <f t="shared" ref="E65:N65" si="18">EDATE(D65,-3)</f>
        <v>43009</v>
      </c>
      <c r="F65" s="2825">
        <f t="shared" si="18"/>
        <v>42917</v>
      </c>
      <c r="G65" s="2825">
        <f t="shared" si="18"/>
        <v>42826</v>
      </c>
      <c r="H65" s="2825">
        <f t="shared" si="18"/>
        <v>42736</v>
      </c>
      <c r="I65" s="2825">
        <f t="shared" si="18"/>
        <v>42644</v>
      </c>
      <c r="J65" s="2825">
        <f t="shared" si="18"/>
        <v>42552</v>
      </c>
      <c r="K65" s="2825">
        <f t="shared" si="18"/>
        <v>42461</v>
      </c>
      <c r="L65" s="2825">
        <f t="shared" si="18"/>
        <v>42370</v>
      </c>
      <c r="M65" s="2825">
        <f t="shared" si="18"/>
        <v>42278</v>
      </c>
      <c r="N65" s="2825">
        <f t="shared" si="18"/>
        <v>42186</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2018-2</v>
      </c>
      <c r="D67" s="2827" t="str">
        <f t="shared" ref="D67:N67" si="19">YEAR(D65)&amp;"-"&amp;ROUNDUP(MONTH(D65)/3,0)</f>
        <v>2018-1</v>
      </c>
      <c r="E67" s="2827" t="str">
        <f t="shared" si="19"/>
        <v>2017-4</v>
      </c>
      <c r="F67" s="2827" t="str">
        <f t="shared" si="19"/>
        <v>2017-3</v>
      </c>
      <c r="G67" s="2827" t="str">
        <f t="shared" si="19"/>
        <v>2017-2</v>
      </c>
      <c r="H67" s="2827" t="str">
        <f t="shared" si="19"/>
        <v>2017-1</v>
      </c>
      <c r="I67" s="2827" t="str">
        <f t="shared" si="19"/>
        <v>2016-4</v>
      </c>
      <c r="J67" s="2827" t="str">
        <f t="shared" si="19"/>
        <v>2016-3</v>
      </c>
      <c r="K67" s="2827" t="str">
        <f t="shared" si="19"/>
        <v>2016-2</v>
      </c>
      <c r="L67" s="2827" t="str">
        <f t="shared" si="19"/>
        <v>2016-1</v>
      </c>
      <c r="M67" s="2827" t="str">
        <f t="shared" si="19"/>
        <v>2015-4</v>
      </c>
      <c r="N67" s="2827"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北京市平均增长率1.24%</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3.1</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36"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3.1</v>
      </c>
      <c r="AA7" s="2194"/>
      <c r="AB7" s="2194"/>
      <c r="AC7" s="2195"/>
      <c r="AD7" s="2955"/>
      <c r="AE7" s="2955"/>
      <c r="AF7" s="2955"/>
      <c r="AG7" s="2955"/>
      <c r="AH7" s="2955"/>
      <c r="AI7" s="2955"/>
      <c r="AJ7" s="2956"/>
    </row>
    <row r="8" spans="1:39" ht="15">
      <c r="A8" s="3437"/>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46" t="s">
        <v>2782</v>
      </c>
      <c r="X8" s="3447"/>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437"/>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45"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37"/>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45"/>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37"/>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45" t="s">
        <v>2780</v>
      </c>
      <c r="X11" s="1048" t="s">
        <v>2765</v>
      </c>
      <c r="Y11" s="1654">
        <f>$G$3</f>
        <v>3.1</v>
      </c>
      <c r="Z11" s="1654">
        <f t="shared" ref="Z11:AJ11" si="3">$G$3</f>
        <v>3.1</v>
      </c>
      <c r="AA11" s="1654">
        <f t="shared" si="3"/>
        <v>3.1</v>
      </c>
      <c r="AB11" s="1654">
        <f t="shared" si="3"/>
        <v>3.1</v>
      </c>
      <c r="AC11" s="1654">
        <f t="shared" si="3"/>
        <v>3.1</v>
      </c>
      <c r="AD11" s="1654">
        <f t="shared" si="3"/>
        <v>3.1</v>
      </c>
      <c r="AE11" s="1654">
        <f t="shared" si="3"/>
        <v>3.1</v>
      </c>
      <c r="AF11" s="1654">
        <f t="shared" si="3"/>
        <v>3.1</v>
      </c>
      <c r="AG11" s="1654">
        <f t="shared" si="3"/>
        <v>3.1</v>
      </c>
      <c r="AH11" s="1654">
        <f t="shared" si="3"/>
        <v>3.1</v>
      </c>
      <c r="AI11" s="1654">
        <f t="shared" si="3"/>
        <v>3.1</v>
      </c>
      <c r="AJ11" s="1654">
        <f t="shared" si="3"/>
        <v>3.1</v>
      </c>
    </row>
    <row r="12" spans="1:39" ht="25.5" thickBot="1">
      <c r="A12" s="3436"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45"/>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38"/>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45"/>
      <c r="X13" s="2960"/>
      <c r="Y13" s="2959">
        <f>(-0.163*(Y12^2)-0.59*Y12+7617)*(10^(-4))/Y11</f>
        <v>0.24570967741935484</v>
      </c>
      <c r="Z13" s="2959">
        <f t="shared" ref="Z13:AJ13" si="5">(-0.163*(Z12^2)-0.59*Z12+7617)*(10^(-4))/Z11</f>
        <v>0.24570967741935484</v>
      </c>
      <c r="AA13" s="2959">
        <f t="shared" si="5"/>
        <v>0.24570967741935484</v>
      </c>
      <c r="AB13" s="2959">
        <f t="shared" si="5"/>
        <v>0.24570967741935484</v>
      </c>
      <c r="AC13" s="2959">
        <f t="shared" si="5"/>
        <v>0.24570967741935484</v>
      </c>
      <c r="AD13" s="2959">
        <f t="shared" si="5"/>
        <v>0.24570967741935484</v>
      </c>
      <c r="AE13" s="2959">
        <f t="shared" si="5"/>
        <v>0.24570967741935484</v>
      </c>
      <c r="AF13" s="2959">
        <f t="shared" si="5"/>
        <v>0.24570967741935484</v>
      </c>
      <c r="AG13" s="2959">
        <f t="shared" si="5"/>
        <v>0.24570967741935484</v>
      </c>
      <c r="AH13" s="2959">
        <f t="shared" si="5"/>
        <v>0.24570967741935484</v>
      </c>
      <c r="AI13" s="2959">
        <f t="shared" si="5"/>
        <v>0.24570967741935484</v>
      </c>
      <c r="AJ13" s="2959">
        <f t="shared" si="5"/>
        <v>0.24570967741935484</v>
      </c>
    </row>
    <row r="14" spans="1:39" ht="12.75" customHeight="1" thickBot="1">
      <c r="A14" s="3438"/>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39"/>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36"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37"/>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43210</v>
      </c>
      <c r="H19" s="1476" t="s">
        <v>2934</v>
      </c>
      <c r="I19" s="2810" t="str">
        <f>IF(H19="季度增幅（自定义）",SUMIF(N21:N24,E2,O21:O24),"")</f>
        <v/>
      </c>
      <c r="J19" s="1472"/>
      <c r="K19" s="1482"/>
      <c r="L19" s="3066" t="s">
        <v>2840</v>
      </c>
      <c r="M19" s="3067">
        <f>ROUND(SUMIF(地价!B2:F2,E2,地价!B22:F22),0)</f>
        <v>0</v>
      </c>
      <c r="N19" s="2812" t="s">
        <v>1677</v>
      </c>
      <c r="O19" s="2811">
        <f>ROUNDDOWN(DATEDIF(E19,G19,"M")/3,0)</f>
        <v>17</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1.46E-2</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1.46E-2</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2.41E-2</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1.24E-2</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2.1700000000000001E-2</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2"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3"/>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3"/>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4"/>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0" t="s">
        <v>1634</v>
      </c>
      <c r="B90" s="3440"/>
      <c r="C90" s="3440"/>
      <c r="D90" s="3440"/>
      <c r="E90" s="3440"/>
      <c r="F90" s="3440"/>
      <c r="G90" s="3440"/>
      <c r="H90" s="3440"/>
      <c r="I90" s="3440"/>
      <c r="J90" s="3440"/>
      <c r="K90" s="2476"/>
      <c r="L90" s="2476"/>
      <c r="M90" s="2476"/>
      <c r="N90" s="2476"/>
    </row>
    <row r="91" spans="1:40">
      <c r="A91" s="3441" t="s">
        <v>1444</v>
      </c>
      <c r="B91" s="3441" t="s">
        <v>1635</v>
      </c>
      <c r="C91" s="1140" t="s">
        <v>1636</v>
      </c>
      <c r="D91" s="1141"/>
      <c r="E91" s="1141"/>
      <c r="F91" s="1141"/>
      <c r="G91" s="1141"/>
      <c r="H91" s="1141"/>
      <c r="I91" s="1141"/>
      <c r="J91" s="1142"/>
      <c r="K91" s="1134"/>
      <c r="L91" s="1134"/>
      <c r="M91" s="1134"/>
      <c r="N91" s="1134"/>
    </row>
    <row r="92" spans="1:40">
      <c r="A92" s="3441"/>
      <c r="B92" s="3441"/>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48"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8" t="s">
        <v>1638</v>
      </c>
      <c r="B101" s="1147" t="s">
        <v>906</v>
      </c>
      <c r="C101" s="1148">
        <f>$G$3</f>
        <v>3.1</v>
      </c>
      <c r="D101" s="1148">
        <f t="shared" ref="D101:N101" si="31">$G$3</f>
        <v>3.1</v>
      </c>
      <c r="E101" s="1148">
        <f t="shared" si="31"/>
        <v>3.1</v>
      </c>
      <c r="F101" s="1148">
        <f t="shared" si="31"/>
        <v>3.1</v>
      </c>
      <c r="G101" s="1148">
        <f t="shared" si="31"/>
        <v>3.1</v>
      </c>
      <c r="H101" s="1148">
        <f t="shared" si="31"/>
        <v>3.1</v>
      </c>
      <c r="I101" s="1148">
        <f t="shared" si="31"/>
        <v>3.1</v>
      </c>
      <c r="J101" s="1148">
        <f t="shared" si="31"/>
        <v>3.1</v>
      </c>
      <c r="K101" s="1148">
        <f t="shared" si="31"/>
        <v>3.1</v>
      </c>
      <c r="L101" s="1148">
        <f t="shared" si="31"/>
        <v>3.1</v>
      </c>
      <c r="M101" s="1148">
        <f t="shared" si="31"/>
        <v>3.1</v>
      </c>
      <c r="N101" s="1148">
        <f t="shared" si="31"/>
        <v>3.1</v>
      </c>
    </row>
    <row r="102" spans="1:14">
      <c r="A102" s="3449"/>
      <c r="B102" s="1143">
        <v>1</v>
      </c>
      <c r="C102" s="1144">
        <f>1.9362/C101</f>
        <v>0.6245806451612903</v>
      </c>
      <c r="D102" s="1144">
        <f>1.9362/D101</f>
        <v>0.6245806451612903</v>
      </c>
      <c r="E102" s="1144">
        <f>1.8629/E101</f>
        <v>0.60093548387096773</v>
      </c>
      <c r="F102" s="1144">
        <f>1.8629/F101</f>
        <v>0.60093548387096773</v>
      </c>
      <c r="G102" s="1144">
        <f>1.8629/G101</f>
        <v>0.60093548387096773</v>
      </c>
      <c r="H102" s="1144">
        <f>1.8629/H101</f>
        <v>0.60093548387096773</v>
      </c>
      <c r="I102" s="1144">
        <f>1.8629/I101</f>
        <v>0.60093548387096773</v>
      </c>
      <c r="J102" s="1144">
        <f>1.942/J101</f>
        <v>0.62645161290322582</v>
      </c>
      <c r="K102" s="1144">
        <f>1.942/K101</f>
        <v>0.62645161290322582</v>
      </c>
      <c r="L102" s="1144">
        <f>1.942/L101</f>
        <v>0.62645161290322582</v>
      </c>
      <c r="M102" s="1144">
        <f>1.942/M101</f>
        <v>0.62645161290322582</v>
      </c>
      <c r="N102" s="1144">
        <f>1.942/N101</f>
        <v>0.62645161290322582</v>
      </c>
    </row>
    <row r="103" spans="1:14">
      <c r="A103" s="3449"/>
      <c r="B103" s="1143">
        <v>2</v>
      </c>
      <c r="C103" s="1144">
        <f>1.4198/C101</f>
        <v>0.45799999999999996</v>
      </c>
      <c r="D103" s="1144">
        <f>1.4198/D101</f>
        <v>0.45799999999999996</v>
      </c>
      <c r="E103" s="1144">
        <f>1.3372/E101</f>
        <v>0.43135483870967739</v>
      </c>
      <c r="F103" s="1144">
        <f>1.3372/F101</f>
        <v>0.43135483870967739</v>
      </c>
      <c r="G103" s="1144">
        <f>1.3372/G101</f>
        <v>0.43135483870967739</v>
      </c>
      <c r="H103" s="1144">
        <f>1.3372/H101</f>
        <v>0.43135483870967739</v>
      </c>
      <c r="I103" s="1144">
        <f>1.3372/I101</f>
        <v>0.43135483870967739</v>
      </c>
      <c r="J103" s="1144">
        <f>1.2799/J101</f>
        <v>0.41287096774193549</v>
      </c>
      <c r="K103" s="1144">
        <f>1.2799/K101</f>
        <v>0.41287096774193549</v>
      </c>
      <c r="L103" s="1144">
        <f>1.2799/L101</f>
        <v>0.41287096774193549</v>
      </c>
      <c r="M103" s="1144">
        <f>1.2799/M101</f>
        <v>0.41287096774193549</v>
      </c>
      <c r="N103" s="1144">
        <f>1.2799/N101</f>
        <v>0.41287096774193549</v>
      </c>
    </row>
    <row r="104" spans="1:14">
      <c r="A104" s="3449"/>
      <c r="B104" s="1143">
        <v>3</v>
      </c>
      <c r="C104" s="1144">
        <f>1.1594/C101</f>
        <v>0.374</v>
      </c>
      <c r="D104" s="1144">
        <f>1.1594/D101</f>
        <v>0.374</v>
      </c>
      <c r="E104" s="1144">
        <f>1.0788/E101</f>
        <v>0.34799999999999998</v>
      </c>
      <c r="F104" s="1144">
        <f>1.0788/F101</f>
        <v>0.34799999999999998</v>
      </c>
      <c r="G104" s="1144">
        <f>1.0788/G101</f>
        <v>0.34799999999999998</v>
      </c>
      <c r="H104" s="1144">
        <f>1.0788/H101</f>
        <v>0.34799999999999998</v>
      </c>
      <c r="I104" s="1144">
        <f>1.0788/I101</f>
        <v>0.34799999999999998</v>
      </c>
      <c r="J104" s="1144">
        <f>1.0072/J101</f>
        <v>0.32490322580645165</v>
      </c>
      <c r="K104" s="1144">
        <f>1.0072/K101</f>
        <v>0.32490322580645165</v>
      </c>
      <c r="L104" s="1144">
        <f>1.0072/L101</f>
        <v>0.32490322580645165</v>
      </c>
      <c r="M104" s="1144">
        <f>1.0072/M101</f>
        <v>0.32490322580645165</v>
      </c>
      <c r="N104" s="1144">
        <f>1.0072/N101</f>
        <v>0.32490322580645165</v>
      </c>
    </row>
    <row r="105" spans="1:14">
      <c r="A105" s="3449"/>
      <c r="B105" s="1143">
        <v>4</v>
      </c>
      <c r="C105" s="1144">
        <f>0.9622/C101</f>
        <v>0.31038709677419357</v>
      </c>
      <c r="D105" s="1144">
        <f>0.9622/D101</f>
        <v>0.31038709677419357</v>
      </c>
      <c r="E105" s="1144">
        <f>0.8656/E101</f>
        <v>0.27922580645161293</v>
      </c>
      <c r="F105" s="1144">
        <f>0.8656/F101</f>
        <v>0.27922580645161293</v>
      </c>
      <c r="G105" s="1144">
        <f>0.8656/G101</f>
        <v>0.27922580645161293</v>
      </c>
      <c r="H105" s="1144">
        <f>0.8656/H101</f>
        <v>0.27922580645161293</v>
      </c>
      <c r="I105" s="1144">
        <f>0.8656/I101</f>
        <v>0.27922580645161293</v>
      </c>
      <c r="J105" s="1144">
        <f>0.7525/J101</f>
        <v>0.24274193548387094</v>
      </c>
      <c r="K105" s="1144">
        <f>0.7525/K101</f>
        <v>0.24274193548387094</v>
      </c>
      <c r="L105" s="1144">
        <f>0.7525/L101</f>
        <v>0.24274193548387094</v>
      </c>
      <c r="M105" s="1144">
        <f>0.7525/M101</f>
        <v>0.24274193548387094</v>
      </c>
      <c r="N105" s="1144">
        <f>0.7525/N101</f>
        <v>0.24274193548387094</v>
      </c>
    </row>
    <row r="106" spans="1:14">
      <c r="A106" s="3449"/>
      <c r="B106" s="1143">
        <v>5</v>
      </c>
      <c r="C106" s="1144">
        <f>0.8417/C101</f>
        <v>0.27151612903225808</v>
      </c>
      <c r="D106" s="1144">
        <f>0.8417/D101</f>
        <v>0.27151612903225808</v>
      </c>
      <c r="E106" s="1144">
        <f>0.7371/E101</f>
        <v>0.23777419354838708</v>
      </c>
      <c r="F106" s="1144">
        <f>0.7371/F101</f>
        <v>0.23777419354838708</v>
      </c>
      <c r="G106" s="1144">
        <f>0.7371/G101</f>
        <v>0.23777419354838708</v>
      </c>
      <c r="H106" s="1144">
        <f>0.7371/H101</f>
        <v>0.23777419354838708</v>
      </c>
      <c r="I106" s="1144">
        <f>0.7371/I101</f>
        <v>0.23777419354838708</v>
      </c>
      <c r="J106" s="1144">
        <f>0.5659/J101</f>
        <v>0.18254838709677418</v>
      </c>
      <c r="K106" s="1144">
        <f>0.5659/K101</f>
        <v>0.18254838709677418</v>
      </c>
      <c r="L106" s="1144">
        <f>0.5659/L101</f>
        <v>0.18254838709677418</v>
      </c>
      <c r="M106" s="1144">
        <f>0.5659/M101</f>
        <v>0.18254838709677418</v>
      </c>
      <c r="N106" s="1144">
        <f>0.5659/N101</f>
        <v>0.18254838709677418</v>
      </c>
    </row>
    <row r="107" spans="1:14">
      <c r="A107" s="3449"/>
      <c r="B107" s="1143">
        <v>6</v>
      </c>
      <c r="C107" s="1144">
        <f>0.7608/C101</f>
        <v>0.24541935483870969</v>
      </c>
      <c r="D107" s="1144">
        <f>0.7608/D101</f>
        <v>0.24541935483870969</v>
      </c>
      <c r="E107" s="1144">
        <f>0.6482/E101</f>
        <v>0.20909677419354838</v>
      </c>
      <c r="F107" s="1144">
        <f>0.6482/F101</f>
        <v>0.20909677419354838</v>
      </c>
      <c r="G107" s="1144">
        <f>0.6482/G101</f>
        <v>0.20909677419354838</v>
      </c>
      <c r="H107" s="1144">
        <f>0.6482/H101</f>
        <v>0.20909677419354838</v>
      </c>
      <c r="I107" s="1144">
        <f>0.6482/I101</f>
        <v>0.20909677419354838</v>
      </c>
      <c r="J107" s="1144">
        <f>0.4525/J101</f>
        <v>0.14596774193548387</v>
      </c>
      <c r="K107" s="1144">
        <f>0.4525/K101</f>
        <v>0.14596774193548387</v>
      </c>
      <c r="L107" s="1144">
        <f>0.4525/L101</f>
        <v>0.14596774193548387</v>
      </c>
      <c r="M107" s="1144">
        <f>0.4525/M101</f>
        <v>0.14596774193548387</v>
      </c>
      <c r="N107" s="1144">
        <f>0.4525/N101</f>
        <v>0.14596774193548387</v>
      </c>
    </row>
    <row r="108" spans="1:14">
      <c r="A108" s="3449"/>
      <c r="B108" s="345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0"/>
      <c r="B109" s="3452"/>
      <c r="C109" s="1146">
        <f>(-0.163*(C108^2)-0.59*C108+7617)*(10^(-4))/C101</f>
        <v>0.24522090322580645</v>
      </c>
      <c r="D109" s="1146">
        <f>(-0.163*(D108^2)-0.59*D108+7617)*(10^(-4))/D101</f>
        <v>0.24522090322580645</v>
      </c>
      <c r="E109" s="1146">
        <f>(-0.161*(E108^2)-7.509*E108+6533)*(10^(-4))/E101</f>
        <v>0.20847174193548387</v>
      </c>
      <c r="F109" s="1146">
        <f>(-0.161*(F108^2)-7.509*F108+6533)*(10^(-4))/F101</f>
        <v>0.20847174193548387</v>
      </c>
      <c r="G109" s="1146">
        <f>(-0.161*(G108^2)-7.509*G108+6533)*(10^(-4))/G101</f>
        <v>0.20847174193548387</v>
      </c>
      <c r="H109" s="1146">
        <f>(-0.161*(H108^2)-7.509*H108+6533)*(10^(-4))/H101</f>
        <v>0.20847174193548387</v>
      </c>
      <c r="I109" s="1146">
        <f>(-0.161*(I108^2)-7.509*I108+6533)*(10^(-4))/I101</f>
        <v>0.20847174193548387</v>
      </c>
      <c r="J109" s="1146">
        <f>(-0.214*(J108^2)-21.991*J108+4665)*(10^(-4))/J101</f>
        <v>0.1443669677419355</v>
      </c>
      <c r="K109" s="1146">
        <f>(-0.214*(K108^2)-21.991*K108+4665)*(10^(-4))/K101</f>
        <v>0.1443669677419355</v>
      </c>
      <c r="L109" s="1146">
        <f>(-0.214*(L108^2)-21.991*L108+4665)*(10^(-4))/L101</f>
        <v>0.1443669677419355</v>
      </c>
      <c r="M109" s="1146">
        <f>(-0.214*(M108^2)-21.991*M108+4665)*(10^(-4))/M101</f>
        <v>0.1443669677419355</v>
      </c>
      <c r="N109" s="1146">
        <f>(-0.214*(N108^2)-21.991*N108+4665)*(10^(-4))/N101</f>
        <v>0.1443669677419355</v>
      </c>
    </row>
    <row r="110" spans="1:14">
      <c r="A110" s="3435" t="s">
        <v>1640</v>
      </c>
      <c r="B110" s="3435"/>
      <c r="C110" s="3435"/>
      <c r="D110" s="3435"/>
      <c r="E110" s="3435"/>
      <c r="F110" s="3435"/>
      <c r="G110" s="3435"/>
      <c r="H110" s="3435"/>
      <c r="I110" s="3435"/>
      <c r="J110" s="3435"/>
      <c r="K110" s="2474"/>
      <c r="L110" s="2474"/>
      <c r="M110" s="2474"/>
      <c r="N110" s="2474"/>
    </row>
    <row r="112" spans="1:14" ht="12.75" thickBot="1"/>
    <row r="113" spans="1:13" ht="25.5" thickBot="1">
      <c r="A113" s="1016" t="s">
        <v>896</v>
      </c>
      <c r="B113" s="2477">
        <f>G3</f>
        <v>3.1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0.90439999999999998</v>
      </c>
      <c r="C115" s="1030">
        <f>B115</f>
        <v>0.90439999999999998</v>
      </c>
      <c r="D115" s="1030">
        <f>ROUND(0.8331-0.0109*B113,4)</f>
        <v>0.79930000000000001</v>
      </c>
      <c r="E115" s="1030">
        <f>D115</f>
        <v>0.79930000000000001</v>
      </c>
      <c r="F115" s="1030">
        <f>E115</f>
        <v>0.79930000000000001</v>
      </c>
      <c r="G115" s="1030">
        <f>F115</f>
        <v>0.79930000000000001</v>
      </c>
      <c r="H115" s="1030">
        <f>G115</f>
        <v>0.79930000000000001</v>
      </c>
      <c r="I115" s="1030">
        <f>ROUND(0.689-0.0155*B113,4)</f>
        <v>0.64100000000000001</v>
      </c>
      <c r="J115" s="1030">
        <f t="shared" ref="J115:M118" si="33">I115</f>
        <v>0.64100000000000001</v>
      </c>
      <c r="K115" s="1030">
        <f t="shared" si="33"/>
        <v>0.64100000000000001</v>
      </c>
      <c r="L115" s="1030">
        <f t="shared" si="33"/>
        <v>0.64100000000000001</v>
      </c>
      <c r="M115" s="1031">
        <f t="shared" si="33"/>
        <v>0.64100000000000001</v>
      </c>
    </row>
    <row r="116" spans="1:13" ht="12.75">
      <c r="A116" s="1029" t="s">
        <v>901</v>
      </c>
      <c r="B116" s="1030">
        <f>ROUND(0.949-0.012*B113,4)</f>
        <v>0.91180000000000005</v>
      </c>
      <c r="C116" s="1030">
        <f>B116</f>
        <v>0.91180000000000005</v>
      </c>
      <c r="D116" s="1030">
        <f>ROUND(0.8567-0.013*B113,4)</f>
        <v>0.81640000000000001</v>
      </c>
      <c r="E116" s="1030">
        <f t="shared" ref="E116:H117" si="34">D116</f>
        <v>0.81640000000000001</v>
      </c>
      <c r="F116" s="1030">
        <f t="shared" si="34"/>
        <v>0.81640000000000001</v>
      </c>
      <c r="G116" s="1030">
        <f t="shared" si="34"/>
        <v>0.81640000000000001</v>
      </c>
      <c r="H116" s="1030">
        <f t="shared" si="34"/>
        <v>0.81640000000000001</v>
      </c>
      <c r="I116" s="1030">
        <f>ROUND(0.7694-0.014*B113,4)</f>
        <v>0.72599999999999998</v>
      </c>
      <c r="J116" s="1030">
        <f t="shared" si="33"/>
        <v>0.72599999999999998</v>
      </c>
      <c r="K116" s="1030">
        <f t="shared" si="33"/>
        <v>0.72599999999999998</v>
      </c>
      <c r="L116" s="1030">
        <f t="shared" si="33"/>
        <v>0.72599999999999998</v>
      </c>
      <c r="M116" s="1031">
        <f t="shared" si="33"/>
        <v>0.72599999999999998</v>
      </c>
    </row>
    <row r="117" spans="1:13" ht="12.75">
      <c r="A117" s="1032" t="s">
        <v>902</v>
      </c>
      <c r="B117" s="1030">
        <f>ROUND(0.8808-0.006*B113,4)</f>
        <v>0.86219999999999997</v>
      </c>
      <c r="C117" s="1030">
        <f>B117</f>
        <v>0.86219999999999997</v>
      </c>
      <c r="D117" s="1030">
        <f>ROUND(0.8748-0.008*B113,4)</f>
        <v>0.85</v>
      </c>
      <c r="E117" s="1030">
        <f t="shared" si="34"/>
        <v>0.85</v>
      </c>
      <c r="F117" s="1030">
        <f t="shared" si="34"/>
        <v>0.85</v>
      </c>
      <c r="G117" s="1030">
        <f t="shared" si="34"/>
        <v>0.85</v>
      </c>
      <c r="H117" s="1030">
        <f t="shared" si="34"/>
        <v>0.85</v>
      </c>
      <c r="I117" s="1030">
        <f>ROUND(0.7412-0.0095*B113,4)</f>
        <v>0.71179999999999999</v>
      </c>
      <c r="J117" s="1030">
        <f t="shared" si="33"/>
        <v>0.71179999999999999</v>
      </c>
      <c r="K117" s="1030">
        <f t="shared" si="33"/>
        <v>0.71179999999999999</v>
      </c>
      <c r="L117" s="1030">
        <f t="shared" si="33"/>
        <v>0.71179999999999999</v>
      </c>
      <c r="M117" s="1031">
        <f t="shared" si="33"/>
        <v>0.71179999999999999</v>
      </c>
    </row>
    <row r="118" spans="1:13" ht="13.5" thickBot="1">
      <c r="A118" s="1033" t="s">
        <v>903</v>
      </c>
      <c r="B118" s="1034">
        <f>ROUND(0.7275-0.01*B113,4)</f>
        <v>0.69650000000000001</v>
      </c>
      <c r="C118" s="1034">
        <f>B118</f>
        <v>0.69650000000000001</v>
      </c>
      <c r="D118" s="1034">
        <f>ROUND(0.7043-0.012*B113,4)</f>
        <v>0.66710000000000003</v>
      </c>
      <c r="E118" s="1034">
        <f>D118</f>
        <v>0.66710000000000003</v>
      </c>
      <c r="F118" s="1034">
        <f>E118</f>
        <v>0.66710000000000003</v>
      </c>
      <c r="G118" s="1034">
        <f>ROUND(0.6299-0.0122*B113,4)</f>
        <v>0.59209999999999996</v>
      </c>
      <c r="H118" s="1034">
        <f>G118</f>
        <v>0.59209999999999996</v>
      </c>
      <c r="I118" s="1034">
        <f>ROUND(0.5667-0.0136*B113,4)</f>
        <v>0.52449999999999997</v>
      </c>
      <c r="J118" s="1034">
        <f t="shared" si="33"/>
        <v>0.52449999999999997</v>
      </c>
      <c r="K118" s="1034">
        <f t="shared" si="33"/>
        <v>0.52449999999999997</v>
      </c>
      <c r="L118" s="1034">
        <f t="shared" si="33"/>
        <v>0.52449999999999997</v>
      </c>
      <c r="M118" s="1035">
        <f t="shared" si="33"/>
        <v>0.52449999999999997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1" t="s">
        <v>1008</v>
      </c>
      <c r="B18" s="1154" t="s">
        <v>1447</v>
      </c>
      <c r="C18" s="1131" t="s">
        <v>1448</v>
      </c>
      <c r="D18" s="1132"/>
      <c r="E18" s="1154">
        <v>1</v>
      </c>
      <c r="F18" s="1133" t="s">
        <v>1449</v>
      </c>
      <c r="G18" s="1134"/>
      <c r="H18" s="1105"/>
      <c r="I18" s="1105"/>
    </row>
    <row r="19" spans="1:9" s="1600" customFormat="1" ht="19.5" customHeight="1">
      <c r="A19" s="3441"/>
      <c r="B19" s="3441" t="s">
        <v>1450</v>
      </c>
      <c r="C19" s="1131" t="s">
        <v>1451</v>
      </c>
      <c r="D19" s="1132"/>
      <c r="E19" s="1154">
        <v>0.9</v>
      </c>
      <c r="F19" s="1133" t="s">
        <v>1452</v>
      </c>
      <c r="G19" s="1134"/>
      <c r="H19" s="1105"/>
      <c r="I19" s="1105"/>
    </row>
    <row r="20" spans="1:9" s="1600" customFormat="1" ht="19.5" customHeight="1">
      <c r="A20" s="3441"/>
      <c r="B20" s="3441"/>
      <c r="C20" s="1131" t="s">
        <v>1453</v>
      </c>
      <c r="D20" s="1132"/>
      <c r="E20" s="1154">
        <v>1.1000000000000001</v>
      </c>
      <c r="F20" s="1133" t="s">
        <v>1454</v>
      </c>
      <c r="G20" s="1134"/>
      <c r="H20" s="1105"/>
      <c r="I20" s="1105"/>
    </row>
    <row r="21" spans="1:9" s="1600" customFormat="1" ht="19.5" customHeight="1">
      <c r="A21" s="3441"/>
      <c r="B21" s="3441"/>
      <c r="C21" s="1131" t="s">
        <v>1455</v>
      </c>
      <c r="D21" s="1132"/>
      <c r="E21" s="1154">
        <v>0.8</v>
      </c>
      <c r="F21" s="1133" t="s">
        <v>1456</v>
      </c>
      <c r="G21" s="1134"/>
      <c r="H21" s="1105"/>
      <c r="I21" s="1105"/>
    </row>
    <row r="22" spans="1:9" s="1600" customFormat="1" ht="19.5" customHeight="1">
      <c r="A22" s="3441"/>
      <c r="B22" s="3441"/>
      <c r="C22" s="1131" t="s">
        <v>1457</v>
      </c>
      <c r="D22" s="1132"/>
      <c r="E22" s="1154">
        <v>0.5</v>
      </c>
      <c r="F22" s="1133"/>
      <c r="G22" s="1134"/>
      <c r="H22" s="1105"/>
      <c r="I22" s="1105"/>
    </row>
    <row r="23" spans="1:9" s="1600" customFormat="1" ht="19.5" customHeight="1">
      <c r="A23" s="3441" t="s">
        <v>1030</v>
      </c>
      <c r="B23" s="1154" t="s">
        <v>1447</v>
      </c>
      <c r="C23" s="1131" t="s">
        <v>1458</v>
      </c>
      <c r="D23" s="1132"/>
      <c r="E23" s="1154">
        <v>1</v>
      </c>
      <c r="F23" s="1133" t="s">
        <v>1459</v>
      </c>
      <c r="G23" s="1134"/>
      <c r="H23" s="1105"/>
      <c r="I23" s="1105"/>
    </row>
    <row r="24" spans="1:9" s="1600" customFormat="1" ht="19.5" customHeight="1">
      <c r="A24" s="3441"/>
      <c r="B24" s="3441" t="s">
        <v>1450</v>
      </c>
      <c r="C24" s="1131" t="s">
        <v>1460</v>
      </c>
      <c r="D24" s="1132"/>
      <c r="E24" s="1154">
        <v>0.5</v>
      </c>
      <c r="F24" s="1133"/>
      <c r="G24" s="1134"/>
      <c r="H24" s="1105"/>
      <c r="I24" s="1105"/>
    </row>
    <row r="25" spans="1:9" s="1600" customFormat="1" ht="19.5" customHeight="1">
      <c r="A25" s="3441"/>
      <c r="B25" s="3441"/>
      <c r="C25" s="1131" t="s">
        <v>1461</v>
      </c>
      <c r="D25" s="1132"/>
      <c r="E25" s="1154">
        <v>1.1000000000000001</v>
      </c>
      <c r="F25" s="1133"/>
      <c r="G25" s="1134"/>
      <c r="H25" s="1105"/>
      <c r="I25" s="1105"/>
    </row>
    <row r="26" spans="1:9" s="1600" customFormat="1" ht="19.5" customHeight="1">
      <c r="A26" s="3441"/>
      <c r="B26" s="3441"/>
      <c r="C26" s="1131" t="s">
        <v>1462</v>
      </c>
      <c r="D26" s="1132"/>
      <c r="E26" s="1154">
        <v>1.1000000000000001</v>
      </c>
      <c r="F26" s="1133"/>
      <c r="G26" s="1134"/>
      <c r="H26" s="1105"/>
      <c r="I26" s="1105"/>
    </row>
    <row r="27" spans="1:9" s="1600" customFormat="1" ht="19.5" customHeight="1">
      <c r="A27" s="3441"/>
      <c r="B27" s="3441"/>
      <c r="C27" s="1131" t="s">
        <v>1463</v>
      </c>
      <c r="D27" s="1132"/>
      <c r="E27" s="1154">
        <v>0.9</v>
      </c>
      <c r="F27" s="1133" t="s">
        <v>1464</v>
      </c>
      <c r="G27" s="1134"/>
      <c r="H27" s="1105"/>
      <c r="I27" s="1105"/>
    </row>
    <row r="28" spans="1:9" s="1600" customFormat="1" ht="19.5" customHeight="1">
      <c r="A28" s="3441"/>
      <c r="B28" s="3441"/>
      <c r="C28" s="1131" t="s">
        <v>1465</v>
      </c>
      <c r="D28" s="1132"/>
      <c r="E28" s="1154">
        <v>0.9</v>
      </c>
      <c r="F28" s="1133" t="s">
        <v>1466</v>
      </c>
      <c r="G28" s="1134"/>
      <c r="H28" s="1105"/>
      <c r="I28" s="1105"/>
    </row>
    <row r="29" spans="1:9" s="1600" customFormat="1" ht="19.5" customHeight="1">
      <c r="A29" s="3441"/>
      <c r="B29" s="3441"/>
      <c r="C29" s="1131" t="s">
        <v>1467</v>
      </c>
      <c r="D29" s="1132"/>
      <c r="E29" s="1154">
        <v>0.9</v>
      </c>
      <c r="F29" s="1133" t="s">
        <v>1468</v>
      </c>
      <c r="G29" s="1134"/>
      <c r="H29" s="1105"/>
      <c r="I29" s="1105"/>
    </row>
    <row r="30" spans="1:9" s="1600" customFormat="1" ht="19.5" customHeight="1">
      <c r="A30" s="3441"/>
      <c r="B30" s="3441"/>
      <c r="C30" s="1131" t="s">
        <v>1469</v>
      </c>
      <c r="D30" s="1132"/>
      <c r="E30" s="1154">
        <v>0.9</v>
      </c>
      <c r="F30" s="1133" t="s">
        <v>1470</v>
      </c>
      <c r="G30" s="1134"/>
      <c r="H30" s="1105"/>
      <c r="I30" s="1105"/>
    </row>
    <row r="31" spans="1:9" s="1600" customFormat="1" ht="19.5" customHeight="1">
      <c r="A31" s="3441"/>
      <c r="B31" s="3441"/>
      <c r="C31" s="1131" t="s">
        <v>1471</v>
      </c>
      <c r="D31" s="1132"/>
      <c r="E31" s="1154">
        <v>0.8</v>
      </c>
      <c r="F31" s="1133" t="s">
        <v>1472</v>
      </c>
      <c r="G31" s="1134"/>
      <c r="H31" s="1105"/>
      <c r="I31" s="1105"/>
    </row>
    <row r="32" spans="1:9" s="1600" customFormat="1" ht="19.5" customHeight="1">
      <c r="A32" s="3441"/>
      <c r="B32" s="3441"/>
      <c r="C32" s="1131" t="s">
        <v>1473</v>
      </c>
      <c r="D32" s="1132"/>
      <c r="E32" s="1154">
        <v>0.8</v>
      </c>
      <c r="F32" s="1133" t="s">
        <v>1474</v>
      </c>
      <c r="G32" s="1134"/>
      <c r="H32" s="1105"/>
      <c r="I32" s="1105"/>
    </row>
    <row r="33" spans="1:9" s="1600" customFormat="1" ht="19.5" customHeight="1">
      <c r="A33" s="3441" t="s">
        <v>1475</v>
      </c>
      <c r="B33" s="1154" t="s">
        <v>1447</v>
      </c>
      <c r="C33" s="1131" t="s">
        <v>1476</v>
      </c>
      <c r="D33" s="1132"/>
      <c r="E33" s="1154">
        <v>1</v>
      </c>
      <c r="F33" s="1133" t="s">
        <v>1477</v>
      </c>
      <c r="G33" s="1134"/>
      <c r="H33" s="1105"/>
      <c r="I33" s="1105"/>
    </row>
    <row r="34" spans="1:9" s="1600" customFormat="1" ht="19.5" customHeight="1">
      <c r="A34" s="3441"/>
      <c r="B34" s="1154" t="s">
        <v>1450</v>
      </c>
      <c r="C34" s="1131" t="s">
        <v>1478</v>
      </c>
      <c r="D34" s="1132"/>
      <c r="E34" s="1154">
        <v>1.5</v>
      </c>
      <c r="F34" s="1133" t="s">
        <v>1479</v>
      </c>
      <c r="G34" s="1134"/>
      <c r="H34" s="1105"/>
      <c r="I34" s="1105"/>
    </row>
    <row r="35" spans="1:9" s="1600" customFormat="1" ht="19.5" customHeight="1">
      <c r="A35" s="3441" t="s">
        <v>1433</v>
      </c>
      <c r="B35" s="1154" t="s">
        <v>1447</v>
      </c>
      <c r="C35" s="1131" t="s">
        <v>1480</v>
      </c>
      <c r="D35" s="1132"/>
      <c r="E35" s="1154">
        <v>1</v>
      </c>
      <c r="F35" s="1133" t="s">
        <v>1481</v>
      </c>
      <c r="G35" s="1134"/>
      <c r="H35" s="1105"/>
      <c r="I35" s="1105"/>
    </row>
    <row r="36" spans="1:9" s="1600" customFormat="1" ht="19.5" customHeight="1">
      <c r="A36" s="3441"/>
      <c r="B36" s="3441" t="s">
        <v>1450</v>
      </c>
      <c r="C36" s="1131" t="s">
        <v>1482</v>
      </c>
      <c r="D36" s="1132"/>
      <c r="E36" s="1154">
        <v>1</v>
      </c>
      <c r="F36" s="1133" t="s">
        <v>1483</v>
      </c>
      <c r="G36" s="1134"/>
      <c r="H36" s="1105"/>
      <c r="I36" s="1105"/>
    </row>
    <row r="37" spans="1:9" s="1600" customFormat="1" ht="19.5" customHeight="1">
      <c r="A37" s="3441"/>
      <c r="B37" s="3441"/>
      <c r="C37" s="1131" t="s">
        <v>1484</v>
      </c>
      <c r="D37" s="1132"/>
      <c r="E37" s="1154">
        <v>1.5</v>
      </c>
      <c r="F37" s="1133" t="s">
        <v>1485</v>
      </c>
      <c r="G37" s="1134"/>
      <c r="H37" s="1105"/>
      <c r="I37" s="1105"/>
    </row>
    <row r="38" spans="1:9" s="1600" customFormat="1" ht="19.5" customHeight="1">
      <c r="A38" s="3441"/>
      <c r="B38" s="3441"/>
      <c r="C38" s="1131" t="s">
        <v>1486</v>
      </c>
      <c r="D38" s="1132"/>
      <c r="E38" s="1154">
        <v>1</v>
      </c>
      <c r="F38" s="1133" t="s">
        <v>1487</v>
      </c>
      <c r="G38" s="1134"/>
      <c r="H38" s="1105"/>
      <c r="I38" s="1105"/>
    </row>
    <row r="39" spans="1:9" s="1600" customFormat="1" ht="19.5" customHeight="1">
      <c r="A39" s="3441"/>
      <c r="B39" s="3441"/>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1" t="s">
        <v>1502</v>
      </c>
      <c r="C61" s="1068" t="s">
        <v>1503</v>
      </c>
      <c r="D61" s="1068" t="s">
        <v>1504</v>
      </c>
      <c r="E61" s="1139">
        <v>0.5</v>
      </c>
      <c r="F61" s="1154">
        <v>80</v>
      </c>
      <c r="H61" s="1105">
        <f>SUMIF(C59:C119,基准地价!C8,E59:E119)</f>
        <v>0</v>
      </c>
    </row>
    <row r="62" spans="1:8" s="1105" customFormat="1" ht="24">
      <c r="A62" s="1154">
        <v>2</v>
      </c>
      <c r="B62" s="3441"/>
      <c r="C62" s="1068" t="s">
        <v>1505</v>
      </c>
      <c r="D62" s="1068" t="s">
        <v>1506</v>
      </c>
      <c r="E62" s="1139">
        <v>0.5</v>
      </c>
      <c r="F62" s="1154">
        <v>80</v>
      </c>
    </row>
    <row r="63" spans="1:8" s="1105" customFormat="1" ht="36">
      <c r="A63" s="1154">
        <v>3</v>
      </c>
      <c r="B63" s="3441"/>
      <c r="C63" s="1068" t="s">
        <v>1507</v>
      </c>
      <c r="D63" s="1068" t="s">
        <v>1508</v>
      </c>
      <c r="E63" s="1139">
        <v>0.5</v>
      </c>
      <c r="F63" s="1154">
        <v>80</v>
      </c>
    </row>
    <row r="64" spans="1:8" s="1105" customFormat="1" ht="36">
      <c r="A64" s="1154">
        <v>4</v>
      </c>
      <c r="B64" s="3441"/>
      <c r="C64" s="1068" t="s">
        <v>1509</v>
      </c>
      <c r="D64" s="1068" t="s">
        <v>1510</v>
      </c>
      <c r="E64" s="1139">
        <v>0.4</v>
      </c>
      <c r="F64" s="1154">
        <v>60</v>
      </c>
    </row>
    <row r="65" spans="1:6" s="1105" customFormat="1" ht="36">
      <c r="A65" s="1154">
        <v>5</v>
      </c>
      <c r="B65" s="3441"/>
      <c r="C65" s="1068" t="s">
        <v>1511</v>
      </c>
      <c r="D65" s="1068" t="s">
        <v>1512</v>
      </c>
      <c r="E65" s="1139">
        <v>0.2</v>
      </c>
      <c r="F65" s="1154">
        <v>30</v>
      </c>
    </row>
    <row r="66" spans="1:6" s="1105" customFormat="1" ht="36">
      <c r="A66" s="1154">
        <v>6</v>
      </c>
      <c r="B66" s="3441"/>
      <c r="C66" s="1068" t="s">
        <v>1513</v>
      </c>
      <c r="D66" s="1068" t="s">
        <v>1514</v>
      </c>
      <c r="E66" s="1139">
        <v>0.3</v>
      </c>
      <c r="F66" s="1154">
        <v>50</v>
      </c>
    </row>
    <row r="67" spans="1:6" s="1105" customFormat="1" ht="36">
      <c r="A67" s="1154">
        <v>7</v>
      </c>
      <c r="B67" s="3441"/>
      <c r="C67" s="1068" t="s">
        <v>1515</v>
      </c>
      <c r="D67" s="1068" t="s">
        <v>1516</v>
      </c>
      <c r="E67" s="1139">
        <v>0.2</v>
      </c>
      <c r="F67" s="1154">
        <v>30</v>
      </c>
    </row>
    <row r="68" spans="1:6" s="1105" customFormat="1" ht="36">
      <c r="A68" s="1154">
        <v>8</v>
      </c>
      <c r="B68" s="3441"/>
      <c r="C68" s="1068" t="s">
        <v>1517</v>
      </c>
      <c r="D68" s="1068" t="s">
        <v>1518</v>
      </c>
      <c r="E68" s="1139">
        <v>0.2</v>
      </c>
      <c r="F68" s="1154">
        <v>30</v>
      </c>
    </row>
    <row r="69" spans="1:6" s="1105" customFormat="1" ht="36">
      <c r="A69" s="1154">
        <v>9</v>
      </c>
      <c r="B69" s="3441"/>
      <c r="C69" s="1068" t="s">
        <v>1519</v>
      </c>
      <c r="D69" s="1068" t="s">
        <v>1520</v>
      </c>
      <c r="E69" s="1139">
        <v>0.2</v>
      </c>
      <c r="F69" s="1154">
        <v>30</v>
      </c>
    </row>
    <row r="70" spans="1:6" s="1105" customFormat="1" ht="48">
      <c r="A70" s="1154">
        <v>10</v>
      </c>
      <c r="B70" s="3441"/>
      <c r="C70" s="1068" t="s">
        <v>1521</v>
      </c>
      <c r="D70" s="1068" t="s">
        <v>1522</v>
      </c>
      <c r="E70" s="1139">
        <v>0.2</v>
      </c>
      <c r="F70" s="1154">
        <v>30</v>
      </c>
    </row>
    <row r="71" spans="1:6" s="1105" customFormat="1" ht="48">
      <c r="A71" s="1154">
        <v>11</v>
      </c>
      <c r="B71" s="3441"/>
      <c r="C71" s="1068" t="s">
        <v>1523</v>
      </c>
      <c r="D71" s="1068" t="s">
        <v>1524</v>
      </c>
      <c r="E71" s="1139">
        <v>0.2</v>
      </c>
      <c r="F71" s="1154">
        <v>30</v>
      </c>
    </row>
    <row r="72" spans="1:6" s="1105" customFormat="1" ht="36">
      <c r="A72" s="1154">
        <v>12</v>
      </c>
      <c r="B72" s="3441"/>
      <c r="C72" s="1068" t="s">
        <v>1525</v>
      </c>
      <c r="D72" s="1068" t="s">
        <v>1526</v>
      </c>
      <c r="E72" s="1139">
        <v>0.5</v>
      </c>
      <c r="F72" s="1154">
        <v>80</v>
      </c>
    </row>
    <row r="73" spans="1:6" s="1105" customFormat="1" ht="24">
      <c r="A73" s="1154">
        <v>13</v>
      </c>
      <c r="B73" s="3441"/>
      <c r="C73" s="1068" t="s">
        <v>1527</v>
      </c>
      <c r="D73" s="1068" t="s">
        <v>1528</v>
      </c>
      <c r="E73" s="1139">
        <v>0.4</v>
      </c>
      <c r="F73" s="1154">
        <v>60</v>
      </c>
    </row>
    <row r="74" spans="1:6" s="1105" customFormat="1" ht="24">
      <c r="A74" s="1154">
        <v>14</v>
      </c>
      <c r="B74" s="3441"/>
      <c r="C74" s="1068" t="s">
        <v>1529</v>
      </c>
      <c r="D74" s="1068" t="s">
        <v>1530</v>
      </c>
      <c r="E74" s="1139">
        <v>0.2</v>
      </c>
      <c r="F74" s="1154">
        <v>30</v>
      </c>
    </row>
    <row r="75" spans="1:6" s="1105" customFormat="1" ht="24">
      <c r="A75" s="1154">
        <v>15</v>
      </c>
      <c r="B75" s="3441"/>
      <c r="C75" s="1068" t="s">
        <v>1531</v>
      </c>
      <c r="D75" s="1068" t="s">
        <v>1532</v>
      </c>
      <c r="E75" s="1139">
        <v>0.2</v>
      </c>
      <c r="F75" s="1154">
        <v>30</v>
      </c>
    </row>
    <row r="76" spans="1:6" s="1105" customFormat="1" ht="24">
      <c r="A76" s="1154">
        <v>16</v>
      </c>
      <c r="B76" s="3441" t="s">
        <v>1533</v>
      </c>
      <c r="C76" s="1068" t="s">
        <v>1534</v>
      </c>
      <c r="D76" s="1068" t="s">
        <v>1535</v>
      </c>
      <c r="E76" s="1139">
        <v>0.5</v>
      </c>
      <c r="F76" s="1154">
        <v>80</v>
      </c>
    </row>
    <row r="77" spans="1:6" s="1105" customFormat="1" ht="24">
      <c r="A77" s="1154">
        <v>17</v>
      </c>
      <c r="B77" s="3441"/>
      <c r="C77" s="1068" t="s">
        <v>1536</v>
      </c>
      <c r="D77" s="1068" t="s">
        <v>1537</v>
      </c>
      <c r="E77" s="1139">
        <v>0.5</v>
      </c>
      <c r="F77" s="1154">
        <v>80</v>
      </c>
    </row>
    <row r="78" spans="1:6" s="1105" customFormat="1" ht="24">
      <c r="A78" s="1154">
        <v>18</v>
      </c>
      <c r="B78" s="3441"/>
      <c r="C78" s="1068" t="s">
        <v>1538</v>
      </c>
      <c r="D78" s="1068" t="s">
        <v>1539</v>
      </c>
      <c r="E78" s="1139">
        <v>0.2</v>
      </c>
      <c r="F78" s="1154">
        <v>30</v>
      </c>
    </row>
    <row r="79" spans="1:6" s="1105" customFormat="1" ht="24">
      <c r="A79" s="1154">
        <v>19</v>
      </c>
      <c r="B79" s="3441"/>
      <c r="C79" s="1068" t="s">
        <v>1540</v>
      </c>
      <c r="D79" s="1068" t="s">
        <v>1541</v>
      </c>
      <c r="E79" s="1139">
        <v>0.5</v>
      </c>
      <c r="F79" s="1154">
        <v>80</v>
      </c>
    </row>
    <row r="80" spans="1:6" s="1105" customFormat="1" ht="36">
      <c r="A80" s="1154">
        <v>20</v>
      </c>
      <c r="B80" s="3441"/>
      <c r="C80" s="1068" t="s">
        <v>1542</v>
      </c>
      <c r="D80" s="1068" t="s">
        <v>1543</v>
      </c>
      <c r="E80" s="1139">
        <v>0.2</v>
      </c>
      <c r="F80" s="1154">
        <v>30</v>
      </c>
    </row>
    <row r="81" spans="1:6" s="1105" customFormat="1" ht="36">
      <c r="A81" s="1154">
        <v>21</v>
      </c>
      <c r="B81" s="3441"/>
      <c r="C81" s="1068" t="s">
        <v>1544</v>
      </c>
      <c r="D81" s="1068" t="s">
        <v>1545</v>
      </c>
      <c r="E81" s="1139">
        <v>0.2</v>
      </c>
      <c r="F81" s="1154">
        <v>30</v>
      </c>
    </row>
    <row r="82" spans="1:6" s="1105" customFormat="1" ht="48">
      <c r="A82" s="1154">
        <v>22</v>
      </c>
      <c r="B82" s="3441"/>
      <c r="C82" s="1068" t="s">
        <v>1546</v>
      </c>
      <c r="D82" s="1068" t="s">
        <v>1547</v>
      </c>
      <c r="E82" s="1139">
        <v>0.2</v>
      </c>
      <c r="F82" s="1154">
        <v>30</v>
      </c>
    </row>
    <row r="83" spans="1:6" s="1105" customFormat="1" ht="48">
      <c r="A83" s="1154">
        <v>23</v>
      </c>
      <c r="B83" s="3441"/>
      <c r="C83" s="1068" t="s">
        <v>1548</v>
      </c>
      <c r="D83" s="1068" t="s">
        <v>1549</v>
      </c>
      <c r="E83" s="1139">
        <v>0.2</v>
      </c>
      <c r="F83" s="1154">
        <v>30</v>
      </c>
    </row>
    <row r="84" spans="1:6" s="1105" customFormat="1" ht="36">
      <c r="A84" s="1154">
        <v>24</v>
      </c>
      <c r="B84" s="3441"/>
      <c r="C84" s="1068" t="s">
        <v>1550</v>
      </c>
      <c r="D84" s="1068" t="s">
        <v>1551</v>
      </c>
      <c r="E84" s="1139">
        <v>0.2</v>
      </c>
      <c r="F84" s="1154">
        <v>30</v>
      </c>
    </row>
    <row r="85" spans="1:6" s="1105" customFormat="1" ht="36">
      <c r="A85" s="1154">
        <v>25</v>
      </c>
      <c r="B85" s="3441"/>
      <c r="C85" s="1068" t="s">
        <v>1552</v>
      </c>
      <c r="D85" s="1068" t="s">
        <v>1553</v>
      </c>
      <c r="E85" s="1139">
        <v>0.5</v>
      </c>
      <c r="F85" s="1154">
        <v>80</v>
      </c>
    </row>
    <row r="86" spans="1:6" s="1105" customFormat="1" ht="36">
      <c r="A86" s="1154">
        <v>26</v>
      </c>
      <c r="B86" s="3441"/>
      <c r="C86" s="1068" t="s">
        <v>1554</v>
      </c>
      <c r="D86" s="1068" t="s">
        <v>1555</v>
      </c>
      <c r="E86" s="1139">
        <v>0.2</v>
      </c>
      <c r="F86" s="1154">
        <v>30</v>
      </c>
    </row>
    <row r="87" spans="1:6" s="1105" customFormat="1" ht="36">
      <c r="A87" s="1154">
        <v>27</v>
      </c>
      <c r="B87" s="3441"/>
      <c r="C87" s="1068" t="s">
        <v>1556</v>
      </c>
      <c r="D87" s="1068" t="s">
        <v>1557</v>
      </c>
      <c r="E87" s="1139">
        <v>0.2</v>
      </c>
      <c r="F87" s="1154">
        <v>30</v>
      </c>
    </row>
    <row r="88" spans="1:6" s="1105" customFormat="1" ht="36">
      <c r="A88" s="1154">
        <v>28</v>
      </c>
      <c r="B88" s="3441"/>
      <c r="C88" s="1068" t="s">
        <v>1558</v>
      </c>
      <c r="D88" s="1068" t="s">
        <v>1559</v>
      </c>
      <c r="E88" s="1139">
        <v>0.2</v>
      </c>
      <c r="F88" s="1154">
        <v>30</v>
      </c>
    </row>
    <row r="89" spans="1:6" s="1105" customFormat="1" ht="24">
      <c r="A89" s="1154">
        <v>29</v>
      </c>
      <c r="B89" s="3441"/>
      <c r="C89" s="1068" t="s">
        <v>1560</v>
      </c>
      <c r="D89" s="1068" t="s">
        <v>1561</v>
      </c>
      <c r="E89" s="1139">
        <v>0.2</v>
      </c>
      <c r="F89" s="1154">
        <v>30</v>
      </c>
    </row>
    <row r="90" spans="1:6" s="1105" customFormat="1" ht="24">
      <c r="A90" s="1154">
        <v>30</v>
      </c>
      <c r="B90" s="3441"/>
      <c r="C90" s="1068" t="s">
        <v>1562</v>
      </c>
      <c r="D90" s="1068" t="s">
        <v>1563</v>
      </c>
      <c r="E90" s="1139">
        <v>0.2</v>
      </c>
      <c r="F90" s="1154">
        <v>30</v>
      </c>
    </row>
    <row r="91" spans="1:6" s="1105" customFormat="1" ht="36">
      <c r="A91" s="1154">
        <v>31</v>
      </c>
      <c r="B91" s="3441"/>
      <c r="C91" s="1068" t="s">
        <v>1564</v>
      </c>
      <c r="D91" s="1068" t="s">
        <v>1565</v>
      </c>
      <c r="E91" s="1139">
        <v>0.2</v>
      </c>
      <c r="F91" s="1154">
        <v>30</v>
      </c>
    </row>
    <row r="92" spans="1:6" s="1105" customFormat="1" ht="24">
      <c r="A92" s="1154">
        <v>32</v>
      </c>
      <c r="B92" s="3441" t="s">
        <v>1566</v>
      </c>
      <c r="C92" s="1154" t="s">
        <v>1567</v>
      </c>
      <c r="D92" s="1068" t="s">
        <v>1568</v>
      </c>
      <c r="E92" s="1139">
        <v>0.2</v>
      </c>
      <c r="F92" s="1154">
        <v>30</v>
      </c>
    </row>
    <row r="93" spans="1:6" s="1105" customFormat="1" ht="36">
      <c r="A93" s="1154">
        <v>33</v>
      </c>
      <c r="B93" s="3441"/>
      <c r="C93" s="1154" t="s">
        <v>1569</v>
      </c>
      <c r="D93" s="1068" t="s">
        <v>1570</v>
      </c>
      <c r="E93" s="1139">
        <v>0.2</v>
      </c>
      <c r="F93" s="1154">
        <v>30</v>
      </c>
    </row>
    <row r="94" spans="1:6" s="1105" customFormat="1" ht="48">
      <c r="A94" s="1154">
        <v>34</v>
      </c>
      <c r="B94" s="3441"/>
      <c r="C94" s="1154" t="s">
        <v>1571</v>
      </c>
      <c r="D94" s="1068" t="s">
        <v>1572</v>
      </c>
      <c r="E94" s="1139">
        <v>0.2</v>
      </c>
      <c r="F94" s="1154">
        <v>30</v>
      </c>
    </row>
    <row r="95" spans="1:6" s="1105" customFormat="1" ht="36">
      <c r="A95" s="1154">
        <v>35</v>
      </c>
      <c r="B95" s="3441"/>
      <c r="C95" s="1154" t="s">
        <v>1573</v>
      </c>
      <c r="D95" s="1068" t="s">
        <v>1574</v>
      </c>
      <c r="E95" s="1139">
        <v>0.2</v>
      </c>
      <c r="F95" s="1154">
        <v>30</v>
      </c>
    </row>
    <row r="96" spans="1:6" s="1105" customFormat="1" ht="48">
      <c r="A96" s="1154">
        <v>36</v>
      </c>
      <c r="B96" s="3441"/>
      <c r="C96" s="1068" t="s">
        <v>1575</v>
      </c>
      <c r="D96" s="1068" t="s">
        <v>1576</v>
      </c>
      <c r="E96" s="1139">
        <v>0.2</v>
      </c>
      <c r="F96" s="1154">
        <v>30</v>
      </c>
    </row>
    <row r="97" spans="1:6" s="1105" customFormat="1" ht="36">
      <c r="A97" s="1154">
        <v>37</v>
      </c>
      <c r="B97" s="3441"/>
      <c r="C97" s="1154" t="s">
        <v>1577</v>
      </c>
      <c r="D97" s="1068" t="s">
        <v>1578</v>
      </c>
      <c r="E97" s="1139">
        <v>0.2</v>
      </c>
      <c r="F97" s="1154">
        <v>30</v>
      </c>
    </row>
    <row r="98" spans="1:6" s="1105" customFormat="1" ht="36">
      <c r="A98" s="1154">
        <v>38</v>
      </c>
      <c r="B98" s="3441"/>
      <c r="C98" s="1154" t="s">
        <v>1579</v>
      </c>
      <c r="D98" s="1068" t="s">
        <v>1580</v>
      </c>
      <c r="E98" s="1139">
        <v>0.2</v>
      </c>
      <c r="F98" s="1154">
        <v>30</v>
      </c>
    </row>
    <row r="99" spans="1:6" s="1105" customFormat="1" ht="36">
      <c r="A99" s="1154">
        <v>39</v>
      </c>
      <c r="B99" s="3441" t="s">
        <v>1581</v>
      </c>
      <c r="C99" s="1154" t="s">
        <v>1582</v>
      </c>
      <c r="D99" s="1068" t="s">
        <v>1583</v>
      </c>
      <c r="E99" s="1139">
        <v>0.3</v>
      </c>
      <c r="F99" s="1154">
        <v>50</v>
      </c>
    </row>
    <row r="100" spans="1:6" s="1105" customFormat="1" ht="24">
      <c r="A100" s="1154">
        <v>40</v>
      </c>
      <c r="B100" s="3441"/>
      <c r="C100" s="1154" t="s">
        <v>1584</v>
      </c>
      <c r="D100" s="1068" t="s">
        <v>1585</v>
      </c>
      <c r="E100" s="1139">
        <v>0.2</v>
      </c>
      <c r="F100" s="1154">
        <v>30</v>
      </c>
    </row>
    <row r="101" spans="1:6" s="1105" customFormat="1" ht="36">
      <c r="A101" s="1154">
        <v>41</v>
      </c>
      <c r="B101" s="3441"/>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1" t="s">
        <v>1596</v>
      </c>
      <c r="C105" s="1154" t="s">
        <v>1597</v>
      </c>
      <c r="D105" s="1068" t="s">
        <v>1598</v>
      </c>
      <c r="E105" s="1139">
        <v>0.2</v>
      </c>
      <c r="F105" s="1154">
        <v>30</v>
      </c>
    </row>
    <row r="106" spans="1:6" s="1105" customFormat="1" ht="36">
      <c r="A106" s="1154">
        <v>46</v>
      </c>
      <c r="B106" s="3441"/>
      <c r="C106" s="1154" t="s">
        <v>1599</v>
      </c>
      <c r="D106" s="1068" t="s">
        <v>1600</v>
      </c>
      <c r="E106" s="1139">
        <v>0.2</v>
      </c>
      <c r="F106" s="1154">
        <v>30</v>
      </c>
    </row>
    <row r="107" spans="1:6" s="1105" customFormat="1" ht="36">
      <c r="A107" s="1154">
        <v>47</v>
      </c>
      <c r="B107" s="3441" t="s">
        <v>1601</v>
      </c>
      <c r="C107" s="1154" t="s">
        <v>1602</v>
      </c>
      <c r="D107" s="1068" t="s">
        <v>1603</v>
      </c>
      <c r="E107" s="1139">
        <v>0.3</v>
      </c>
      <c r="F107" s="1154">
        <v>50</v>
      </c>
    </row>
    <row r="108" spans="1:6" s="1105" customFormat="1" ht="36">
      <c r="A108" s="1154">
        <v>48</v>
      </c>
      <c r="B108" s="3441"/>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1" t="s">
        <v>1612</v>
      </c>
      <c r="C111" s="1154" t="s">
        <v>1613</v>
      </c>
      <c r="D111" s="1068" t="s">
        <v>1614</v>
      </c>
      <c r="E111" s="1139">
        <v>0.2</v>
      </c>
      <c r="F111" s="1154">
        <v>30</v>
      </c>
    </row>
    <row r="112" spans="1:6" s="1105" customFormat="1" ht="24">
      <c r="A112" s="1154">
        <v>52</v>
      </c>
      <c r="B112" s="3441"/>
      <c r="C112" s="1154" t="s">
        <v>1615</v>
      </c>
      <c r="D112" s="1068" t="s">
        <v>1616</v>
      </c>
      <c r="E112" s="1139">
        <v>0.2</v>
      </c>
      <c r="F112" s="1154">
        <v>30</v>
      </c>
    </row>
    <row r="113" spans="1:14" s="1105" customFormat="1" ht="24">
      <c r="A113" s="1154">
        <v>53</v>
      </c>
      <c r="B113" s="3441"/>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1" t="s">
        <v>1625</v>
      </c>
      <c r="C116" s="1154" t="s">
        <v>1626</v>
      </c>
      <c r="D116" s="1068" t="s">
        <v>1627</v>
      </c>
      <c r="E116" s="1139">
        <v>0.2</v>
      </c>
      <c r="F116" s="1154">
        <v>30</v>
      </c>
    </row>
    <row r="117" spans="1:14" ht="36">
      <c r="A117" s="1154">
        <v>57</v>
      </c>
      <c r="B117" s="3441"/>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0" t="s">
        <v>1634</v>
      </c>
      <c r="B121" s="3440"/>
      <c r="C121" s="3440"/>
      <c r="D121" s="3440"/>
      <c r="E121" s="3440"/>
      <c r="F121" s="3440"/>
      <c r="G121" s="3440"/>
      <c r="H121" s="3440"/>
      <c r="I121" s="3440"/>
      <c r="J121" s="3440"/>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3" t="s">
        <v>1040</v>
      </c>
      <c r="B1" s="3453"/>
      <c r="C1" s="3453"/>
      <c r="D1" s="3453"/>
      <c r="E1" s="3453"/>
      <c r="F1" s="345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4" t="s">
        <v>1053</v>
      </c>
      <c r="B2" s="3454"/>
      <c r="C2" s="3454"/>
      <c r="D2" s="3454"/>
      <c r="E2" s="3454"/>
      <c r="F2" s="345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7" t="s">
        <v>2079</v>
      </c>
      <c r="B1" s="3457"/>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2093</v>
      </c>
      <c r="C72" s="1871"/>
      <c r="D72" s="1871"/>
      <c r="E72" s="1871"/>
      <c r="F72" s="1863">
        <v>0.05</v>
      </c>
    </row>
    <row r="73" spans="1:6" ht="14.25" thickBot="1">
      <c r="A73" s="1857" t="s">
        <v>925</v>
      </c>
      <c r="B73" s="1861" t="s">
        <v>2094</v>
      </c>
      <c r="C73" s="1871"/>
      <c r="D73" s="1871"/>
      <c r="E73" s="1871"/>
      <c r="F73" s="1863">
        <v>0.05</v>
      </c>
    </row>
    <row r="74" spans="1:6" ht="14.25" thickBot="1">
      <c r="A74" s="1857" t="s">
        <v>925</v>
      </c>
      <c r="B74" s="1861" t="s">
        <v>2095</v>
      </c>
      <c r="C74" s="1871"/>
      <c r="D74" s="1871"/>
      <c r="E74" s="1871"/>
      <c r="F74" s="1863">
        <v>0.05</v>
      </c>
    </row>
    <row r="75" spans="1:6" ht="14.2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14.2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7" sqref="I4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受贵公司委托，我公司对贵州省贵阳市高新区沙文生态科技产业园（土储编号01-02-13）出让国有建设用地使用权市场价格进行了预评估。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7" spans="1:4" ht="56.25">
      <c r="A7" s="1797" t="s">
        <v>2746</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2018年4月20日（评估专业人员勘察现场之日）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根据《国有建设用地使用权出让合同》，本次评估估价对象证载（地类）用途为商业、商务。</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本次估价对象为出让国有建设用地使用权，《国有建设用地使用权出让合同》证载土地终止日期为商业2055年9月23日、办公2055年9月23日。截至估价期日，出让国有建设用地使用权剩余土地使用年限为。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459" t="s">
        <v>2462</v>
      </c>
      <c r="C8" s="1827">
        <f ca="1">ROUND(F8*F10*F9*(1-F11)/10000,0)</f>
        <v>0</v>
      </c>
      <c r="D8" s="1824" t="s">
        <v>2533</v>
      </c>
      <c r="E8" s="61" t="s">
        <v>637</v>
      </c>
      <c r="F8" s="785">
        <f ca="1">INDIRECT("'数据-取费表'!u"&amp;$G$1)</f>
        <v>0</v>
      </c>
      <c r="G8" s="1593"/>
      <c r="H8" s="2530" t="s">
        <v>1825</v>
      </c>
      <c r="I8" s="3459" t="s">
        <v>2462</v>
      </c>
      <c r="J8" s="783">
        <f ca="1">ROUND(M8*M10*M9*(1-M11)/10000,0)</f>
        <v>0</v>
      </c>
      <c r="K8" s="341" t="s">
        <v>2533</v>
      </c>
      <c r="L8" s="784" t="s">
        <v>1739</v>
      </c>
      <c r="M8" s="785">
        <f ca="1">INDIRECT("'数据-取费表'!z"&amp;$G$1)</f>
        <v>0</v>
      </c>
    </row>
    <row r="9" spans="1:25" ht="18" customHeight="1">
      <c r="A9" s="2526"/>
      <c r="B9" s="3460"/>
      <c r="C9" s="1828"/>
      <c r="D9" s="1825"/>
      <c r="E9" s="61" t="s">
        <v>638</v>
      </c>
      <c r="F9" s="785">
        <f ca="1">IF(INDIRECT("'数据-取费表'!ah"&amp;$G$1)="",INDIRECT("'数据-取费表'!k"&amp;$G$1),INDIRECT("'数据-取费表'!ah"&amp;$G$1))</f>
        <v>0</v>
      </c>
      <c r="G9" s="1593"/>
      <c r="H9" s="2515"/>
      <c r="I9" s="3460"/>
      <c r="J9" s="788"/>
      <c r="K9" s="789"/>
      <c r="L9" s="784" t="s">
        <v>1740</v>
      </c>
      <c r="M9" s="785">
        <f ca="1">F9</f>
        <v>0</v>
      </c>
    </row>
    <row r="10" spans="1:25" ht="18" customHeight="1">
      <c r="A10" s="2519"/>
      <c r="B10" s="3461"/>
      <c r="C10" s="1828"/>
      <c r="D10" s="1825"/>
      <c r="E10" s="61" t="s">
        <v>639</v>
      </c>
      <c r="F10" s="785">
        <f ca="1">INDIRECT("'数据-取费表'!ai"&amp;$G$1)</f>
        <v>0</v>
      </c>
      <c r="G10" s="1593"/>
      <c r="H10" s="2515"/>
      <c r="I10" s="3461"/>
      <c r="J10" s="788"/>
      <c r="K10" s="789"/>
      <c r="L10" s="784" t="s">
        <v>1741</v>
      </c>
      <c r="M10" s="785">
        <f ca="1">INDIRECT("'数据-取费表'!ai"&amp;$G$1)</f>
        <v>0</v>
      </c>
    </row>
    <row r="11" spans="1:25" ht="18" customHeight="1">
      <c r="A11" s="786"/>
      <c r="B11" s="3462"/>
      <c r="C11" s="1828"/>
      <c r="D11" s="1825"/>
      <c r="E11" s="61" t="s">
        <v>640</v>
      </c>
      <c r="F11" s="794">
        <f ca="1">INDIRECT("'数据-取费表'!w"&amp;$G$1)</f>
        <v>0</v>
      </c>
      <c r="G11" s="1593"/>
      <c r="H11" s="2531"/>
      <c r="I11" s="3461"/>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0.01</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58"/>
      <c r="J36" s="2081"/>
      <c r="K36" s="2082"/>
      <c r="L36" s="2081"/>
      <c r="M36" s="2081"/>
    </row>
    <row r="37" spans="1:18" ht="18" customHeight="1">
      <c r="A37" s="815"/>
      <c r="B37" s="793"/>
      <c r="C37" s="69"/>
      <c r="D37" s="816"/>
      <c r="E37" s="784" t="s">
        <v>674</v>
      </c>
      <c r="F37" s="785">
        <f ca="1">INDIRECT("'数据-取费表'!r"&amp;$G$1)</f>
        <v>0</v>
      </c>
      <c r="G37" s="2064"/>
      <c r="H37" s="2067"/>
      <c r="I37" s="345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463"/>
      <c r="L54" s="3464"/>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7" t="s">
        <v>2575</v>
      </c>
      <c r="C1" s="3467"/>
      <c r="D1" s="3467"/>
      <c r="E1" s="3467"/>
      <c r="F1" s="3467"/>
      <c r="G1" s="3466" t="s">
        <v>2576</v>
      </c>
      <c r="H1" s="3466"/>
      <c r="I1" s="3466"/>
      <c r="J1" s="3466"/>
      <c r="K1" s="3466"/>
      <c r="L1" s="3466"/>
      <c r="N1" s="3466" t="s">
        <v>2577</v>
      </c>
      <c r="O1" s="3466"/>
      <c r="P1" s="3466"/>
      <c r="Q1" s="3466"/>
      <c r="R1" s="2680"/>
      <c r="S1" s="3466" t="s">
        <v>2578</v>
      </c>
      <c r="T1" s="3466"/>
      <c r="U1" s="3466"/>
      <c r="V1" s="3466"/>
      <c r="X1" s="3465" t="s">
        <v>2638</v>
      </c>
      <c r="Y1" s="3466"/>
      <c r="Z1" s="3466"/>
      <c r="AA1" s="3466"/>
      <c r="AB1" s="3466"/>
      <c r="AD1" s="3465" t="s">
        <v>2642</v>
      </c>
      <c r="AE1" s="3466"/>
      <c r="AF1" s="3466"/>
      <c r="AG1" s="3466"/>
      <c r="AH1" s="3466"/>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74">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469"/>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469"/>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470"/>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468">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469"/>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469"/>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470"/>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468">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469"/>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469"/>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470"/>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471">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472"/>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472"/>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473"/>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468">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469"/>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469"/>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470"/>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468">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469">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469">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470">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468">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469">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469">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470">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468">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469">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469">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470">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468">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469">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469">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470">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468">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469">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469">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470">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468">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469">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469">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470">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468">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469">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469">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470">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468">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469">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469">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470">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468">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469">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469">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470">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468">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469">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469">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470">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2979</v>
      </c>
      <c r="D1" s="3158" t="s">
        <v>2982</v>
      </c>
      <c r="E1" s="2413" t="s">
        <v>870</v>
      </c>
      <c r="F1" s="2414">
        <f ca="1">J53</f>
        <v>35.450000000000003</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467</v>
      </c>
      <c r="B2" s="775">
        <f ca="1">C40+J29+L46</f>
        <v>61646</v>
      </c>
      <c r="C2" s="2059"/>
      <c r="D2" s="2057"/>
      <c r="E2" s="2058"/>
      <c r="F2" s="2058"/>
      <c r="G2" s="1591"/>
      <c r="H2" s="2059"/>
      <c r="I2" s="2059"/>
      <c r="J2" s="2059"/>
      <c r="K2" s="2060"/>
      <c r="L2" s="2059"/>
      <c r="M2" s="2059"/>
    </row>
    <row r="3" spans="1:33" ht="18" customHeight="1" thickBot="1">
      <c r="A3" s="833" t="s">
        <v>519</v>
      </c>
      <c r="B3" s="834">
        <f ca="1">IF(ISERROR(B2*10000/F43),0,ROUND(B2*10000/F43,0))</f>
        <v>9765</v>
      </c>
      <c r="C3" s="2059"/>
      <c r="D3" s="2057"/>
      <c r="E3" s="2058"/>
      <c r="F3" s="2058"/>
      <c r="G3" s="1591"/>
      <c r="H3" s="776" t="s">
        <v>695</v>
      </c>
      <c r="I3" s="1363"/>
      <c r="J3" s="1363"/>
      <c r="K3" s="1592"/>
      <c r="L3" s="1363"/>
      <c r="M3" s="1363"/>
    </row>
    <row r="4" spans="1:33" ht="18" customHeight="1">
      <c r="A4" s="777" t="s">
        <v>630</v>
      </c>
      <c r="B4" s="778" t="s">
        <v>699</v>
      </c>
      <c r="C4" s="778" t="s">
        <v>632</v>
      </c>
      <c r="D4" s="778" t="s">
        <v>633</v>
      </c>
      <c r="E4" s="779" t="s">
        <v>634</v>
      </c>
      <c r="F4" s="780"/>
      <c r="G4" s="1593"/>
      <c r="H4" s="777" t="s">
        <v>630</v>
      </c>
      <c r="I4" s="778" t="s">
        <v>699</v>
      </c>
      <c r="J4" s="778" t="s">
        <v>632</v>
      </c>
      <c r="K4" s="778" t="s">
        <v>633</v>
      </c>
      <c r="L4" s="779" t="s">
        <v>634</v>
      </c>
      <c r="M4" s="780"/>
    </row>
    <row r="5" spans="1:33" ht="18" customHeight="1">
      <c r="A5" s="781">
        <v>1</v>
      </c>
      <c r="B5" s="782" t="s">
        <v>2457</v>
      </c>
      <c r="C5" s="55">
        <f ca="1">C6+C10+C12</f>
        <v>4153</v>
      </c>
      <c r="D5" s="2522" t="s">
        <v>2460</v>
      </c>
      <c r="E5" s="2516"/>
      <c r="F5" s="2517"/>
      <c r="G5" s="1593"/>
      <c r="H5" s="781">
        <v>1</v>
      </c>
      <c r="I5" s="782" t="s">
        <v>2457</v>
      </c>
      <c r="J5" s="55">
        <f ca="1">J6+J10+J12</f>
        <v>0</v>
      </c>
      <c r="K5" s="2522" t="s">
        <v>2460</v>
      </c>
      <c r="L5" s="2516"/>
      <c r="M5" s="2517"/>
    </row>
    <row r="6" spans="1:33" ht="18" customHeight="1">
      <c r="A6" s="1832" t="s">
        <v>1825</v>
      </c>
      <c r="B6" s="3459" t="s">
        <v>2462</v>
      </c>
      <c r="C6" s="783">
        <f ca="1">ROUND(F6*F8*F7*(1-F9)/10000,0)</f>
        <v>4148</v>
      </c>
      <c r="D6" s="2523" t="s">
        <v>2461</v>
      </c>
      <c r="E6" s="784" t="s">
        <v>637</v>
      </c>
      <c r="F6" s="785">
        <f ca="1">INDIRECT("'数据-取费表'!u"&amp;$G$1)</f>
        <v>2</v>
      </c>
      <c r="G6" s="1593"/>
      <c r="H6" s="2530" t="s">
        <v>1825</v>
      </c>
      <c r="I6" s="3459" t="s">
        <v>2462</v>
      </c>
      <c r="J6" s="783">
        <f ca="1">ROUND(M6*M8*M7*(1-M9)/10000,0)</f>
        <v>0</v>
      </c>
      <c r="K6" s="341" t="s">
        <v>1738</v>
      </c>
      <c r="L6" s="784" t="s">
        <v>637</v>
      </c>
      <c r="M6" s="785">
        <f ca="1">INDIRECT("'数据-取费表'!z"&amp;$G$1)</f>
        <v>0</v>
      </c>
    </row>
    <row r="7" spans="1:33" ht="18" customHeight="1">
      <c r="A7" s="2526"/>
      <c r="B7" s="3460"/>
      <c r="C7" s="788"/>
      <c r="D7" s="789"/>
      <c r="E7" s="784" t="s">
        <v>638</v>
      </c>
      <c r="F7" s="785">
        <f ca="1">IF(INDIRECT("'数据-取费表'!ah"&amp;$G$1)="",INDIRECT("'数据-取费表'!k"&amp;$G$1),INDIRECT("'数据-取费表'!ah"&amp;$G$1))</f>
        <v>63131.45</v>
      </c>
      <c r="G7" s="1593"/>
      <c r="H7" s="2515"/>
      <c r="I7" s="3460"/>
      <c r="J7" s="788"/>
      <c r="K7" s="789"/>
      <c r="L7" s="784" t="s">
        <v>638</v>
      </c>
      <c r="M7" s="785">
        <f ca="1">F7</f>
        <v>63131.45</v>
      </c>
    </row>
    <row r="8" spans="1:33" ht="18" customHeight="1">
      <c r="A8" s="2519"/>
      <c r="B8" s="3461"/>
      <c r="C8" s="788"/>
      <c r="D8" s="789"/>
      <c r="E8" s="784" t="s">
        <v>1741</v>
      </c>
      <c r="F8" s="785">
        <f ca="1">INDIRECT("'数据-取费表'!ai"&amp;$G$1)</f>
        <v>365</v>
      </c>
      <c r="G8" s="1593"/>
      <c r="H8" s="2515"/>
      <c r="I8" s="3461"/>
      <c r="J8" s="788"/>
      <c r="K8" s="789"/>
      <c r="L8" s="784" t="s">
        <v>1741</v>
      </c>
      <c r="M8" s="785">
        <f ca="1">INDIRECT("'数据-取费表'!ai"&amp;$G$1)</f>
        <v>365</v>
      </c>
    </row>
    <row r="9" spans="1:33" ht="18" customHeight="1">
      <c r="A9" s="786"/>
      <c r="B9" s="3462"/>
      <c r="C9" s="788"/>
      <c r="D9" s="789"/>
      <c r="E9" s="784" t="s">
        <v>640</v>
      </c>
      <c r="F9" s="794">
        <f ca="1">INDIRECT("'数据-取费表'!w"&amp;$G$1)</f>
        <v>0.1</v>
      </c>
      <c r="G9" s="1593"/>
      <c r="H9" s="2531"/>
      <c r="I9" s="3461"/>
      <c r="J9" s="788"/>
      <c r="K9" s="789"/>
      <c r="L9" s="795" t="s">
        <v>640</v>
      </c>
      <c r="M9" s="796">
        <f ca="1">INDIRECT("'数据-取费表'!ab"&amp;$G$1)</f>
        <v>0</v>
      </c>
    </row>
    <row r="10" spans="1:33" ht="18" customHeight="1">
      <c r="A10" s="1832" t="s">
        <v>1826</v>
      </c>
      <c r="B10" s="2520" t="s">
        <v>2458</v>
      </c>
      <c r="C10" s="799">
        <f ca="1">ROUND(IF(F10="押一",C6/12*F11,IF(F10="押二",C6/12*2*F11,IF(F10="押三",C6/12*3*F11,C11*F11))),0)</f>
        <v>5</v>
      </c>
      <c r="D10" s="2527" t="s">
        <v>2974</v>
      </c>
      <c r="E10" s="2524" t="s">
        <v>2463</v>
      </c>
      <c r="F10" s="2647" t="s">
        <v>2983</v>
      </c>
      <c r="G10" s="1593"/>
      <c r="H10" s="2587" t="s">
        <v>1826</v>
      </c>
      <c r="I10" s="2592" t="s">
        <v>2458</v>
      </c>
      <c r="J10" s="783">
        <f ca="1">ROUND(IF(M10="押一",J6/12*M11,IF(M10="押二",J6/12*2*M11,IF(M10="押三",J6/12*3*M11,J11*M11))),0)</f>
        <v>0</v>
      </c>
      <c r="K10" s="2527" t="s">
        <v>2974</v>
      </c>
      <c r="L10" s="2524" t="s">
        <v>2463</v>
      </c>
      <c r="M10" s="2647"/>
    </row>
    <row r="11" spans="1:33" ht="18" customHeight="1">
      <c r="A11" s="790"/>
      <c r="B11" s="2521" t="s">
        <v>2572</v>
      </c>
      <c r="C11" s="2525"/>
      <c r="D11" s="789"/>
      <c r="E11" s="2524" t="s">
        <v>2455</v>
      </c>
      <c r="F11" s="796">
        <f ca="1">'数据-取费表'!B39</f>
        <v>1.4999999999999999E-2</v>
      </c>
      <c r="G11" s="1593"/>
      <c r="H11" s="2588"/>
      <c r="I11" s="2521" t="s">
        <v>2572</v>
      </c>
      <c r="J11" s="2525"/>
      <c r="K11" s="2589"/>
      <c r="L11" s="2524" t="s">
        <v>2455</v>
      </c>
      <c r="M11" s="2518">
        <f ca="1">'数据-取费表'!B39</f>
        <v>1.4999999999999999E-2</v>
      </c>
    </row>
    <row r="12" spans="1:33" ht="18" customHeight="1" thickBot="1">
      <c r="A12" s="2563" t="s">
        <v>2466</v>
      </c>
      <c r="B12" s="2564" t="s">
        <v>2459</v>
      </c>
      <c r="C12" s="2565"/>
      <c r="D12" s="2566"/>
      <c r="E12" s="2567"/>
      <c r="F12" s="2568"/>
      <c r="G12" s="1593"/>
      <c r="H12" s="2577" t="s">
        <v>2466</v>
      </c>
      <c r="I12" s="2590" t="s">
        <v>2459</v>
      </c>
      <c r="J12" s="2591"/>
      <c r="K12" s="2566"/>
      <c r="L12" s="2567"/>
      <c r="M12" s="2580"/>
    </row>
    <row r="13" spans="1:33" ht="18" customHeight="1" thickTop="1">
      <c r="A13" s="1831">
        <v>2</v>
      </c>
      <c r="B13" s="1829" t="s">
        <v>644</v>
      </c>
      <c r="C13" s="792">
        <f ca="1">ROUND(C29*F13,0)</f>
        <v>28782</v>
      </c>
      <c r="D13" s="1836" t="s">
        <v>2297</v>
      </c>
      <c r="E13" s="1836" t="s">
        <v>643</v>
      </c>
      <c r="F13" s="2562">
        <f ca="1">INDIRECT("'数据-取费表'!y"&amp;$G$1)</f>
        <v>1</v>
      </c>
      <c r="G13" s="1593"/>
      <c r="H13" s="1831">
        <v>2</v>
      </c>
      <c r="I13" s="1829" t="s">
        <v>644</v>
      </c>
      <c r="J13" s="1821">
        <f ca="1">ROUND(J14*J15,0)</f>
        <v>0</v>
      </c>
      <c r="K13" s="1823" t="s">
        <v>642</v>
      </c>
      <c r="L13" s="2578"/>
      <c r="M13" s="2579"/>
    </row>
    <row r="14" spans="1:33" ht="18" customHeight="1">
      <c r="A14" s="1649" t="s">
        <v>1832</v>
      </c>
      <c r="B14" s="784" t="s">
        <v>645</v>
      </c>
      <c r="C14" s="804">
        <f ca="1">INDIRECT("'数据-取费表'!m"&amp;$G$1)+INDIRECT("'数据-取费表'!t"&amp;$G$1)</f>
        <v>18939</v>
      </c>
      <c r="D14" s="3212" t="s">
        <v>646</v>
      </c>
      <c r="E14" s="3213"/>
      <c r="F14" s="805"/>
      <c r="G14" s="1593"/>
      <c r="H14" s="1650" t="s">
        <v>1825</v>
      </c>
      <c r="I14" s="2233" t="s">
        <v>2824</v>
      </c>
      <c r="J14" s="53">
        <f ca="1">C29</f>
        <v>28782</v>
      </c>
      <c r="K14" s="26"/>
      <c r="L14" s="801"/>
      <c r="M14" s="802"/>
    </row>
    <row r="15" spans="1:33" s="2066" customFormat="1" ht="18" customHeight="1" thickBot="1">
      <c r="A15" s="1649" t="s">
        <v>1833</v>
      </c>
      <c r="B15" s="784" t="s">
        <v>647</v>
      </c>
      <c r="C15" s="53">
        <f ca="1">ROUND(C14*F15,0)</f>
        <v>568</v>
      </c>
      <c r="D15" s="806" t="s">
        <v>648</v>
      </c>
      <c r="E15" s="806" t="s">
        <v>649</v>
      </c>
      <c r="F15" s="807">
        <f>'数据-取费表'!B33</f>
        <v>0.03</v>
      </c>
      <c r="G15" s="1594"/>
      <c r="H15" s="2577" t="s">
        <v>1890</v>
      </c>
      <c r="I15" s="2572" t="s">
        <v>643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1" t="s">
        <v>1749</v>
      </c>
      <c r="I16" s="1829" t="s">
        <v>651</v>
      </c>
      <c r="J16" s="792">
        <f ca="1">ROUND(J17+J22+J23+J24,0)</f>
        <v>2870</v>
      </c>
      <c r="K16" s="1823" t="s">
        <v>652</v>
      </c>
      <c r="L16" s="3214"/>
      <c r="M16" s="2517"/>
    </row>
    <row r="17" spans="1:33" s="2066" customFormat="1" ht="18" customHeight="1">
      <c r="A17" s="1649" t="s">
        <v>1888</v>
      </c>
      <c r="B17" s="784" t="s">
        <v>653</v>
      </c>
      <c r="C17" s="53">
        <f ca="1">ROUND(F17*(F43+INDIRECT("'数据-取费表'!S"&amp;$G$1))/10000,0)</f>
        <v>1263</v>
      </c>
      <c r="D17" s="784" t="s">
        <v>654</v>
      </c>
      <c r="E17" s="784" t="s">
        <v>1753</v>
      </c>
      <c r="F17" s="56">
        <f>'数据-取费表'!B35</f>
        <v>200</v>
      </c>
      <c r="G17" s="1594"/>
      <c r="H17" s="1650" t="s">
        <v>1825</v>
      </c>
      <c r="I17" s="784" t="s">
        <v>656</v>
      </c>
      <c r="J17" s="53">
        <f ca="1">ROUND(IF(项目基本情况!B11="自然人",J5*M17,J18+J19+J20),0)</f>
        <v>2438</v>
      </c>
      <c r="K17" s="3212" t="s">
        <v>1754</v>
      </c>
      <c r="L17" s="3211" t="s">
        <v>658</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284</v>
      </c>
      <c r="D18" s="784" t="s">
        <v>648</v>
      </c>
      <c r="E18" s="784" t="s">
        <v>649</v>
      </c>
      <c r="F18" s="809">
        <f>'数据-取费表'!B36</f>
        <v>1.4999999999999999E-2</v>
      </c>
      <c r="G18" s="1594"/>
      <c r="H18" s="1649" t="s">
        <v>1832</v>
      </c>
      <c r="I18" s="784" t="s">
        <v>660</v>
      </c>
      <c r="J18" s="53">
        <f ca="1">ROUND(J5*M18/1.05,1)</f>
        <v>0</v>
      </c>
      <c r="K18" s="3211" t="s">
        <v>661</v>
      </c>
      <c r="L18" s="784" t="s">
        <v>649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21054</v>
      </c>
      <c r="D19" s="261" t="s">
        <v>663</v>
      </c>
      <c r="E19" s="3216"/>
      <c r="F19" s="56"/>
      <c r="G19" s="1593"/>
      <c r="H19" s="1649" t="s">
        <v>1833</v>
      </c>
      <c r="I19" s="784" t="s">
        <v>1759</v>
      </c>
      <c r="J19" s="53">
        <f ca="1">IF(K19="按租金收入计税",ROUND(J5*M19,1),ROUND(C29*F33*0.7,1))</f>
        <v>2417.6999999999998</v>
      </c>
      <c r="K19" s="811" t="s">
        <v>665</v>
      </c>
      <c r="L19" s="784" t="s">
        <v>649</v>
      </c>
      <c r="M19" s="809">
        <f>IF(K19="按租金收入计税",'数据-取费表'!B51,'数据-取费表'!B50)</f>
        <v>1.2E-2</v>
      </c>
    </row>
    <row r="20" spans="1:33" s="2066" customFormat="1" ht="18" customHeight="1">
      <c r="A20" s="1650" t="s">
        <v>1890</v>
      </c>
      <c r="B20" s="784" t="s">
        <v>666</v>
      </c>
      <c r="C20" s="53">
        <f ca="1">ROUND(C19*F20,0)</f>
        <v>211</v>
      </c>
      <c r="D20" s="812" t="s">
        <v>667</v>
      </c>
      <c r="E20" s="784" t="s">
        <v>649</v>
      </c>
      <c r="F20" s="809">
        <f>'数据-取费表'!B37</f>
        <v>0.01</v>
      </c>
      <c r="G20" s="1594"/>
      <c r="H20" s="1652" t="s">
        <v>1834</v>
      </c>
      <c r="I20" s="341" t="s">
        <v>1761</v>
      </c>
      <c r="J20" s="54">
        <f ca="1">ROUND(M20*M21/10000,0)</f>
        <v>20</v>
      </c>
      <c r="K20" s="814" t="s">
        <v>669</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671</v>
      </c>
      <c r="C21" s="53" t="s">
        <v>1765</v>
      </c>
      <c r="D21" s="812" t="s">
        <v>2298</v>
      </c>
      <c r="E21" s="784" t="s">
        <v>673</v>
      </c>
      <c r="F21" s="809">
        <f>'数据-取费表'!B38</f>
        <v>0.02</v>
      </c>
      <c r="G21" s="1594"/>
      <c r="H21" s="2532"/>
      <c r="I21" s="793"/>
      <c r="J21" s="69"/>
      <c r="K21" s="816"/>
      <c r="L21" s="784" t="s">
        <v>674</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675</v>
      </c>
      <c r="C22" s="53"/>
      <c r="D22" s="2598" t="str">
        <f>IF(F23&lt;=1,"单利计息。","复利计息。")&amp;"建造成本、管理费用、销售费用产生的利息。"</f>
        <v>复利计息。建造成本、管理费用、销售费用产生的利息。</v>
      </c>
      <c r="E22" s="3216"/>
      <c r="F22" s="56"/>
      <c r="G22" s="1593"/>
      <c r="H22" s="1650" t="s">
        <v>1890</v>
      </c>
      <c r="I22" s="784" t="s">
        <v>676</v>
      </c>
      <c r="J22" s="53">
        <f ca="1">ROUND(J14*M22,0)</f>
        <v>432</v>
      </c>
      <c r="K22" s="3211" t="s">
        <v>677</v>
      </c>
      <c r="L22" s="784" t="s">
        <v>649</v>
      </c>
      <c r="M22" s="817">
        <f ca="1">INDIRECT("'数据-取费表'!Ak"&amp;$G$1)</f>
        <v>1.4999999999999999E-2</v>
      </c>
    </row>
    <row r="23" spans="1:33" s="2066" customFormat="1" ht="18" customHeight="1">
      <c r="A23" s="1649" t="s">
        <v>1832</v>
      </c>
      <c r="B23" s="784" t="s">
        <v>2436</v>
      </c>
      <c r="C23" s="53">
        <f ca="1">ROUND(IF('数据-取费表'!B22&lt;=1,(C19+C20)*F24*F23/2,(C19+C20)*(POWER((1+F24),F23/2)-1)),0)</f>
        <v>1010</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3211" t="s">
        <v>680</v>
      </c>
      <c r="L23" s="784" t="s">
        <v>649</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681</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683</v>
      </c>
      <c r="L24" s="2572" t="s">
        <v>649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16"/>
      <c r="F25" s="56"/>
      <c r="G25" s="1593"/>
      <c r="H25" s="1831" t="s">
        <v>1777</v>
      </c>
      <c r="I25" s="3036" t="s">
        <v>2821</v>
      </c>
      <c r="J25" s="792">
        <f ca="1">J5-J16</f>
        <v>-2870</v>
      </c>
      <c r="K25" s="2574" t="s">
        <v>700</v>
      </c>
      <c r="L25" s="2575"/>
      <c r="M25" s="2576"/>
    </row>
    <row r="26" spans="1:33" ht="18" customHeight="1">
      <c r="A26" s="1649" t="s">
        <v>1832</v>
      </c>
      <c r="B26" s="784" t="s">
        <v>2437</v>
      </c>
      <c r="C26" s="53">
        <f ca="1">ROUND((C19+C20)*F26,0)</f>
        <v>4253</v>
      </c>
      <c r="D26" s="812" t="s">
        <v>701</v>
      </c>
      <c r="E26" s="795" t="s">
        <v>702</v>
      </c>
      <c r="F26" s="794">
        <f ca="1">INDIRECT("'数据-取费表'!q"&amp;$G$1)</f>
        <v>0.2</v>
      </c>
      <c r="G26" s="1593"/>
      <c r="H26" s="2528" t="s">
        <v>1781</v>
      </c>
      <c r="I26" s="2234" t="s">
        <v>2826</v>
      </c>
      <c r="J26" s="783">
        <f ca="1">IF(J5&lt;&gt;0,ROUND(J25*(1-((1+M28)/(1+M26))^M27)/(M26-M28),0),0)</f>
        <v>0</v>
      </c>
      <c r="K26" s="814" t="s">
        <v>704</v>
      </c>
      <c r="L26" s="784" t="s">
        <v>2418</v>
      </c>
      <c r="M26" s="794">
        <f ca="1">INDIRECT("'数据-取费表'!I"&amp;$G$1)</f>
        <v>0.06</v>
      </c>
    </row>
    <row r="27" spans="1:33" ht="18" customHeight="1">
      <c r="A27" s="1649" t="s">
        <v>1833</v>
      </c>
      <c r="B27" s="784" t="s">
        <v>686</v>
      </c>
      <c r="C27" s="53">
        <f ca="1">ROUND(F21*F26,4)</f>
        <v>4.0000000000000001E-3</v>
      </c>
      <c r="D27" s="812" t="s">
        <v>706</v>
      </c>
      <c r="E27" s="806"/>
      <c r="F27" s="807"/>
      <c r="G27" s="1593"/>
      <c r="H27" s="2529"/>
      <c r="I27" s="787"/>
      <c r="J27" s="788"/>
      <c r="K27" s="821" t="s">
        <v>707</v>
      </c>
      <c r="L27" s="784" t="s">
        <v>708</v>
      </c>
      <c r="M27" s="822">
        <f ca="1">INDIRECT("'数据-取费表'!ag"&amp;$G$1)</f>
        <v>0</v>
      </c>
    </row>
    <row r="28" spans="1:33" s="2066" customFormat="1" ht="18" customHeight="1">
      <c r="A28" s="1651" t="s">
        <v>1842</v>
      </c>
      <c r="B28" s="784" t="s">
        <v>687</v>
      </c>
      <c r="C28" s="53">
        <f>ROUND(F28/(1+'数据-取费表'!C42),4)</f>
        <v>5.33E-2</v>
      </c>
      <c r="D28" s="812" t="s">
        <v>2299</v>
      </c>
      <c r="E28" s="784" t="s">
        <v>649</v>
      </c>
      <c r="F28" s="809">
        <f>'数据-取费表'!B41</f>
        <v>5.6000000000000001E-2</v>
      </c>
      <c r="G28" s="1594"/>
      <c r="H28" s="1831"/>
      <c r="I28" s="791"/>
      <c r="J28" s="792"/>
      <c r="K28" s="816"/>
      <c r="L28" s="784" t="s">
        <v>710</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28782</v>
      </c>
      <c r="D29" s="2571"/>
      <c r="E29" s="2572"/>
      <c r="F29" s="2573"/>
      <c r="G29" s="1594"/>
      <c r="H29" s="823" t="s">
        <v>1788</v>
      </c>
      <c r="I29" s="824" t="s">
        <v>1789</v>
      </c>
      <c r="J29" s="825">
        <f ca="1">ROUND(J26/(1+F40)^F41,0)</f>
        <v>0</v>
      </c>
      <c r="K29" s="826" t="s">
        <v>688</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651</v>
      </c>
      <c r="C30" s="792">
        <f ca="1">ROUND(C31+C36+C37+C38,0)</f>
        <v>1257</v>
      </c>
      <c r="D30" s="1823" t="s">
        <v>652</v>
      </c>
      <c r="E30" s="3214"/>
      <c r="F30" s="2517"/>
      <c r="G30" s="2064"/>
      <c r="H30" s="2067"/>
      <c r="I30" s="2068"/>
      <c r="J30" s="2069"/>
      <c r="K30" s="2070"/>
      <c r="L30" s="2071"/>
      <c r="M30" s="2072"/>
    </row>
    <row r="31" spans="1:33" ht="18" customHeight="1">
      <c r="A31" s="1650" t="s">
        <v>1825</v>
      </c>
      <c r="B31" s="784" t="s">
        <v>656</v>
      </c>
      <c r="C31" s="53">
        <f ca="1">ROUND(IF(项目基本情况!B11="自然人",C5*F31,C32+C33+C34),1)</f>
        <v>740.3</v>
      </c>
      <c r="D31" s="3212" t="s">
        <v>1754</v>
      </c>
      <c r="E31" s="3211" t="s">
        <v>690</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660</v>
      </c>
      <c r="C32" s="53">
        <f ca="1">ROUND(C5*F32/1.05,1)</f>
        <v>221.5</v>
      </c>
      <c r="D32" s="3211" t="s">
        <v>661</v>
      </c>
      <c r="E32" s="784" t="s">
        <v>649</v>
      </c>
      <c r="F32" s="809">
        <f>'数据-取费表'!B41</f>
        <v>5.6000000000000001E-2</v>
      </c>
      <c r="G32" s="2064"/>
      <c r="H32" s="2073"/>
      <c r="I32" s="2074"/>
      <c r="J32" s="2075"/>
      <c r="K32" s="2076"/>
      <c r="L32" s="2077"/>
      <c r="M32" s="2078"/>
    </row>
    <row r="33" spans="1:18" ht="18" customHeight="1">
      <c r="A33" s="1649" t="s">
        <v>1833</v>
      </c>
      <c r="B33" s="784" t="s">
        <v>1759</v>
      </c>
      <c r="C33" s="53">
        <f ca="1">IF(D33="按租金收入计税",ROUND(C5*F33,1),IF(D33="按房产原值计税",ROUND(C29*F33*0.7,1),INDIRECT("'数据-取费表'!Aj"&amp;$G$1)))</f>
        <v>498.4</v>
      </c>
      <c r="D33" s="811" t="s">
        <v>2985</v>
      </c>
      <c r="E33" s="784" t="s">
        <v>649</v>
      </c>
      <c r="F33" s="809">
        <f>IF(D33="按租金收入计税",'数据-取费表'!B51,'数据-取费表'!B50)</f>
        <v>0.12</v>
      </c>
      <c r="G33" s="2064"/>
      <c r="H33" s="2079"/>
      <c r="I33" s="2079"/>
      <c r="J33" s="2079"/>
      <c r="K33" s="2080"/>
      <c r="L33" s="2079"/>
      <c r="M33" s="2079"/>
    </row>
    <row r="34" spans="1:18" ht="18" customHeight="1">
      <c r="A34" s="1652" t="s">
        <v>1834</v>
      </c>
      <c r="B34" s="341" t="s">
        <v>1761</v>
      </c>
      <c r="C34" s="54">
        <f ca="1">ROUND(F34*F35/10000,1)</f>
        <v>20.399999999999999</v>
      </c>
      <c r="D34" s="814" t="s">
        <v>669</v>
      </c>
      <c r="E34" s="784" t="s">
        <v>1763</v>
      </c>
      <c r="F34" s="640">
        <f>'数据-取费表'!B52</f>
        <v>10</v>
      </c>
      <c r="G34" s="2064"/>
      <c r="H34" s="2067"/>
      <c r="I34" s="835" t="s">
        <v>1814</v>
      </c>
      <c r="J34" s="836"/>
      <c r="K34" s="2082"/>
      <c r="L34" s="2081"/>
      <c r="M34" s="2081"/>
    </row>
    <row r="35" spans="1:18" ht="18" customHeight="1">
      <c r="A35" s="815"/>
      <c r="B35" s="793"/>
      <c r="C35" s="69"/>
      <c r="D35" s="816"/>
      <c r="E35" s="784" t="s">
        <v>674</v>
      </c>
      <c r="F35" s="785">
        <f ca="1">INDIRECT("'数据-取费表'!r"&amp;$G$1)</f>
        <v>20364.990000000002</v>
      </c>
      <c r="G35" s="2064"/>
      <c r="H35" s="2067"/>
      <c r="I35" s="837" t="s">
        <v>1815</v>
      </c>
      <c r="J35" s="838">
        <f ca="1">ROUND(C13*J36,0)</f>
        <v>2446</v>
      </c>
      <c r="K35" s="2080"/>
      <c r="L35" s="2079"/>
      <c r="M35" s="2079"/>
    </row>
    <row r="36" spans="1:18" ht="18" customHeight="1">
      <c r="A36" s="1650" t="s">
        <v>1890</v>
      </c>
      <c r="B36" s="784" t="s">
        <v>676</v>
      </c>
      <c r="C36" s="53">
        <f ca="1">ROUND(C29*F36,1)</f>
        <v>431.7</v>
      </c>
      <c r="D36" s="3211" t="s">
        <v>691</v>
      </c>
      <c r="E36" s="784" t="s">
        <v>649</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43.2</v>
      </c>
      <c r="D37" s="3211" t="s">
        <v>680</v>
      </c>
      <c r="E37" s="784" t="s">
        <v>649</v>
      </c>
      <c r="F37" s="818">
        <f ca="1">INDIRECT("'数据-取费表'!Al"&amp;$G$1)</f>
        <v>1.5E-3</v>
      </c>
      <c r="G37" s="2064"/>
      <c r="H37" s="2079"/>
      <c r="I37" s="841" t="s">
        <v>1817</v>
      </c>
      <c r="J37" s="842"/>
      <c r="K37" s="2084"/>
      <c r="L37" s="2079"/>
      <c r="M37" s="2079"/>
    </row>
    <row r="38" spans="1:18" ht="18" customHeight="1" thickBot="1">
      <c r="A38" s="2577" t="s">
        <v>1892</v>
      </c>
      <c r="B38" s="2572" t="s">
        <v>666</v>
      </c>
      <c r="C38" s="2570">
        <f ca="1">ROUND(C5*F38,1)</f>
        <v>41.5</v>
      </c>
      <c r="D38" s="2571" t="s">
        <v>683</v>
      </c>
      <c r="E38" s="2572" t="s">
        <v>649</v>
      </c>
      <c r="F38" s="2568">
        <f ca="1">INDIRECT("'数据-取费表'!Am"&amp;$G$1)</f>
        <v>0.01</v>
      </c>
      <c r="G38" s="2064"/>
      <c r="H38" s="2079"/>
      <c r="I38" s="843" t="s">
        <v>1818</v>
      </c>
      <c r="J38" s="844"/>
      <c r="K38" s="2085"/>
      <c r="L38" s="2079"/>
      <c r="M38" s="2079"/>
    </row>
    <row r="39" spans="1:18" ht="24.6" customHeight="1" thickTop="1">
      <c r="A39" s="1831" t="s">
        <v>1777</v>
      </c>
      <c r="B39" s="3036" t="s">
        <v>2821</v>
      </c>
      <c r="C39" s="792">
        <f ca="1">C5-C30</f>
        <v>2896</v>
      </c>
      <c r="D39" s="2574" t="s">
        <v>700</v>
      </c>
      <c r="E39" s="2575"/>
      <c r="F39" s="2576"/>
      <c r="G39" s="2064"/>
      <c r="H39" s="2079"/>
      <c r="I39" s="837" t="s">
        <v>1819</v>
      </c>
      <c r="J39" s="845">
        <f ca="1">ROUND(J35/C39,3)</f>
        <v>0.84499999999999997</v>
      </c>
      <c r="K39" s="2085"/>
      <c r="L39" s="2079"/>
      <c r="M39" s="2079"/>
    </row>
    <row r="40" spans="1:18" ht="18" customHeight="1">
      <c r="A40" s="781" t="s">
        <v>1781</v>
      </c>
      <c r="B40" s="2234" t="s">
        <v>2301</v>
      </c>
      <c r="C40" s="783">
        <f ca="1">ROUND(C39*(1-((1+F42)/(1+F40))^F41)/(F40-F42),0)</f>
        <v>61646</v>
      </c>
      <c r="D40" s="814" t="s">
        <v>704</v>
      </c>
      <c r="E40" s="784" t="s">
        <v>2418</v>
      </c>
      <c r="F40" s="794">
        <f ca="1">INDIRECT("'数据-取费表'!I"&amp;$G$1)</f>
        <v>0.06</v>
      </c>
      <c r="G40" s="2064"/>
      <c r="H40" s="2064"/>
      <c r="I40" s="837" t="s">
        <v>1820</v>
      </c>
      <c r="J40" s="845">
        <f ca="1">1-J39</f>
        <v>0.15500000000000003</v>
      </c>
      <c r="K40" s="2085"/>
      <c r="L40" s="2064"/>
      <c r="M40" s="2064"/>
    </row>
    <row r="41" spans="1:18" ht="18" customHeight="1">
      <c r="A41" s="786"/>
      <c r="B41" s="787"/>
      <c r="C41" s="788"/>
      <c r="D41" s="821" t="s">
        <v>1809</v>
      </c>
      <c r="E41" s="784" t="s">
        <v>708</v>
      </c>
      <c r="F41" s="822">
        <f ca="1">IF(INDIRECT("'数据-取费表'!af"&amp;$G$1)=0,INDIRECT("'数据-取费表'!ae"&amp;$G$1),INDIRECT("'数据-取费表'!af"&amp;$G$1))</f>
        <v>35.450000000000003</v>
      </c>
      <c r="G41" s="2064"/>
      <c r="H41" s="1990"/>
      <c r="I41" s="843" t="s">
        <v>1821</v>
      </c>
      <c r="J41" s="846"/>
      <c r="K41" s="2084"/>
      <c r="L41" s="1990"/>
      <c r="M41" s="1990"/>
    </row>
    <row r="42" spans="1:18" ht="18" customHeight="1">
      <c r="A42" s="790"/>
      <c r="B42" s="791"/>
      <c r="C42" s="792"/>
      <c r="D42" s="816"/>
      <c r="E42" s="784" t="s">
        <v>710</v>
      </c>
      <c r="F42" s="794">
        <f ca="1">INDIRECT("'数据-取费表'!v"&amp;$G$1)</f>
        <v>0.03</v>
      </c>
      <c r="G42" s="2064"/>
      <c r="H42" s="1990"/>
      <c r="I42" s="847" t="s">
        <v>1822</v>
      </c>
      <c r="J42" s="845">
        <f ca="1">ROUND(C13/C40,3)</f>
        <v>0.46700000000000003</v>
      </c>
      <c r="K42" s="2084"/>
      <c r="L42" s="1990"/>
      <c r="M42" s="1990"/>
    </row>
    <row r="43" spans="1:18" ht="18" customHeight="1" thickBot="1">
      <c r="A43" s="823" t="s">
        <v>1788</v>
      </c>
      <c r="B43" s="824" t="s">
        <v>1811</v>
      </c>
      <c r="C43" s="825">
        <f ca="1">ROUND(C40*10000/F43,0)</f>
        <v>9765</v>
      </c>
      <c r="D43" s="826" t="s">
        <v>1812</v>
      </c>
      <c r="E43" s="827" t="s">
        <v>1813</v>
      </c>
      <c r="F43" s="828">
        <f ca="1">INDIRECT("'数据-取费表'!k"&amp;$G$1)</f>
        <v>63131.45</v>
      </c>
      <c r="G43" s="2064"/>
      <c r="H43" s="1990"/>
      <c r="I43" s="847" t="s">
        <v>1823</v>
      </c>
      <c r="J43" s="848">
        <f ca="1">1-J42</f>
        <v>0.53299999999999992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-68850</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2984</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1871</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37.450000000000003</v>
      </c>
      <c r="O48" s="2424" t="s">
        <v>2378</v>
      </c>
      <c r="P48" s="2425" t="s">
        <v>2404</v>
      </c>
      <c r="Q48" s="2426">
        <f ca="1">C40+J29</f>
        <v>61646</v>
      </c>
      <c r="R48" s="2425" t="s">
        <v>2379</v>
      </c>
    </row>
    <row r="49" spans="1:18" s="2061" customFormat="1" ht="18" customHeight="1" thickBot="1">
      <c r="A49" s="786"/>
      <c r="B49" s="787"/>
      <c r="C49" s="788"/>
      <c r="D49" s="789"/>
      <c r="E49" s="784" t="s">
        <v>638</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28782</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7544</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2974</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35.450000000000003</v>
      </c>
      <c r="K53" s="3475" t="s">
        <v>2966</v>
      </c>
      <c r="L53" s="3476"/>
      <c r="O53" s="2427" t="s">
        <v>2387</v>
      </c>
      <c r="P53" s="2425" t="s">
        <v>2388</v>
      </c>
      <c r="Q53" s="2426">
        <f ca="1">J53</f>
        <v>35.450000000000003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61646</v>
      </c>
      <c r="R54" s="2429" t="s">
        <v>2391</v>
      </c>
    </row>
    <row r="55" spans="1:18" s="2061" customFormat="1" ht="18" customHeight="1" thickTop="1" thickBot="1">
      <c r="A55" s="797">
        <v>2</v>
      </c>
      <c r="B55" s="798" t="s">
        <v>644</v>
      </c>
      <c r="C55" s="799">
        <f ca="1">C13</f>
        <v>28782</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2300</v>
      </c>
      <c r="C56" s="53">
        <f ca="1">C29</f>
        <v>28782</v>
      </c>
      <c r="D56" s="3211"/>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495</v>
      </c>
      <c r="D57" s="26" t="s">
        <v>652</v>
      </c>
      <c r="E57" s="3216"/>
      <c r="F57" s="56"/>
      <c r="I57" s="2406" t="s">
        <v>2357</v>
      </c>
      <c r="J57" s="2408" t="str">
        <f ca="1">IF(OR(M47="住宅",J51&lt;L48,J56="是"),"——",J51-L48)</f>
        <v>——</v>
      </c>
      <c r="K57" s="2385" t="s">
        <v>2362</v>
      </c>
      <c r="L57" s="2394" t="str">
        <f ca="1">IF(L48&lt;J51,"——",IF(L55="比较法",L49,IF(L55="基准地价",L50,L51)))</f>
        <v>——</v>
      </c>
      <c r="O57" s="2424" t="s">
        <v>2378</v>
      </c>
      <c r="P57" s="2425" t="s">
        <v>2404</v>
      </c>
      <c r="Q57" s="2426">
        <f ca="1">C40+J29</f>
        <v>61646</v>
      </c>
      <c r="R57" s="2425" t="s">
        <v>2379</v>
      </c>
    </row>
    <row r="58" spans="1:18" s="2061" customFormat="1" ht="28.5" customHeight="1" thickBot="1">
      <c r="A58" s="1650" t="s">
        <v>1825</v>
      </c>
      <c r="B58" s="784" t="s">
        <v>656</v>
      </c>
      <c r="C58" s="53">
        <f ca="1">ROUND(IF(项目基本情况!B11="自然人",C47*F58,C59+C60+C61),1)</f>
        <v>20.399999999999999</v>
      </c>
      <c r="D58" s="3212" t="s">
        <v>657</v>
      </c>
      <c r="E58" s="3211"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3211" t="s">
        <v>661</v>
      </c>
      <c r="E59" s="784" t="s">
        <v>649</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3211" t="str">
        <f>D33</f>
        <v>按租金收入计税</v>
      </c>
      <c r="E60" s="784" t="s">
        <v>649</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431.7</v>
      </c>
      <c r="D63" s="3211" t="s">
        <v>691</v>
      </c>
      <c r="E63" s="784" t="s">
        <v>649</v>
      </c>
      <c r="F63" s="817">
        <f t="shared" ca="1" si="0"/>
        <v>1.4999999999999999E-2</v>
      </c>
      <c r="I63" s="2411" t="s">
        <v>2369</v>
      </c>
      <c r="J63" s="2412">
        <v>70</v>
      </c>
      <c r="K63" s="2412">
        <v>50</v>
      </c>
      <c r="L63" s="2412">
        <v>80</v>
      </c>
      <c r="M63" s="3132">
        <v>0.02</v>
      </c>
      <c r="O63" s="2424" t="s">
        <v>2390</v>
      </c>
      <c r="P63" s="2425" t="s">
        <v>2407</v>
      </c>
      <c r="Q63" s="2426">
        <f ca="1">Q57+Q58</f>
        <v>61646</v>
      </c>
      <c r="R63" s="2429" t="s">
        <v>2391</v>
      </c>
    </row>
    <row r="64" spans="1:18" s="2061" customFormat="1" ht="16.5" thickBot="1">
      <c r="A64" s="1650" t="s">
        <v>1891</v>
      </c>
      <c r="B64" s="784" t="s">
        <v>679</v>
      </c>
      <c r="C64" s="53">
        <f ca="1">ROUND(C55*F64,1)</f>
        <v>43.2</v>
      </c>
      <c r="D64" s="3211" t="s">
        <v>680</v>
      </c>
      <c r="E64" s="784" t="s">
        <v>649</v>
      </c>
      <c r="F64" s="818">
        <f t="shared" ca="1" si="0"/>
        <v>1.5E-3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3211" t="s">
        <v>683</v>
      </c>
      <c r="E65" s="784" t="s">
        <v>649</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-495</v>
      </c>
      <c r="D66" s="3212" t="s">
        <v>700</v>
      </c>
      <c r="E66" s="3215"/>
      <c r="F66" s="820"/>
      <c r="K66" s="2088"/>
      <c r="O66" s="2424" t="s">
        <v>2378</v>
      </c>
      <c r="P66" s="2425" t="s">
        <v>2404</v>
      </c>
      <c r="Q66" s="2426">
        <f ca="1">C40+J29</f>
        <v>61646</v>
      </c>
      <c r="R66" s="2425" t="s">
        <v>2379</v>
      </c>
    </row>
    <row r="67" spans="1:18" s="2061" customFormat="1" ht="20.25" thickBot="1">
      <c r="A67" s="781" t="s">
        <v>1781</v>
      </c>
      <c r="B67" s="2234" t="s">
        <v>2301</v>
      </c>
      <c r="C67" s="783">
        <f ca="1">ROUND(C66*(1-((1+F69)/(1+F67))^F68)/(F67-F69),0)</f>
        <v>-7204</v>
      </c>
      <c r="D67" s="814" t="s">
        <v>704</v>
      </c>
      <c r="E67" s="784" t="s">
        <v>705</v>
      </c>
      <c r="F67" s="794">
        <f ca="1">F40</f>
        <v>0.06</v>
      </c>
      <c r="K67" s="2088"/>
      <c r="O67" s="2424" t="s">
        <v>2380</v>
      </c>
      <c r="P67" s="2425" t="s">
        <v>2411</v>
      </c>
      <c r="Q67" s="2426">
        <f ca="1">L60</f>
        <v>0</v>
      </c>
      <c r="R67" s="2429" t="s">
        <v>2413</v>
      </c>
    </row>
    <row r="68" spans="1:18" ht="21.75" thickBot="1">
      <c r="A68" s="786"/>
      <c r="B68" s="787"/>
      <c r="C68" s="788"/>
      <c r="D68" s="821" t="s">
        <v>1809</v>
      </c>
      <c r="E68" s="784" t="s">
        <v>708</v>
      </c>
      <c r="F68" s="822">
        <f ca="1">F41</f>
        <v>35.450000000000003</v>
      </c>
      <c r="O68" s="2427" t="s">
        <v>2382</v>
      </c>
      <c r="P68" s="2425" t="s">
        <v>2412</v>
      </c>
      <c r="Q68" s="2431">
        <f ca="1">L51</f>
        <v>7544</v>
      </c>
      <c r="R68" s="2432" t="s">
        <v>2415</v>
      </c>
    </row>
    <row r="69" spans="1:18" ht="20.25" thickBot="1">
      <c r="A69" s="790"/>
      <c r="B69" s="791"/>
      <c r="C69" s="792"/>
      <c r="D69" s="816"/>
      <c r="E69" s="784" t="s">
        <v>710</v>
      </c>
      <c r="F69" s="2373"/>
      <c r="O69" s="2427" t="s">
        <v>2383</v>
      </c>
      <c r="P69" s="2433" t="s">
        <v>2397</v>
      </c>
      <c r="Q69" s="2426">
        <f ca="1">ROUND(Q70-Q71*Q72,0)</f>
        <v>450</v>
      </c>
      <c r="R69" s="2429"/>
    </row>
    <row r="70" spans="1:18" ht="15.75" thickBot="1">
      <c r="A70" s="823" t="s">
        <v>1788</v>
      </c>
      <c r="B70" s="824" t="s">
        <v>1811</v>
      </c>
      <c r="C70" s="825">
        <f ca="1">ROUND(C67*10000/F70,0)</f>
        <v>-1141</v>
      </c>
      <c r="D70" s="826" t="s">
        <v>1812</v>
      </c>
      <c r="E70" s="827" t="s">
        <v>1813</v>
      </c>
      <c r="F70" s="828">
        <f ca="1">F43</f>
        <v>63131.45</v>
      </c>
      <c r="O70" s="2427" t="s">
        <v>2398</v>
      </c>
      <c r="P70" s="2433" t="s">
        <v>2399</v>
      </c>
      <c r="Q70" s="2426">
        <f ca="1">C39</f>
        <v>2896</v>
      </c>
      <c r="R70" s="2425" t="s">
        <v>2379</v>
      </c>
    </row>
    <row r="71" spans="1:18" ht="15.75" thickBot="1">
      <c r="O71" s="2427" t="s">
        <v>2400</v>
      </c>
      <c r="P71" s="2433" t="s">
        <v>2401</v>
      </c>
      <c r="Q71" s="2426">
        <f ca="1">C13</f>
        <v>28782</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61646</v>
      </c>
      <c r="R76" s="2429"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37" sqref="J37"/>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1678</v>
      </c>
      <c r="D1" s="3158" t="s">
        <v>2982</v>
      </c>
      <c r="E1" s="2413" t="s">
        <v>2373</v>
      </c>
      <c r="F1" s="2414">
        <f ca="1">J53</f>
        <v>35.450000000000003</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51905</v>
      </c>
      <c r="C2" s="2059"/>
      <c r="D2" s="2057"/>
      <c r="E2" s="2058"/>
      <c r="F2" s="2058"/>
      <c r="G2" s="1591"/>
      <c r="H2" s="2059"/>
      <c r="I2" s="2059"/>
      <c r="J2" s="2059"/>
      <c r="K2" s="2060"/>
      <c r="L2" s="2059"/>
      <c r="M2" s="2059"/>
    </row>
    <row r="3" spans="1:33" ht="18" customHeight="1" thickBot="1">
      <c r="A3" s="833" t="s">
        <v>1728</v>
      </c>
      <c r="B3" s="834">
        <f ca="1">IF(ISERROR(B2*10000/F43),0,ROUND(B2*10000/F43,0))</f>
        <v>8222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3322</v>
      </c>
      <c r="D5" s="2522" t="s">
        <v>2460</v>
      </c>
      <c r="E5" s="2516"/>
      <c r="F5" s="2517"/>
      <c r="G5" s="1593"/>
      <c r="H5" s="781">
        <v>1</v>
      </c>
      <c r="I5" s="782" t="s">
        <v>2457</v>
      </c>
      <c r="J5" s="55">
        <f ca="1">J6+J10+J12</f>
        <v>0</v>
      </c>
      <c r="K5" s="2522" t="s">
        <v>2460</v>
      </c>
      <c r="L5" s="2516"/>
      <c r="M5" s="2517"/>
    </row>
    <row r="6" spans="1:33" ht="18" customHeight="1">
      <c r="A6" s="1832" t="s">
        <v>1825</v>
      </c>
      <c r="B6" s="3459" t="s">
        <v>2462</v>
      </c>
      <c r="C6" s="783">
        <f ca="1">ROUND(F6*F8*F7*(1-F9)/10000,0)</f>
        <v>3318</v>
      </c>
      <c r="D6" s="2523" t="s">
        <v>2461</v>
      </c>
      <c r="E6" s="784" t="s">
        <v>1739</v>
      </c>
      <c r="F6" s="785">
        <f ca="1">INDIRECT("'数据-取费表'!u"&amp;$G$1)</f>
        <v>1.6</v>
      </c>
      <c r="G6" s="1593"/>
      <c r="H6" s="2530" t="s">
        <v>2467</v>
      </c>
      <c r="I6" s="3459" t="s">
        <v>2462</v>
      </c>
      <c r="J6" s="783">
        <f ca="1">ROUND(M6*M8*M7*(1-M9)/10000,0)</f>
        <v>0</v>
      </c>
      <c r="K6" s="341" t="s">
        <v>1738</v>
      </c>
      <c r="L6" s="784" t="s">
        <v>1739</v>
      </c>
      <c r="M6" s="785">
        <f ca="1">INDIRECT("'数据-取费表'!z"&amp;$G$1)</f>
        <v>0</v>
      </c>
    </row>
    <row r="7" spans="1:33" ht="18" customHeight="1">
      <c r="A7" s="2526"/>
      <c r="B7" s="3460"/>
      <c r="C7" s="788"/>
      <c r="D7" s="789"/>
      <c r="E7" s="784" t="s">
        <v>1740</v>
      </c>
      <c r="F7" s="785">
        <f ca="1">IF(INDIRECT("'数据-取费表'!ah"&amp;$G$1)="",INDIRECT("'数据-取费表'!k"&amp;$G$1),INDIRECT("'数据-取费表'!ah"&amp;$G$1))</f>
        <v>63131.45</v>
      </c>
      <c r="G7" s="1593"/>
      <c r="H7" s="2515"/>
      <c r="I7" s="3460"/>
      <c r="J7" s="788"/>
      <c r="K7" s="789"/>
      <c r="L7" s="784" t="s">
        <v>1740</v>
      </c>
      <c r="M7" s="785">
        <f ca="1">F7</f>
        <v>63131.45</v>
      </c>
    </row>
    <row r="8" spans="1:33" ht="18" customHeight="1">
      <c r="A8" s="2519"/>
      <c r="B8" s="3461"/>
      <c r="C8" s="788"/>
      <c r="D8" s="789"/>
      <c r="E8" s="784" t="s">
        <v>1741</v>
      </c>
      <c r="F8" s="785">
        <f ca="1">INDIRECT("'数据-取费表'!ai"&amp;$G$1)</f>
        <v>365</v>
      </c>
      <c r="G8" s="1593"/>
      <c r="H8" s="2515"/>
      <c r="I8" s="3461"/>
      <c r="J8" s="788"/>
      <c r="K8" s="789"/>
      <c r="L8" s="784" t="s">
        <v>1741</v>
      </c>
      <c r="M8" s="785">
        <f ca="1">INDIRECT("'数据-取费表'!ai"&amp;$G$1)</f>
        <v>365</v>
      </c>
    </row>
    <row r="9" spans="1:33" ht="18" customHeight="1">
      <c r="A9" s="786"/>
      <c r="B9" s="3462"/>
      <c r="C9" s="788"/>
      <c r="D9" s="789"/>
      <c r="E9" s="784" t="s">
        <v>1742</v>
      </c>
      <c r="F9" s="794">
        <f ca="1">INDIRECT("'数据-取费表'!w"&amp;$G$1)</f>
        <v>0.1</v>
      </c>
      <c r="G9" s="1593"/>
      <c r="H9" s="2531"/>
      <c r="I9" s="3461"/>
      <c r="J9" s="788"/>
      <c r="K9" s="789"/>
      <c r="L9" s="795" t="s">
        <v>1742</v>
      </c>
      <c r="M9" s="796">
        <f ca="1">INDIRECT("'数据-取费表'!ab"&amp;$G$1)</f>
        <v>0</v>
      </c>
    </row>
    <row r="10" spans="1:33" ht="18" customHeight="1">
      <c r="A10" s="1832" t="s">
        <v>2465</v>
      </c>
      <c r="B10" s="2520" t="s">
        <v>2458</v>
      </c>
      <c r="C10" s="799">
        <f ca="1">ROUND(IF(F10="押一",C6/12*F11,IF(F10="押二",C6/12*2*F11,IF(F10="押三",C6/12*3*F11,C11*F11))),0)</f>
        <v>4</v>
      </c>
      <c r="D10" s="2527" t="s">
        <v>2974</v>
      </c>
      <c r="E10" s="2524" t="s">
        <v>2463</v>
      </c>
      <c r="F10" s="2647" t="s">
        <v>2983</v>
      </c>
      <c r="G10" s="1593"/>
      <c r="H10" s="2587" t="s">
        <v>2468</v>
      </c>
      <c r="I10" s="2592" t="s">
        <v>2458</v>
      </c>
      <c r="J10" s="783">
        <f ca="1">ROUND(IF(M10="押一",J6/12*M11,IF(M10="押二",J6/12*2*M11,IF(M10="押三",J6/12*3*M11,J11*M11))),0)</f>
        <v>0</v>
      </c>
      <c r="K10" s="2527" t="s">
        <v>2974</v>
      </c>
      <c r="L10" s="2524" t="s">
        <v>2463</v>
      </c>
      <c r="M10" s="2647"/>
    </row>
    <row r="11" spans="1:33" ht="18"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thickTop="1">
      <c r="A13" s="1831">
        <v>2</v>
      </c>
      <c r="B13" s="1829" t="s">
        <v>1743</v>
      </c>
      <c r="C13" s="792">
        <f ca="1">ROUND(C29*F13,0)</f>
        <v>25869</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17677</v>
      </c>
      <c r="D14" s="1981" t="s">
        <v>1746</v>
      </c>
      <c r="E14" s="1982"/>
      <c r="F14" s="805"/>
      <c r="G14" s="1593"/>
      <c r="H14" s="1650" t="s">
        <v>1831</v>
      </c>
      <c r="I14" s="2233" t="s">
        <v>2825</v>
      </c>
      <c r="J14" s="53">
        <f ca="1">C29</f>
        <v>25869</v>
      </c>
      <c r="K14" s="26"/>
      <c r="L14" s="801"/>
      <c r="M14" s="802"/>
    </row>
    <row r="15" spans="1:33" s="2066" customFormat="1" ht="18" customHeight="1" thickBot="1">
      <c r="A15" s="1649" t="s">
        <v>1886</v>
      </c>
      <c r="B15" s="784" t="s">
        <v>647</v>
      </c>
      <c r="C15" s="53">
        <f ca="1">ROUND(C14*F15,0)</f>
        <v>530</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2581</v>
      </c>
      <c r="K16" s="1823" t="s">
        <v>1751</v>
      </c>
      <c r="L16" s="2512"/>
      <c r="M16" s="2517"/>
    </row>
    <row r="17" spans="1:33" s="2066" customFormat="1" ht="18" customHeight="1">
      <c r="A17" s="1649" t="s">
        <v>1888</v>
      </c>
      <c r="B17" s="784" t="s">
        <v>653</v>
      </c>
      <c r="C17" s="53">
        <f ca="1">ROUND(F17*(F43+INDIRECT("'数据-取费表'!S"&amp;$G$1))/10000,0)</f>
        <v>1263</v>
      </c>
      <c r="D17" s="784" t="s">
        <v>1752</v>
      </c>
      <c r="E17" s="784" t="s">
        <v>1753</v>
      </c>
      <c r="F17" s="56">
        <f>'数据-取费表'!B35</f>
        <v>200</v>
      </c>
      <c r="G17" s="1594"/>
      <c r="H17" s="1650" t="s">
        <v>1831</v>
      </c>
      <c r="I17" s="784" t="s">
        <v>656</v>
      </c>
      <c r="J17" s="53">
        <f ca="1">ROUND(IF(项目基本情况!B11="自然人",J5*M17,J18+J19+J20),0)</f>
        <v>2193</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265</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19735</v>
      </c>
      <c r="D19" s="261" t="s">
        <v>1758</v>
      </c>
      <c r="E19" s="1984"/>
      <c r="F19" s="56"/>
      <c r="G19" s="1593"/>
      <c r="H19" s="1649" t="s">
        <v>1886</v>
      </c>
      <c r="I19" s="784" t="s">
        <v>1759</v>
      </c>
      <c r="J19" s="53">
        <f ca="1">IF(K19="按租金收入计税",ROUND(J5*M19,1),ROUND(C29*F33*0.7,1))</f>
        <v>2173</v>
      </c>
      <c r="K19" s="811" t="s">
        <v>665</v>
      </c>
      <c r="L19" s="784" t="s">
        <v>1748</v>
      </c>
      <c r="M19" s="809">
        <f>IF(K19="按租金收入计税",'数据-取费表'!B51,'数据-取费表'!B50)</f>
        <v>1.2E-2</v>
      </c>
    </row>
    <row r="20" spans="1:33" s="2066" customFormat="1" ht="18" customHeight="1">
      <c r="A20" s="1650" t="s">
        <v>1890</v>
      </c>
      <c r="B20" s="784" t="s">
        <v>666</v>
      </c>
      <c r="C20" s="53">
        <f ca="1">ROUND(C19*F20,0)</f>
        <v>197</v>
      </c>
      <c r="D20" s="812" t="s">
        <v>1760</v>
      </c>
      <c r="E20" s="784" t="s">
        <v>1748</v>
      </c>
      <c r="F20" s="809">
        <f>'数据-取费表'!B37</f>
        <v>0.01</v>
      </c>
      <c r="G20" s="1594"/>
      <c r="H20" s="1652" t="s">
        <v>1881</v>
      </c>
      <c r="I20" s="341" t="s">
        <v>1761</v>
      </c>
      <c r="J20" s="54">
        <f ca="1">ROUND(M20*M21/10000,0)</f>
        <v>20</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388</v>
      </c>
      <c r="K22" s="2510" t="s">
        <v>1770</v>
      </c>
      <c r="L22" s="784" t="s">
        <v>1748</v>
      </c>
      <c r="M22" s="817">
        <f ca="1">INDIRECT("'数据-取费表'!Ak"&amp;$G$1)</f>
        <v>1.4999999999999999E-2</v>
      </c>
    </row>
    <row r="23" spans="1:33" s="2066" customFormat="1" ht="18" customHeight="1">
      <c r="A23" s="1649" t="s">
        <v>1832</v>
      </c>
      <c r="B23" s="784" t="s">
        <v>2534</v>
      </c>
      <c r="C23" s="53">
        <f ca="1">ROUND(IF('数据-取费表'!B22&lt;=1,(C19+C20)*F24*F23/2,(C19+C20)*(POWER((1+F24),F23/2)-1)),0)</f>
        <v>947</v>
      </c>
      <c r="D23" s="2597" t="str">
        <f>IF(F23&lt;=1,"(建造成本+管理费用)×利率×(建设周期÷2)","(建造成本+管理费用)×((1+利率)^(建设周期÷2)-1)")</f>
        <v>(建造成本+管理费用)×((1+利率)^(建设周期÷2)-1)</v>
      </c>
      <c r="E23" s="784" t="s">
        <v>1771</v>
      </c>
      <c r="F23" s="640">
        <f>'数据-取费表'!B20</f>
        <v>2</v>
      </c>
      <c r="G23" s="1594"/>
      <c r="H23" s="1650" t="s">
        <v>1891</v>
      </c>
      <c r="I23" s="784" t="s">
        <v>679</v>
      </c>
      <c r="J23" s="53">
        <f ca="1">ROUND(J13*M23,0)</f>
        <v>0</v>
      </c>
      <c r="K23" s="2510" t="s">
        <v>1772</v>
      </c>
      <c r="L23" s="784" t="s">
        <v>1748</v>
      </c>
      <c r="M23" s="818">
        <f ca="1">INDIRECT("'数据-取费表'!Al"&amp;$G$1)</f>
        <v>1.5E-3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-2581</v>
      </c>
      <c r="K25" s="2574" t="s">
        <v>1778</v>
      </c>
      <c r="L25" s="2575"/>
      <c r="M25" s="2576"/>
    </row>
    <row r="26" spans="1:33" ht="18" customHeight="1">
      <c r="A26" s="1649" t="s">
        <v>1832</v>
      </c>
      <c r="B26" s="784" t="s">
        <v>2437</v>
      </c>
      <c r="C26" s="53">
        <f ca="1">ROUND((C19+C20)*F26,0)</f>
        <v>2990</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25869</v>
      </c>
      <c r="D29" s="2571"/>
      <c r="E29" s="2572"/>
      <c r="F29" s="2573"/>
      <c r="G29" s="1594"/>
      <c r="H29" s="823" t="s">
        <v>1788</v>
      </c>
      <c r="I29" s="824" t="s">
        <v>1789</v>
      </c>
      <c r="J29" s="825">
        <f ca="1">ROUND(J26/(1+F40)^F41,0)</f>
        <v>0</v>
      </c>
      <c r="K29" s="826" t="s">
        <v>1790</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1056</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596.20000000000005</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177.2</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398.6</v>
      </c>
      <c r="D33" s="811" t="s">
        <v>2985</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20.399999999999999</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20364.990000000002</v>
      </c>
      <c r="G35" s="2064"/>
      <c r="H35" s="2067"/>
      <c r="I35" s="837" t="s">
        <v>1815</v>
      </c>
      <c r="J35" s="838">
        <f ca="1">ROUND(C13*J36,0)</f>
        <v>2199</v>
      </c>
      <c r="K35" s="2080"/>
      <c r="L35" s="2079"/>
      <c r="M35" s="2079"/>
    </row>
    <row r="36" spans="1:18" ht="18" customHeight="1">
      <c r="A36" s="1650" t="s">
        <v>1890</v>
      </c>
      <c r="B36" s="784" t="s">
        <v>1803</v>
      </c>
      <c r="C36" s="53">
        <f ca="1">ROUND(C29*F36,1)</f>
        <v>388</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38.799999999999997</v>
      </c>
      <c r="D37" s="1979" t="s">
        <v>1805</v>
      </c>
      <c r="E37" s="784" t="s">
        <v>1797</v>
      </c>
      <c r="F37" s="818">
        <f ca="1">INDIRECT("'数据-取费表'!Al"&amp;$G$1)</f>
        <v>1.5E-3</v>
      </c>
      <c r="G37" s="2064"/>
      <c r="H37" s="2079"/>
      <c r="I37" s="841" t="s">
        <v>1817</v>
      </c>
      <c r="J37" s="842"/>
      <c r="K37" s="2084"/>
      <c r="L37" s="2079"/>
      <c r="M37" s="2079"/>
    </row>
    <row r="38" spans="1:18" ht="18" customHeight="1" thickBot="1">
      <c r="A38" s="2577" t="s">
        <v>1892</v>
      </c>
      <c r="B38" s="2572" t="s">
        <v>666</v>
      </c>
      <c r="C38" s="2570">
        <f ca="1">ROUND(C5*F38,1)</f>
        <v>33.200000000000003</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2266</v>
      </c>
      <c r="D39" s="2574" t="s">
        <v>1807</v>
      </c>
      <c r="E39" s="2575"/>
      <c r="F39" s="2576"/>
      <c r="G39" s="2064"/>
      <c r="H39" s="2079"/>
      <c r="I39" s="837" t="s">
        <v>1819</v>
      </c>
      <c r="J39" s="845">
        <f ca="1">ROUND(J35/C39,3)</f>
        <v>0.97</v>
      </c>
      <c r="K39" s="2085"/>
      <c r="L39" s="2079"/>
      <c r="M39" s="2079"/>
    </row>
    <row r="40" spans="1:18" ht="18" customHeight="1">
      <c r="A40" s="781" t="s">
        <v>1896</v>
      </c>
      <c r="B40" s="2234" t="s">
        <v>2301</v>
      </c>
      <c r="C40" s="783">
        <f ca="1">ROUND(C39*(1-((1+F42)/(1+F40))^F41)/(F40-F42),0)</f>
        <v>51905</v>
      </c>
      <c r="D40" s="814" t="s">
        <v>1808</v>
      </c>
      <c r="E40" s="784" t="s">
        <v>2418</v>
      </c>
      <c r="F40" s="794">
        <f ca="1">INDIRECT("'数据-取费表'!I"&amp;$G$1)</f>
        <v>5.5E-2</v>
      </c>
      <c r="G40" s="2064"/>
      <c r="H40" s="2064"/>
      <c r="I40" s="837" t="s">
        <v>1820</v>
      </c>
      <c r="J40" s="845">
        <f ca="1">1-J39</f>
        <v>3.0000000000000027E-2</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35.450000000000003</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0.498</v>
      </c>
      <c r="K42" s="2084"/>
      <c r="L42" s="1990"/>
      <c r="M42" s="1990"/>
    </row>
    <row r="43" spans="1:18" ht="18" customHeight="1" thickBot="1">
      <c r="A43" s="823" t="s">
        <v>1788</v>
      </c>
      <c r="B43" s="824" t="s">
        <v>1811</v>
      </c>
      <c r="C43" s="825">
        <f ca="1">ROUND(C40*10000/F43,0)</f>
        <v>8222</v>
      </c>
      <c r="D43" s="826" t="s">
        <v>1812</v>
      </c>
      <c r="E43" s="827" t="s">
        <v>1813</v>
      </c>
      <c r="F43" s="828">
        <f ca="1">INDIRECT("'数据-取费表'!k"&amp;$G$1)</f>
        <v>63131.45</v>
      </c>
      <c r="G43" s="2064"/>
      <c r="H43" s="1990"/>
      <c r="I43" s="847" t="s">
        <v>1823</v>
      </c>
      <c r="J43" s="848">
        <f ca="1">1-J42</f>
        <v>0.502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-58814</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2984</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37.450000000000003</v>
      </c>
      <c r="O48" s="2424" t="s">
        <v>2378</v>
      </c>
      <c r="P48" s="2425" t="s">
        <v>2404</v>
      </c>
      <c r="Q48" s="2426">
        <f ca="1">C40+J29</f>
        <v>51905</v>
      </c>
      <c r="R48" s="2425" t="s">
        <v>2379</v>
      </c>
    </row>
    <row r="49" spans="1:18" s="2061" customFormat="1" ht="18" customHeight="1" thickBot="1">
      <c r="A49" s="786"/>
      <c r="B49" s="787"/>
      <c r="C49" s="788"/>
      <c r="D49" s="789"/>
      <c r="E49" s="784" t="s">
        <v>1740</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25869</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1127</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35.450000000000003</v>
      </c>
      <c r="K53" s="3475" t="s">
        <v>2966</v>
      </c>
      <c r="L53" s="3476"/>
      <c r="O53" s="2427" t="s">
        <v>2387</v>
      </c>
      <c r="P53" s="2425" t="s">
        <v>2388</v>
      </c>
      <c r="Q53" s="2426">
        <f ca="1">J53</f>
        <v>35.450000000000003</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51905</v>
      </c>
      <c r="R54" s="2429" t="s">
        <v>2391</v>
      </c>
    </row>
    <row r="55" spans="1:18" s="2061" customFormat="1" ht="18" customHeight="1" thickTop="1" thickBot="1">
      <c r="A55" s="797">
        <v>2</v>
      </c>
      <c r="B55" s="798" t="s">
        <v>644</v>
      </c>
      <c r="C55" s="799">
        <f ca="1">C13</f>
        <v>25869</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25869</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447</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51905</v>
      </c>
      <c r="R57" s="2425" t="s">
        <v>2379</v>
      </c>
    </row>
    <row r="58" spans="1:18" s="2061" customFormat="1" ht="28.5" customHeight="1" thickBot="1">
      <c r="A58" s="1650" t="s">
        <v>1825</v>
      </c>
      <c r="B58" s="784" t="s">
        <v>656</v>
      </c>
      <c r="C58" s="53">
        <f ca="1">ROUND(IF(项目基本情况!B11="自然人",C47*F58,C59+C60+C61),1)</f>
        <v>20.399999999999999</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388</v>
      </c>
      <c r="D63" s="2665" t="s">
        <v>1804</v>
      </c>
      <c r="E63" s="784" t="s">
        <v>1748</v>
      </c>
      <c r="F63" s="817">
        <f t="shared" ca="1" si="0"/>
        <v>1.4999999999999999E-2</v>
      </c>
      <c r="I63" s="2411" t="s">
        <v>2369</v>
      </c>
      <c r="J63" s="2412">
        <v>70</v>
      </c>
      <c r="K63" s="2412">
        <v>50</v>
      </c>
      <c r="L63" s="2412">
        <v>80</v>
      </c>
      <c r="M63" s="3132">
        <v>0.02</v>
      </c>
      <c r="O63" s="2424" t="s">
        <v>2390</v>
      </c>
      <c r="P63" s="2425" t="s">
        <v>2407</v>
      </c>
      <c r="Q63" s="2426">
        <f ca="1">Q57+Q58</f>
        <v>51905</v>
      </c>
      <c r="R63" s="2429" t="s">
        <v>2391</v>
      </c>
    </row>
    <row r="64" spans="1:18" s="2061" customFormat="1" ht="16.5" thickBot="1">
      <c r="A64" s="1650" t="s">
        <v>1891</v>
      </c>
      <c r="B64" s="784" t="s">
        <v>679</v>
      </c>
      <c r="C64" s="53">
        <f ca="1">ROUND(C55*F64,1)</f>
        <v>38.799999999999997</v>
      </c>
      <c r="D64" s="2665" t="s">
        <v>680</v>
      </c>
      <c r="E64" s="784" t="s">
        <v>1748</v>
      </c>
      <c r="F64" s="818">
        <f t="shared" ca="1" si="0"/>
        <v>1.5E-3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-447</v>
      </c>
      <c r="D66" s="2664" t="s">
        <v>700</v>
      </c>
      <c r="E66" s="2663"/>
      <c r="F66" s="820"/>
      <c r="K66" s="2088"/>
      <c r="O66" s="2424" t="s">
        <v>2378</v>
      </c>
      <c r="P66" s="2425" t="s">
        <v>2408</v>
      </c>
      <c r="Q66" s="2426">
        <f ca="1">C40+J29</f>
        <v>51905</v>
      </c>
      <c r="R66" s="2425" t="s">
        <v>2379</v>
      </c>
    </row>
    <row r="67" spans="1:18" s="2061" customFormat="1" ht="20.25" thickBot="1">
      <c r="A67" s="781" t="s">
        <v>1781</v>
      </c>
      <c r="B67" s="2234" t="s">
        <v>2301</v>
      </c>
      <c r="C67" s="783">
        <f ca="1">ROUND(C66*(1-((1+F69)/(1+F67))^F68)/(F67-F69),0)</f>
        <v>-6909</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35.450000000000003</v>
      </c>
      <c r="O68" s="2427" t="s">
        <v>2382</v>
      </c>
      <c r="P68" s="2425" t="s">
        <v>2412</v>
      </c>
      <c r="Q68" s="2431">
        <f ca="1">L51</f>
        <v>1127</v>
      </c>
      <c r="R68" s="2432" t="s">
        <v>2415</v>
      </c>
    </row>
    <row r="69" spans="1:18" ht="20.25" thickBot="1">
      <c r="A69" s="790"/>
      <c r="B69" s="791"/>
      <c r="C69" s="792"/>
      <c r="D69" s="816"/>
      <c r="E69" s="784" t="s">
        <v>710</v>
      </c>
      <c r="F69" s="2373"/>
      <c r="O69" s="2427" t="s">
        <v>2383</v>
      </c>
      <c r="P69" s="2433" t="s">
        <v>2397</v>
      </c>
      <c r="Q69" s="2426">
        <f ca="1">ROUND(Q70-Q71*Q72,0)</f>
        <v>67</v>
      </c>
      <c r="R69" s="2429"/>
    </row>
    <row r="70" spans="1:18" ht="15.75" thickBot="1">
      <c r="A70" s="823" t="s">
        <v>1788</v>
      </c>
      <c r="B70" s="824" t="s">
        <v>1811</v>
      </c>
      <c r="C70" s="825">
        <f ca="1">ROUND(C67*10000/F70,0)</f>
        <v>-1094</v>
      </c>
      <c r="D70" s="826" t="s">
        <v>1812</v>
      </c>
      <c r="E70" s="827" t="s">
        <v>1813</v>
      </c>
      <c r="F70" s="828">
        <f ca="1">F43</f>
        <v>63131.45</v>
      </c>
      <c r="O70" s="2427" t="s">
        <v>2398</v>
      </c>
      <c r="P70" s="2433" t="s">
        <v>2399</v>
      </c>
      <c r="Q70" s="2426">
        <f ca="1">C39</f>
        <v>2266</v>
      </c>
      <c r="R70" s="2425" t="s">
        <v>2379</v>
      </c>
    </row>
    <row r="71" spans="1:18" ht="15.75" thickBot="1">
      <c r="O71" s="2427" t="s">
        <v>2400</v>
      </c>
      <c r="P71" s="2433" t="s">
        <v>2401</v>
      </c>
      <c r="Q71" s="2426">
        <f ca="1">C13</f>
        <v>25869</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51905</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2470</v>
      </c>
      <c r="B1" s="3494"/>
      <c r="C1" s="3495"/>
      <c r="D1" s="3496">
        <f>SUM(I10,I15,I20,I21,I23)</f>
        <v>0</v>
      </c>
      <c r="E1" s="3496"/>
      <c r="F1" s="3496"/>
      <c r="G1" s="3496"/>
      <c r="H1" s="3496"/>
      <c r="I1" s="3497"/>
    </row>
    <row r="2" spans="1:9">
      <c r="A2" s="3483" t="s">
        <v>2471</v>
      </c>
      <c r="B2" s="3484" t="s">
        <v>2472</v>
      </c>
      <c r="C2" s="3484"/>
      <c r="D2" s="2533" t="s">
        <v>2473</v>
      </c>
      <c r="E2" s="2533" t="s">
        <v>2474</v>
      </c>
      <c r="F2" s="2533" t="s">
        <v>2475</v>
      </c>
      <c r="G2" s="2533" t="s">
        <v>2476</v>
      </c>
      <c r="H2" s="2533" t="s">
        <v>2477</v>
      </c>
      <c r="I2" s="2534" t="s">
        <v>2478</v>
      </c>
    </row>
    <row r="3" spans="1:9">
      <c r="A3" s="3483"/>
      <c r="B3" s="3484" t="s">
        <v>2479</v>
      </c>
      <c r="C3" s="3484"/>
      <c r="D3" s="2535"/>
      <c r="E3" s="2533"/>
      <c r="F3" s="2536"/>
      <c r="G3" s="2536"/>
      <c r="H3" s="2537"/>
      <c r="I3" s="2538">
        <f>ROUND(D3*E3*F3*G3*H3/10000,0)</f>
        <v>0</v>
      </c>
    </row>
    <row r="4" spans="1:9">
      <c r="A4" s="3483"/>
      <c r="B4" s="3484" t="s">
        <v>2480</v>
      </c>
      <c r="C4" s="3484"/>
      <c r="D4" s="2535"/>
      <c r="E4" s="2533"/>
      <c r="F4" s="2536"/>
      <c r="G4" s="2536"/>
      <c r="H4" s="2537"/>
      <c r="I4" s="2538">
        <f t="shared" ref="I4:I9" si="0">ROUND(D4*E4*F4*G4*H4/10000,0)</f>
        <v>0</v>
      </c>
    </row>
    <row r="5" spans="1:9">
      <c r="A5" s="3483"/>
      <c r="B5" s="3484" t="s">
        <v>2481</v>
      </c>
      <c r="C5" s="3484"/>
      <c r="D5" s="2535"/>
      <c r="E5" s="2533"/>
      <c r="F5" s="2536"/>
      <c r="G5" s="2536"/>
      <c r="H5" s="2537"/>
      <c r="I5" s="2538">
        <f t="shared" si="0"/>
        <v>0</v>
      </c>
    </row>
    <row r="6" spans="1:9">
      <c r="A6" s="3483"/>
      <c r="B6" s="3484" t="s">
        <v>2482</v>
      </c>
      <c r="C6" s="3484"/>
      <c r="D6" s="2535"/>
      <c r="E6" s="2533"/>
      <c r="F6" s="2536"/>
      <c r="G6" s="2536"/>
      <c r="H6" s="2537"/>
      <c r="I6" s="2538">
        <f t="shared" si="0"/>
        <v>0</v>
      </c>
    </row>
    <row r="7" spans="1:9">
      <c r="A7" s="3483"/>
      <c r="B7" s="3484" t="s">
        <v>2483</v>
      </c>
      <c r="C7" s="3484"/>
      <c r="D7" s="2535"/>
      <c r="E7" s="2533"/>
      <c r="F7" s="2536"/>
      <c r="G7" s="2536"/>
      <c r="H7" s="2537"/>
      <c r="I7" s="2538">
        <f t="shared" si="0"/>
        <v>0</v>
      </c>
    </row>
    <row r="8" spans="1:9">
      <c r="A8" s="3483"/>
      <c r="B8" s="3484" t="s">
        <v>2484</v>
      </c>
      <c r="C8" s="3484"/>
      <c r="D8" s="2535"/>
      <c r="E8" s="2533"/>
      <c r="F8" s="2536"/>
      <c r="G8" s="2536"/>
      <c r="H8" s="2537"/>
      <c r="I8" s="2538">
        <f t="shared" si="0"/>
        <v>0</v>
      </c>
    </row>
    <row r="9" spans="1:9">
      <c r="A9" s="3483"/>
      <c r="B9" s="3484" t="s">
        <v>2485</v>
      </c>
      <c r="C9" s="3484"/>
      <c r="D9" s="2535"/>
      <c r="E9" s="2533"/>
      <c r="F9" s="2536"/>
      <c r="G9" s="2536"/>
      <c r="H9" s="2537"/>
      <c r="I9" s="2538">
        <f t="shared" si="0"/>
        <v>0</v>
      </c>
    </row>
    <row r="10" spans="1:9">
      <c r="A10" s="3483"/>
      <c r="B10" s="3485" t="s">
        <v>2486</v>
      </c>
      <c r="C10" s="3485"/>
      <c r="D10" s="2539">
        <v>527</v>
      </c>
      <c r="E10" s="2539" t="e">
        <f>ROUND(D1*10000/D10/H9,0)</f>
        <v>#DIV/0!</v>
      </c>
      <c r="F10" s="2540"/>
      <c r="G10" s="2540"/>
      <c r="H10" s="2541"/>
      <c r="I10" s="2542">
        <f>SUM(I3:I9)</f>
        <v>0</v>
      </c>
    </row>
    <row r="11" spans="1:9" ht="14.25">
      <c r="A11" s="3483" t="s">
        <v>2487</v>
      </c>
      <c r="B11" s="3484" t="s">
        <v>2488</v>
      </c>
      <c r="C11" s="3484"/>
      <c r="D11" s="2535" t="s">
        <v>2489</v>
      </c>
      <c r="E11" s="2535" t="s">
        <v>2490</v>
      </c>
      <c r="F11" s="2536" t="s">
        <v>2491</v>
      </c>
      <c r="G11" s="2536" t="s">
        <v>2492</v>
      </c>
      <c r="H11" s="2543" t="s">
        <v>2493</v>
      </c>
      <c r="I11" s="2534" t="s">
        <v>2494</v>
      </c>
    </row>
    <row r="12" spans="1:9">
      <c r="A12" s="3483"/>
      <c r="B12" s="3484" t="s">
        <v>2495</v>
      </c>
      <c r="C12" s="3484"/>
      <c r="D12" s="2535"/>
      <c r="E12" s="2535"/>
      <c r="F12" s="2536"/>
      <c r="G12" s="2537"/>
      <c r="H12" s="2544"/>
      <c r="I12" s="2534">
        <f>ROUND(D12*E12*F12*G12/10000,0)</f>
        <v>0</v>
      </c>
    </row>
    <row r="13" spans="1:9">
      <c r="A13" s="3483"/>
      <c r="B13" s="3484" t="s">
        <v>2496</v>
      </c>
      <c r="C13" s="3484"/>
      <c r="D13" s="2535"/>
      <c r="E13" s="2535"/>
      <c r="F13" s="2536"/>
      <c r="G13" s="2537"/>
      <c r="H13" s="2544"/>
      <c r="I13" s="2534">
        <f>ROUND(D13*E13*F13*G13/10000,0)</f>
        <v>0</v>
      </c>
    </row>
    <row r="14" spans="1:9">
      <c r="A14" s="3483"/>
      <c r="B14" s="3484" t="s">
        <v>2497</v>
      </c>
      <c r="C14" s="3484"/>
      <c r="D14" s="2535"/>
      <c r="E14" s="2535"/>
      <c r="F14" s="2536"/>
      <c r="G14" s="2537"/>
      <c r="H14" s="2544"/>
      <c r="I14" s="2534">
        <f>ROUND(D14*E14*F14*G14/10000,0)</f>
        <v>0</v>
      </c>
    </row>
    <row r="15" spans="1:9">
      <c r="A15" s="3483"/>
      <c r="B15" s="3485" t="s">
        <v>2486</v>
      </c>
      <c r="C15" s="3485"/>
      <c r="D15" s="2539"/>
      <c r="E15" s="2539">
        <f>SUM(E12:E14)</f>
        <v>0</v>
      </c>
      <c r="F15" s="2540"/>
      <c r="G15" s="2537"/>
      <c r="H15" s="2544"/>
      <c r="I15" s="2545">
        <f>SUM(I12:I14)</f>
        <v>0</v>
      </c>
    </row>
    <row r="16" spans="1:9" ht="24">
      <c r="A16" s="3483" t="s">
        <v>2498</v>
      </c>
      <c r="B16" s="3484" t="s">
        <v>2499</v>
      </c>
      <c r="C16" s="3484"/>
      <c r="D16" s="2535" t="s">
        <v>2500</v>
      </c>
      <c r="E16" s="2546" t="s">
        <v>2501</v>
      </c>
      <c r="F16" s="2536" t="s">
        <v>2502</v>
      </c>
      <c r="G16" s="2537" t="s">
        <v>2492</v>
      </c>
      <c r="H16" s="2543" t="s">
        <v>2493</v>
      </c>
      <c r="I16" s="2534" t="s">
        <v>2494</v>
      </c>
    </row>
    <row r="17" spans="1:9" ht="14.25">
      <c r="A17" s="3483"/>
      <c r="B17" s="3484" t="s">
        <v>2503</v>
      </c>
      <c r="C17" s="3484"/>
      <c r="D17" s="2535"/>
      <c r="E17" s="2535"/>
      <c r="F17" s="2536"/>
      <c r="G17" s="2537"/>
      <c r="H17" s="2547"/>
      <c r="I17" s="2548">
        <f>ROUND(D17*E17*F17*G17/10000,0)</f>
        <v>0</v>
      </c>
    </row>
    <row r="18" spans="1:9" ht="14.25">
      <c r="A18" s="3483"/>
      <c r="B18" s="3484" t="s">
        <v>2504</v>
      </c>
      <c r="C18" s="3484"/>
      <c r="D18" s="2535"/>
      <c r="E18" s="2535"/>
      <c r="F18" s="2536"/>
      <c r="G18" s="2537"/>
      <c r="H18" s="2547"/>
      <c r="I18" s="2548">
        <f>ROUND(D18*E18*F18*G18/10000,0)</f>
        <v>0</v>
      </c>
    </row>
    <row r="19" spans="1:9" ht="14.25">
      <c r="A19" s="3483"/>
      <c r="B19" s="3484" t="s">
        <v>2505</v>
      </c>
      <c r="C19" s="3484"/>
      <c r="D19" s="2535"/>
      <c r="E19" s="2535"/>
      <c r="F19" s="2536"/>
      <c r="G19" s="2537"/>
      <c r="H19" s="2547"/>
      <c r="I19" s="2548">
        <f>ROUND(D19*E19*F19*G19/10000,0)</f>
        <v>0</v>
      </c>
    </row>
    <row r="20" spans="1:9">
      <c r="A20" s="3483"/>
      <c r="B20" s="3485" t="s">
        <v>2486</v>
      </c>
      <c r="C20" s="3485"/>
      <c r="D20" s="2539">
        <f>SUM(D17:D19)</f>
        <v>0</v>
      </c>
      <c r="E20" s="2539"/>
      <c r="F20" s="2540"/>
      <c r="G20" s="2537"/>
      <c r="H20" s="2544"/>
      <c r="I20" s="2545">
        <f>SUM(I17:I19)</f>
        <v>0</v>
      </c>
    </row>
    <row r="21" spans="1:9">
      <c r="A21" s="3483" t="s">
        <v>2506</v>
      </c>
      <c r="B21" s="3486"/>
      <c r="C21" s="3486"/>
      <c r="D21" s="3486"/>
      <c r="E21" s="3486"/>
      <c r="F21" s="3486"/>
      <c r="G21" s="3486"/>
      <c r="H21" s="2549">
        <v>0.1</v>
      </c>
      <c r="I21" s="2542">
        <f>ROUND(I10*H21,0)</f>
        <v>0</v>
      </c>
    </row>
    <row r="22" spans="1:9" ht="14.25">
      <c r="A22" s="3487" t="s">
        <v>2507</v>
      </c>
      <c r="B22" s="3488"/>
      <c r="C22" s="3489"/>
      <c r="D22" s="2550" t="s">
        <v>2508</v>
      </c>
      <c r="E22" s="2550" t="s">
        <v>2509</v>
      </c>
      <c r="F22" s="2551" t="s">
        <v>2510</v>
      </c>
      <c r="G22" s="2551" t="s">
        <v>2511</v>
      </c>
      <c r="H22" s="2543" t="s">
        <v>2512</v>
      </c>
      <c r="I22" s="2534" t="s">
        <v>2513</v>
      </c>
    </row>
    <row r="23" spans="1:9" ht="14.25" thickBot="1">
      <c r="A23" s="3490"/>
      <c r="B23" s="3491"/>
      <c r="C23" s="3492"/>
      <c r="D23" s="2552"/>
      <c r="E23" s="2552"/>
      <c r="F23" s="2552"/>
      <c r="G23" s="2553"/>
      <c r="H23" s="2554"/>
      <c r="I23" s="2555">
        <f>ROUND(E23*D23*F23*(1-G23)/10000,0)</f>
        <v>0</v>
      </c>
    </row>
    <row r="26" spans="1:9">
      <c r="A26" s="2556" t="s">
        <v>2514</v>
      </c>
      <c r="B26" s="2556"/>
      <c r="C26" s="2556"/>
      <c r="D26" s="2556"/>
      <c r="E26" s="3480">
        <f>C27-C30-C31-C32</f>
        <v>0</v>
      </c>
      <c r="F26" s="3480"/>
      <c r="G26" s="3480"/>
      <c r="H26" s="3070" t="s">
        <v>2842</v>
      </c>
    </row>
    <row r="27" spans="1:9">
      <c r="A27" s="2557">
        <v>1</v>
      </c>
      <c r="B27" s="2558" t="s">
        <v>2515</v>
      </c>
      <c r="C27" s="2558"/>
      <c r="D27" s="2558"/>
      <c r="E27" s="3481"/>
      <c r="F27" s="3481"/>
      <c r="G27" s="3481"/>
    </row>
    <row r="28" spans="1:9">
      <c r="A28" s="2559" t="s">
        <v>2516</v>
      </c>
      <c r="B28" s="2558" t="s">
        <v>2517</v>
      </c>
      <c r="C28" s="2558"/>
      <c r="D28" s="2558"/>
      <c r="E28" s="3481"/>
      <c r="F28" s="3481"/>
      <c r="G28" s="3481"/>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482"/>
      <c r="F32" s="3482"/>
      <c r="G32" s="3482"/>
    </row>
    <row r="33" spans="1:7" hidden="1">
      <c r="A33" s="3477" t="s">
        <v>2525</v>
      </c>
      <c r="B33" s="3478"/>
      <c r="C33" s="3478"/>
      <c r="D33" s="3479"/>
      <c r="E33" s="3480"/>
      <c r="F33" s="3480"/>
      <c r="G33" s="3480"/>
    </row>
    <row r="34" spans="1:7" hidden="1">
      <c r="A34" s="2561">
        <v>1</v>
      </c>
      <c r="B34" s="2558" t="s">
        <v>2526</v>
      </c>
      <c r="C34" s="2558"/>
      <c r="D34" s="2558"/>
      <c r="E34" s="3481"/>
      <c r="F34" s="3481"/>
      <c r="G34" s="3481"/>
    </row>
    <row r="35" spans="1:7" hidden="1">
      <c r="A35" s="2561">
        <v>2</v>
      </c>
      <c r="B35" s="2558" t="s">
        <v>2527</v>
      </c>
      <c r="C35" s="2558"/>
      <c r="D35" s="2558"/>
      <c r="E35" s="3481"/>
      <c r="F35" s="3481"/>
      <c r="G35" s="3481"/>
    </row>
    <row r="36" spans="1:7" hidden="1">
      <c r="A36" s="2561">
        <v>3</v>
      </c>
      <c r="B36" s="2558" t="s">
        <v>2528</v>
      </c>
      <c r="C36" s="2558"/>
      <c r="D36" s="2558"/>
      <c r="E36" s="3481"/>
      <c r="F36" s="3481"/>
      <c r="G36" s="3481"/>
    </row>
    <row r="37" spans="1:7" hidden="1">
      <c r="A37" s="2561">
        <v>4</v>
      </c>
      <c r="B37" s="2558" t="s">
        <v>2529</v>
      </c>
      <c r="C37" s="2558"/>
      <c r="D37" s="2558"/>
      <c r="E37" s="3481"/>
      <c r="F37" s="3481"/>
      <c r="G37" s="3481"/>
    </row>
    <row r="38" spans="1:7" hidden="1">
      <c r="A38" s="3477" t="s">
        <v>2530</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126262.9</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1136</v>
      </c>
      <c r="D13" s="758">
        <f>'数据-汇总表'!E6</f>
        <v>126262.9</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0.83899999999999997</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405" t="s">
        <v>522</v>
      </c>
      <c r="D4" s="3406"/>
      <c r="E4" s="3429" t="s">
        <v>523</v>
      </c>
      <c r="F4" s="3430"/>
      <c r="G4" s="3405" t="s">
        <v>524</v>
      </c>
      <c r="H4" s="3406"/>
      <c r="I4" s="3405" t="s">
        <v>525</v>
      </c>
      <c r="J4" s="3406"/>
      <c r="K4" s="853" t="s">
        <v>526</v>
      </c>
      <c r="L4" s="2135"/>
      <c r="M4" s="2136"/>
      <c r="N4" s="2136"/>
      <c r="O4" s="2136"/>
      <c r="P4" s="3407" t="s">
        <v>527</v>
      </c>
      <c r="Q4" s="3408"/>
      <c r="R4" s="3393" t="s">
        <v>523</v>
      </c>
      <c r="S4" s="3394"/>
      <c r="T4" s="3393" t="s">
        <v>524</v>
      </c>
      <c r="U4" s="3394"/>
      <c r="V4" s="3413" t="s">
        <v>525</v>
      </c>
      <c r="W4" s="3413"/>
      <c r="X4" s="1568"/>
      <c r="Y4" s="3393" t="s">
        <v>527</v>
      </c>
      <c r="Z4" s="3394"/>
      <c r="AA4" s="3388" t="s">
        <v>523</v>
      </c>
      <c r="AB4" s="3388" t="s">
        <v>524</v>
      </c>
      <c r="AC4" s="3388" t="s">
        <v>525</v>
      </c>
    </row>
    <row r="5" spans="1:29" ht="15">
      <c r="A5" s="515"/>
      <c r="B5" s="516"/>
      <c r="C5" s="3416" t="s">
        <v>2926</v>
      </c>
      <c r="D5" s="3417"/>
      <c r="E5" s="3431" t="s">
        <v>2927</v>
      </c>
      <c r="F5" s="3432"/>
      <c r="G5" s="3416" t="s">
        <v>2928</v>
      </c>
      <c r="H5" s="3417"/>
      <c r="I5" s="3416" t="s">
        <v>2929</v>
      </c>
      <c r="J5" s="3417"/>
      <c r="K5" s="85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2930</v>
      </c>
      <c r="D6" s="3415"/>
      <c r="E6" s="3433" t="s">
        <v>2930</v>
      </c>
      <c r="F6" s="3434"/>
      <c r="G6" s="3414" t="s">
        <v>2930</v>
      </c>
      <c r="H6" s="3415"/>
      <c r="I6" s="3414" t="s">
        <v>2930</v>
      </c>
      <c r="J6" s="3415"/>
      <c r="K6" s="854" t="s">
        <v>528</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38"/>
      <c r="B7" s="2945" t="s">
        <v>529</v>
      </c>
      <c r="C7" s="519">
        <f>'数据-取费表'!B2</f>
        <v>43210</v>
      </c>
      <c r="D7" s="520">
        <v>100</v>
      </c>
      <c r="E7" s="521"/>
      <c r="F7" s="522">
        <f>SUMIF(58:58,YEAR(E7)&amp;"-"&amp;MONTH(E7),59:59)</f>
        <v>0</v>
      </c>
      <c r="G7" s="523"/>
      <c r="H7" s="520">
        <f>SUMIF(58:58,YEAR(G7)&amp;"-"&amp;MONTH(G7),59:59)</f>
        <v>0</v>
      </c>
      <c r="I7" s="523"/>
      <c r="J7" s="520">
        <f>SUMIF(58:58,YEAR(I7)&amp;"-"&amp;MONTH(I7),59:59)</f>
        <v>0</v>
      </c>
      <c r="K7" s="855"/>
      <c r="L7" s="2137"/>
      <c r="M7" s="2138"/>
      <c r="N7" s="2138"/>
      <c r="O7" s="2138"/>
      <c r="P7" s="3391" t="s">
        <v>530</v>
      </c>
      <c r="Q7" s="3400"/>
      <c r="R7" s="1569" t="s">
        <v>13</v>
      </c>
      <c r="S7" s="1570">
        <f t="shared" ref="S7:S15" si="0">F7</f>
        <v>0</v>
      </c>
      <c r="T7" s="1569" t="s">
        <v>13</v>
      </c>
      <c r="U7" s="1570">
        <f t="shared" ref="U7:U15" si="1">H7</f>
        <v>0</v>
      </c>
      <c r="V7" s="1569" t="s">
        <v>13</v>
      </c>
      <c r="W7" s="1570">
        <f t="shared" ref="W7:W15"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391" t="s">
        <v>533</v>
      </c>
      <c r="Q8" s="3392"/>
      <c r="R8" s="1569" t="s">
        <v>13</v>
      </c>
      <c r="S8" s="1570">
        <f t="shared" si="0"/>
        <v>0</v>
      </c>
      <c r="T8" s="1569" t="s">
        <v>13</v>
      </c>
      <c r="U8" s="1570">
        <f t="shared" si="1"/>
        <v>0</v>
      </c>
      <c r="V8" s="1569" t="s">
        <v>13</v>
      </c>
      <c r="W8" s="1570">
        <f t="shared" si="2"/>
        <v>0</v>
      </c>
      <c r="X8" s="1571"/>
      <c r="Y8" s="3391" t="s">
        <v>533</v>
      </c>
      <c r="Z8" s="339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99" t="s">
        <v>535</v>
      </c>
      <c r="Q9" s="1151" t="str">
        <f t="shared" ref="Q9:Q15" si="6">B9</f>
        <v>用途</v>
      </c>
      <c r="R9" s="1569" t="s">
        <v>8</v>
      </c>
      <c r="S9" s="1570">
        <f t="shared" si="0"/>
        <v>100</v>
      </c>
      <c r="T9" s="1569" t="s">
        <v>8</v>
      </c>
      <c r="U9" s="1570">
        <f t="shared" si="1"/>
        <v>100</v>
      </c>
      <c r="V9" s="1569" t="s">
        <v>8</v>
      </c>
      <c r="W9" s="1570">
        <f t="shared" si="2"/>
        <v>100</v>
      </c>
      <c r="X9" s="1571"/>
      <c r="Y9" s="335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99"/>
      <c r="Q11" s="1151" t="str">
        <f t="shared" si="6"/>
        <v>容积率</v>
      </c>
      <c r="R11" s="1569" t="s">
        <v>11</v>
      </c>
      <c r="S11" s="1570" t="e">
        <f t="shared" si="0"/>
        <v>#N/A</v>
      </c>
      <c r="T11" s="1569" t="s">
        <v>11</v>
      </c>
      <c r="U11" s="1570" t="e">
        <f t="shared" si="1"/>
        <v>#N/A</v>
      </c>
      <c r="V11" s="1569" t="s">
        <v>11</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99"/>
      <c r="Q12" s="1151">
        <f t="shared" si="6"/>
        <v>111</v>
      </c>
      <c r="R12" s="1569" t="s">
        <v>11</v>
      </c>
      <c r="S12" s="1570">
        <f t="shared" si="0"/>
        <v>100</v>
      </c>
      <c r="T12" s="1569" t="s">
        <v>11</v>
      </c>
      <c r="U12" s="1570">
        <f t="shared" si="1"/>
        <v>100</v>
      </c>
      <c r="V12" s="1569" t="s">
        <v>11</v>
      </c>
      <c r="W12" s="1570">
        <f t="shared" si="2"/>
        <v>100</v>
      </c>
      <c r="X12" s="1571"/>
      <c r="Y12" s="3356"/>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99"/>
      <c r="Q13" s="1151">
        <f t="shared" si="6"/>
        <v>111</v>
      </c>
      <c r="R13" s="1569" t="s">
        <v>11</v>
      </c>
      <c r="S13" s="1570">
        <f t="shared" si="0"/>
        <v>100</v>
      </c>
      <c r="T13" s="1569" t="s">
        <v>11</v>
      </c>
      <c r="U13" s="1570">
        <f t="shared" si="1"/>
        <v>100</v>
      </c>
      <c r="V13" s="1569" t="s">
        <v>11</v>
      </c>
      <c r="W13" s="1570">
        <f t="shared" si="2"/>
        <v>100</v>
      </c>
      <c r="X13" s="1571"/>
      <c r="Y13" s="3356"/>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99"/>
      <c r="Q14" s="1151">
        <f t="shared" si="6"/>
        <v>111</v>
      </c>
      <c r="R14" s="1569" t="s">
        <v>11</v>
      </c>
      <c r="S14" s="1570">
        <f t="shared" si="0"/>
        <v>100</v>
      </c>
      <c r="T14" s="1569" t="s">
        <v>11</v>
      </c>
      <c r="U14" s="1570">
        <f t="shared" si="1"/>
        <v>100</v>
      </c>
      <c r="V14" s="1569" t="s">
        <v>11</v>
      </c>
      <c r="W14" s="1570">
        <f t="shared" si="2"/>
        <v>100</v>
      </c>
      <c r="X14" s="1571"/>
      <c r="Y14" s="3356"/>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01" t="s">
        <v>540</v>
      </c>
      <c r="Q15" s="1573" t="str">
        <f t="shared" si="6"/>
        <v>居住社区成熟度</v>
      </c>
      <c r="R15" s="1574" t="s">
        <v>11</v>
      </c>
      <c r="S15" s="1575">
        <f t="shared" si="0"/>
        <v>100</v>
      </c>
      <c r="T15" s="1574" t="s">
        <v>11</v>
      </c>
      <c r="U15" s="1575">
        <f t="shared" si="1"/>
        <v>100</v>
      </c>
      <c r="V15" s="1574" t="s">
        <v>11</v>
      </c>
      <c r="W15" s="1575">
        <f t="shared" si="2"/>
        <v>100</v>
      </c>
      <c r="X15" s="1568"/>
      <c r="Y15" s="3401"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02"/>
      <c r="Q17" s="1573" t="str">
        <f>B17</f>
        <v>交通便捷度</v>
      </c>
      <c r="R17" s="1574" t="s">
        <v>11</v>
      </c>
      <c r="S17" s="1575">
        <f>F17</f>
        <v>100</v>
      </c>
      <c r="T17" s="1574" t="s">
        <v>11</v>
      </c>
      <c r="U17" s="1575">
        <f>H17</f>
        <v>100</v>
      </c>
      <c r="V17" s="1574" t="s">
        <v>11</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02"/>
      <c r="Q19" s="1573" t="str">
        <f>B19</f>
        <v>公共配套设施</v>
      </c>
      <c r="R19" s="1574" t="s">
        <v>11</v>
      </c>
      <c r="S19" s="1575">
        <f>F19</f>
        <v>100</v>
      </c>
      <c r="T19" s="1574" t="s">
        <v>11</v>
      </c>
      <c r="U19" s="1575">
        <f>H19</f>
        <v>100</v>
      </c>
      <c r="V19" s="1574" t="s">
        <v>11</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02"/>
      <c r="Q21" s="2605" t="str">
        <f>B21</f>
        <v>基础设施水平</v>
      </c>
      <c r="R21" s="1574" t="s">
        <v>11</v>
      </c>
      <c r="S21" s="1575">
        <f>F21</f>
        <v>100</v>
      </c>
      <c r="T21" s="1574" t="s">
        <v>11</v>
      </c>
      <c r="U21" s="1575">
        <f>H21</f>
        <v>100</v>
      </c>
      <c r="V21" s="1574" t="s">
        <v>11</v>
      </c>
      <c r="W21" s="1575">
        <f>J21</f>
        <v>100</v>
      </c>
      <c r="X21" s="2607"/>
      <c r="Y21" s="340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402"/>
      <c r="Q22" s="2605"/>
      <c r="R22" s="1574"/>
      <c r="S22" s="1575"/>
      <c r="T22" s="1574"/>
      <c r="U22" s="1575"/>
      <c r="V22" s="1574"/>
      <c r="W22" s="1575"/>
      <c r="X22" s="2607"/>
      <c r="Y22" s="3402"/>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02"/>
      <c r="Q23" s="1573" t="str">
        <f>B23</f>
        <v>自然及人文环境</v>
      </c>
      <c r="R23" s="1574" t="s">
        <v>11</v>
      </c>
      <c r="S23" s="1575">
        <f>F23</f>
        <v>100</v>
      </c>
      <c r="T23" s="1574" t="s">
        <v>11</v>
      </c>
      <c r="U23" s="1575">
        <f>H23</f>
        <v>100</v>
      </c>
      <c r="V23" s="1574" t="s">
        <v>11</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2"/>
      <c r="Q25" s="1573" t="str">
        <f t="shared" ref="Q25:Q46" si="11">B25</f>
        <v>楼层-1</v>
      </c>
      <c r="R25" s="1574" t="s">
        <v>11</v>
      </c>
      <c r="S25" s="1575">
        <f>F25</f>
        <v>100</v>
      </c>
      <c r="T25" s="1574" t="s">
        <v>11</v>
      </c>
      <c r="U25" s="1575">
        <f>H25</f>
        <v>100</v>
      </c>
      <c r="V25" s="1574" t="s">
        <v>11</v>
      </c>
      <c r="W25" s="1575">
        <f>J25</f>
        <v>100</v>
      </c>
      <c r="X25" s="1568"/>
      <c r="Y25" s="3402"/>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2"/>
      <c r="Q26" s="1573" t="str">
        <f t="shared" si="11"/>
        <v>朝向</v>
      </c>
      <c r="R26" s="1574" t="s">
        <v>11</v>
      </c>
      <c r="S26" s="1575">
        <f>F26</f>
        <v>100</v>
      </c>
      <c r="T26" s="1574" t="s">
        <v>11</v>
      </c>
      <c r="U26" s="1575">
        <f>H26</f>
        <v>100</v>
      </c>
      <c r="V26" s="1574" t="s">
        <v>11</v>
      </c>
      <c r="W26" s="1575">
        <f>J26</f>
        <v>100</v>
      </c>
      <c r="X26" s="1568"/>
      <c r="Y26" s="3402"/>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2"/>
      <c r="Q27" s="1151" t="str">
        <f t="shared" si="11"/>
        <v>道路级别</v>
      </c>
      <c r="R27" s="1569" t="s">
        <v>11</v>
      </c>
      <c r="S27" s="1570">
        <f>F27</f>
        <v>100</v>
      </c>
      <c r="T27" s="1569" t="s">
        <v>11</v>
      </c>
      <c r="U27" s="1570">
        <f>H27</f>
        <v>100</v>
      </c>
      <c r="V27" s="1569" t="s">
        <v>11</v>
      </c>
      <c r="W27" s="1570">
        <f>J27</f>
        <v>100</v>
      </c>
      <c r="X27" s="1571"/>
      <c r="Y27" s="3402"/>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2"/>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2"/>
      <c r="Q29" s="1573">
        <f t="shared" si="11"/>
        <v>111</v>
      </c>
      <c r="R29" s="1574" t="s">
        <v>11</v>
      </c>
      <c r="S29" s="1575">
        <f t="shared" si="12"/>
        <v>100</v>
      </c>
      <c r="T29" s="1574" t="s">
        <v>11</v>
      </c>
      <c r="U29" s="1575">
        <f t="shared" si="13"/>
        <v>100</v>
      </c>
      <c r="V29" s="1574" t="s">
        <v>11</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2"/>
      <c r="Q30" s="1573">
        <f t="shared" si="11"/>
        <v>111</v>
      </c>
      <c r="R30" s="1574" t="s">
        <v>11</v>
      </c>
      <c r="S30" s="1575">
        <f t="shared" si="12"/>
        <v>100</v>
      </c>
      <c r="T30" s="1574" t="s">
        <v>11</v>
      </c>
      <c r="U30" s="1575">
        <f t="shared" si="13"/>
        <v>100</v>
      </c>
      <c r="V30" s="1574" t="s">
        <v>11</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2"/>
      <c r="Q31" s="1573">
        <f t="shared" si="11"/>
        <v>111</v>
      </c>
      <c r="R31" s="1574" t="s">
        <v>11</v>
      </c>
      <c r="S31" s="1575">
        <f t="shared" si="12"/>
        <v>100</v>
      </c>
      <c r="T31" s="1574" t="s">
        <v>11</v>
      </c>
      <c r="U31" s="1575">
        <f t="shared" si="13"/>
        <v>100</v>
      </c>
      <c r="V31" s="1574" t="s">
        <v>11</v>
      </c>
      <c r="W31" s="1575">
        <f t="shared" si="14"/>
        <v>100</v>
      </c>
      <c r="X31" s="1568"/>
      <c r="Y31" s="3402"/>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03" t="s">
        <v>550</v>
      </c>
      <c r="Q32" s="1573" t="str">
        <f t="shared" si="11"/>
        <v>建筑类型</v>
      </c>
      <c r="R32" s="1574" t="s">
        <v>11</v>
      </c>
      <c r="S32" s="1575">
        <f t="shared" si="12"/>
        <v>100</v>
      </c>
      <c r="T32" s="1574" t="s">
        <v>11</v>
      </c>
      <c r="U32" s="1575">
        <f t="shared" si="13"/>
        <v>100</v>
      </c>
      <c r="V32" s="1574" t="s">
        <v>11</v>
      </c>
      <c r="W32" s="1575">
        <f t="shared" si="14"/>
        <v>100</v>
      </c>
      <c r="X32" s="1568"/>
      <c r="Y32" s="3404"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04"/>
      <c r="Q33" s="1606" t="str">
        <f t="shared" si="11"/>
        <v>项目建筑规模</v>
      </c>
      <c r="R33" s="1578" t="s">
        <v>11</v>
      </c>
      <c r="S33" s="1579" t="e">
        <f t="shared" si="12"/>
        <v>#N/A</v>
      </c>
      <c r="T33" s="1578" t="s">
        <v>11</v>
      </c>
      <c r="U33" s="1579" t="e">
        <f t="shared" si="13"/>
        <v>#N/A</v>
      </c>
      <c r="V33" s="1578" t="s">
        <v>11</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04"/>
      <c r="Q34" s="1573" t="str">
        <f t="shared" si="11"/>
        <v>建筑结构</v>
      </c>
      <c r="R34" s="1574" t="s">
        <v>11</v>
      </c>
      <c r="S34" s="1575">
        <f t="shared" si="12"/>
        <v>100</v>
      </c>
      <c r="T34" s="1574" t="s">
        <v>11</v>
      </c>
      <c r="U34" s="1575">
        <f t="shared" si="13"/>
        <v>100</v>
      </c>
      <c r="V34" s="1574" t="s">
        <v>11</v>
      </c>
      <c r="W34" s="1575">
        <f t="shared" si="14"/>
        <v>100</v>
      </c>
      <c r="X34" s="1568"/>
      <c r="Y34" s="3404"/>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04"/>
      <c r="Q35" s="1573" t="str">
        <f t="shared" si="11"/>
        <v>建筑品质</v>
      </c>
      <c r="R35" s="1574" t="s">
        <v>11</v>
      </c>
      <c r="S35" s="1575">
        <f t="shared" si="12"/>
        <v>100</v>
      </c>
      <c r="T35" s="1574" t="s">
        <v>11</v>
      </c>
      <c r="U35" s="1575">
        <f t="shared" si="13"/>
        <v>100</v>
      </c>
      <c r="V35" s="1574" t="s">
        <v>11</v>
      </c>
      <c r="W35" s="1575">
        <f t="shared" si="14"/>
        <v>100</v>
      </c>
      <c r="X35" s="1568"/>
      <c r="Y35" s="3404"/>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4"/>
      <c r="Q36" s="1573" t="str">
        <f t="shared" si="11"/>
        <v>公共部分装修</v>
      </c>
      <c r="R36" s="1574" t="s">
        <v>11</v>
      </c>
      <c r="S36" s="1575">
        <f t="shared" si="12"/>
        <v>100</v>
      </c>
      <c r="T36" s="1574" t="s">
        <v>11</v>
      </c>
      <c r="U36" s="1575">
        <f t="shared" si="13"/>
        <v>100</v>
      </c>
      <c r="V36" s="1574" t="s">
        <v>11</v>
      </c>
      <c r="W36" s="1575">
        <f t="shared" si="14"/>
        <v>100</v>
      </c>
      <c r="X36" s="1568"/>
      <c r="Y36" s="3404"/>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04"/>
      <c r="Q37" s="1151" t="str">
        <f t="shared" si="11"/>
        <v>成新度</v>
      </c>
      <c r="R37" s="1569" t="s">
        <v>11</v>
      </c>
      <c r="S37" s="1570" t="e">
        <f t="shared" si="12"/>
        <v>#N/A</v>
      </c>
      <c r="T37" s="1569" t="s">
        <v>11</v>
      </c>
      <c r="U37" s="1570" t="e">
        <f t="shared" si="13"/>
        <v>#N/A</v>
      </c>
      <c r="V37" s="1569" t="s">
        <v>11</v>
      </c>
      <c r="W37" s="1570" t="e">
        <f t="shared" si="14"/>
        <v>#N/A</v>
      </c>
      <c r="X37" s="1571"/>
      <c r="Y37" s="3404"/>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04" t="s">
        <v>550</v>
      </c>
      <c r="Q38" s="1573" t="str">
        <f t="shared" si="11"/>
        <v>物业管理</v>
      </c>
      <c r="R38" s="1574" t="s">
        <v>11</v>
      </c>
      <c r="S38" s="1575">
        <f t="shared" si="12"/>
        <v>100</v>
      </c>
      <c r="T38" s="1574" t="s">
        <v>11</v>
      </c>
      <c r="U38" s="1575">
        <f t="shared" si="13"/>
        <v>100</v>
      </c>
      <c r="V38" s="1574" t="s">
        <v>11</v>
      </c>
      <c r="W38" s="1575">
        <f t="shared" si="14"/>
        <v>100</v>
      </c>
      <c r="X38" s="1568"/>
      <c r="Y38" s="3404"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04"/>
      <c r="Q39" s="1573" t="str">
        <f t="shared" si="11"/>
        <v>市政基础设施</v>
      </c>
      <c r="R39" s="1574" t="s">
        <v>11</v>
      </c>
      <c r="S39" s="1575">
        <f t="shared" si="12"/>
        <v>100</v>
      </c>
      <c r="T39" s="1574" t="s">
        <v>11</v>
      </c>
      <c r="U39" s="1575">
        <f t="shared" si="13"/>
        <v>100</v>
      </c>
      <c r="V39" s="1574" t="s">
        <v>11</v>
      </c>
      <c r="W39" s="1575">
        <f t="shared" si="14"/>
        <v>100</v>
      </c>
      <c r="X39" s="1568"/>
      <c r="Y39" s="3404"/>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04"/>
      <c r="Q40" s="1573" t="str">
        <f t="shared" si="11"/>
        <v>房型</v>
      </c>
      <c r="R40" s="1574" t="s">
        <v>11</v>
      </c>
      <c r="S40" s="1575">
        <f t="shared" si="12"/>
        <v>100</v>
      </c>
      <c r="T40" s="1574" t="s">
        <v>11</v>
      </c>
      <c r="U40" s="1575">
        <f t="shared" si="13"/>
        <v>100</v>
      </c>
      <c r="V40" s="1574" t="s">
        <v>11</v>
      </c>
      <c r="W40" s="1575">
        <f t="shared" si="14"/>
        <v>100</v>
      </c>
      <c r="X40" s="1568"/>
      <c r="Y40" s="3404"/>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04"/>
      <c r="Q41" s="1606" t="str">
        <f t="shared" si="11"/>
        <v>单套/主力户型建筑面积</v>
      </c>
      <c r="R41" s="1578" t="s">
        <v>11</v>
      </c>
      <c r="S41" s="1579">
        <f t="shared" si="12"/>
        <v>100</v>
      </c>
      <c r="T41" s="1578" t="s">
        <v>11</v>
      </c>
      <c r="U41" s="1579">
        <f t="shared" si="13"/>
        <v>100</v>
      </c>
      <c r="V41" s="1578" t="s">
        <v>11</v>
      </c>
      <c r="W41" s="1579">
        <f t="shared" si="14"/>
        <v>100</v>
      </c>
      <c r="X41" s="1580"/>
      <c r="Y41" s="3404"/>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04"/>
      <c r="Q42" s="1573" t="str">
        <f t="shared" si="11"/>
        <v>内部装修</v>
      </c>
      <c r="R42" s="1574" t="s">
        <v>11</v>
      </c>
      <c r="S42" s="1575">
        <f t="shared" si="12"/>
        <v>100</v>
      </c>
      <c r="T42" s="1574" t="s">
        <v>11</v>
      </c>
      <c r="U42" s="1575">
        <f t="shared" si="13"/>
        <v>100</v>
      </c>
      <c r="V42" s="1574" t="s">
        <v>11</v>
      </c>
      <c r="W42" s="1575">
        <f t="shared" si="14"/>
        <v>100</v>
      </c>
      <c r="X42" s="1568"/>
      <c r="Y42" s="3404"/>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04"/>
      <c r="Q43" s="1573" t="str">
        <f t="shared" si="11"/>
        <v>内部装修维护情况</v>
      </c>
      <c r="R43" s="1574" t="s">
        <v>11</v>
      </c>
      <c r="S43" s="1575">
        <f t="shared" si="12"/>
        <v>100</v>
      </c>
      <c r="T43" s="1574" t="s">
        <v>11</v>
      </c>
      <c r="U43" s="1575">
        <f t="shared" si="13"/>
        <v>100</v>
      </c>
      <c r="V43" s="1574" t="s">
        <v>11</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4"/>
      <c r="Q44" s="1151">
        <f t="shared" si="11"/>
        <v>111</v>
      </c>
      <c r="R44" s="1569" t="s">
        <v>11</v>
      </c>
      <c r="S44" s="1570">
        <f t="shared" si="12"/>
        <v>100</v>
      </c>
      <c r="T44" s="1569" t="s">
        <v>11</v>
      </c>
      <c r="U44" s="1570">
        <f t="shared" si="13"/>
        <v>100</v>
      </c>
      <c r="V44" s="1569" t="s">
        <v>11</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4"/>
      <c r="Q45" s="1573">
        <f t="shared" si="11"/>
        <v>111</v>
      </c>
      <c r="R45" s="1574" t="s">
        <v>11</v>
      </c>
      <c r="S45" s="1575">
        <f t="shared" si="12"/>
        <v>100</v>
      </c>
      <c r="T45" s="1574" t="s">
        <v>11</v>
      </c>
      <c r="U45" s="1575">
        <f t="shared" si="13"/>
        <v>100</v>
      </c>
      <c r="V45" s="1574" t="s">
        <v>11</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0"/>
      <c r="Q46" s="1573">
        <f t="shared" si="11"/>
        <v>111</v>
      </c>
      <c r="R46" s="1574" t="s">
        <v>10</v>
      </c>
      <c r="S46" s="1575">
        <f t="shared" si="12"/>
        <v>100</v>
      </c>
      <c r="T46" s="1574" t="s">
        <v>10</v>
      </c>
      <c r="U46" s="1575">
        <f t="shared" si="13"/>
        <v>100</v>
      </c>
      <c r="V46" s="1574" t="s">
        <v>10</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99" t="str">
        <f>A47</f>
        <v>成交单价（元/平方米）</v>
      </c>
      <c r="Q47" s="3399"/>
      <c r="R47" s="3499">
        <f>E47</f>
        <v>0</v>
      </c>
      <c r="S47" s="3499"/>
      <c r="T47" s="3499">
        <f>G47</f>
        <v>0</v>
      </c>
      <c r="U47" s="3499"/>
      <c r="V47" s="3499">
        <f>I47</f>
        <v>0</v>
      </c>
      <c r="W47" s="3499"/>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399" t="str">
        <f>A48</f>
        <v>比较价格（元/平方米）</v>
      </c>
      <c r="Q48" s="3399"/>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420" t="str">
        <f>A49</f>
        <v>估价对象XX用房的比较价格（楼面单价，元/平方米）</v>
      </c>
      <c r="Q49" s="3421"/>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405" t="s">
        <v>522</v>
      </c>
      <c r="D4" s="3406"/>
      <c r="E4" s="3429" t="s">
        <v>523</v>
      </c>
      <c r="F4" s="3430"/>
      <c r="G4" s="3405" t="s">
        <v>524</v>
      </c>
      <c r="H4" s="3406"/>
      <c r="I4" s="3405" t="s">
        <v>525</v>
      </c>
      <c r="J4" s="3406"/>
      <c r="K4" s="514" t="s">
        <v>526</v>
      </c>
      <c r="L4" s="2135"/>
      <c r="M4" s="2136"/>
      <c r="N4" s="2136"/>
      <c r="O4" s="2136"/>
      <c r="P4" s="3407" t="s">
        <v>527</v>
      </c>
      <c r="Q4" s="3408"/>
      <c r="R4" s="3393" t="s">
        <v>523</v>
      </c>
      <c r="S4" s="3394"/>
      <c r="T4" s="3393" t="s">
        <v>524</v>
      </c>
      <c r="U4" s="3394"/>
      <c r="V4" s="3413" t="s">
        <v>525</v>
      </c>
      <c r="W4" s="3413"/>
      <c r="X4" s="1568"/>
      <c r="Y4" s="3393" t="s">
        <v>527</v>
      </c>
      <c r="Z4" s="3394"/>
      <c r="AA4" s="3388" t="s">
        <v>523</v>
      </c>
      <c r="AB4" s="3413" t="s">
        <v>524</v>
      </c>
      <c r="AC4" s="3388" t="s">
        <v>525</v>
      </c>
    </row>
    <row r="5" spans="1:29" ht="15">
      <c r="A5" s="515"/>
      <c r="B5" s="516"/>
      <c r="C5" s="3416" t="s">
        <v>2926</v>
      </c>
      <c r="D5" s="3417"/>
      <c r="E5" s="3431" t="s">
        <v>2927</v>
      </c>
      <c r="F5" s="3432"/>
      <c r="G5" s="3416" t="s">
        <v>2928</v>
      </c>
      <c r="H5" s="3417"/>
      <c r="I5" s="3416" t="s">
        <v>2929</v>
      </c>
      <c r="J5" s="3417"/>
      <c r="K5" s="514"/>
      <c r="L5" s="2135"/>
      <c r="M5" s="2136"/>
      <c r="N5" s="2136"/>
      <c r="O5" s="2136"/>
      <c r="P5" s="3409"/>
      <c r="Q5" s="3410"/>
      <c r="R5" s="3395"/>
      <c r="S5" s="3396"/>
      <c r="T5" s="3395"/>
      <c r="U5" s="3396"/>
      <c r="V5" s="3413"/>
      <c r="W5" s="3413"/>
      <c r="X5" s="1568"/>
      <c r="Y5" s="3395"/>
      <c r="Z5" s="3396"/>
      <c r="AA5" s="3389"/>
      <c r="AB5" s="3413"/>
      <c r="AC5" s="3389"/>
    </row>
    <row r="6" spans="1:29" ht="15.75" thickBot="1">
      <c r="A6" s="517"/>
      <c r="B6" s="518"/>
      <c r="C6" s="3414" t="s">
        <v>2930</v>
      </c>
      <c r="D6" s="3415"/>
      <c r="E6" s="3433" t="s">
        <v>2930</v>
      </c>
      <c r="F6" s="3434"/>
      <c r="G6" s="3414" t="s">
        <v>2930</v>
      </c>
      <c r="H6" s="3415"/>
      <c r="I6" s="3414" t="s">
        <v>2930</v>
      </c>
      <c r="J6" s="3415"/>
      <c r="K6" s="514" t="s">
        <v>528</v>
      </c>
      <c r="L6" s="2135"/>
      <c r="M6" s="2136"/>
      <c r="N6" s="2136"/>
      <c r="O6" s="2136"/>
      <c r="P6" s="3411"/>
      <c r="Q6" s="3412"/>
      <c r="R6" s="3395"/>
      <c r="S6" s="3396"/>
      <c r="T6" s="3397"/>
      <c r="U6" s="3398"/>
      <c r="V6" s="3413"/>
      <c r="W6" s="3413"/>
      <c r="X6" s="1568"/>
      <c r="Y6" s="3397"/>
      <c r="Z6" s="3398"/>
      <c r="AA6" s="3390"/>
      <c r="AB6" s="3413"/>
      <c r="AC6" s="3390"/>
    </row>
    <row r="7" spans="1:29" s="1220" customFormat="1" ht="15.75" thickBot="1">
      <c r="A7" s="2938"/>
      <c r="B7" s="2945" t="s">
        <v>529</v>
      </c>
      <c r="C7" s="519">
        <f>'数据-取费表'!B2</f>
        <v>43210</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1" t="s">
        <v>530</v>
      </c>
      <c r="Q7" s="3400"/>
      <c r="R7" s="1569" t="s">
        <v>8</v>
      </c>
      <c r="S7" s="1570">
        <f t="shared" ref="S7:S15" si="0">F7</f>
        <v>0</v>
      </c>
      <c r="T7" s="1569" t="s">
        <v>8</v>
      </c>
      <c r="U7" s="1570">
        <f t="shared" ref="U7:U15" si="1">H7</f>
        <v>0</v>
      </c>
      <c r="V7" s="1569" t="s">
        <v>8</v>
      </c>
      <c r="W7" s="1570">
        <f t="shared" ref="W7:W15"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1" t="s">
        <v>533</v>
      </c>
      <c r="Q8" s="3392"/>
      <c r="R8" s="1569" t="s">
        <v>8</v>
      </c>
      <c r="S8" s="1570">
        <f t="shared" si="0"/>
        <v>0</v>
      </c>
      <c r="T8" s="1569" t="s">
        <v>8</v>
      </c>
      <c r="U8" s="1570">
        <f t="shared" si="1"/>
        <v>0</v>
      </c>
      <c r="V8" s="1569" t="s">
        <v>8</v>
      </c>
      <c r="W8" s="1570">
        <f t="shared" si="2"/>
        <v>0</v>
      </c>
      <c r="X8" s="1571"/>
      <c r="Y8" s="3391" t="s">
        <v>533</v>
      </c>
      <c r="Z8" s="3392"/>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99" t="s">
        <v>535</v>
      </c>
      <c r="Q9" s="1151" t="str">
        <f t="shared" ref="Q9:Q15" si="6">B9</f>
        <v>用途</v>
      </c>
      <c r="R9" s="1569" t="s">
        <v>8</v>
      </c>
      <c r="S9" s="1570">
        <f t="shared" si="0"/>
        <v>100</v>
      </c>
      <c r="T9" s="1569" t="s">
        <v>8</v>
      </c>
      <c r="U9" s="1570">
        <f t="shared" si="1"/>
        <v>100</v>
      </c>
      <c r="V9" s="1569" t="s">
        <v>8</v>
      </c>
      <c r="W9" s="1570">
        <f t="shared" si="2"/>
        <v>100</v>
      </c>
      <c r="X9" s="1571"/>
      <c r="Y9" s="335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1" t="s">
        <v>540</v>
      </c>
      <c r="Q15" s="1573" t="str">
        <f t="shared" si="6"/>
        <v>商业繁华度</v>
      </c>
      <c r="R15" s="1574" t="s">
        <v>8</v>
      </c>
      <c r="S15" s="1575">
        <f t="shared" si="0"/>
        <v>100</v>
      </c>
      <c r="T15" s="1574" t="s">
        <v>8</v>
      </c>
      <c r="U15" s="1575">
        <f t="shared" si="1"/>
        <v>100</v>
      </c>
      <c r="V15" s="1574" t="s">
        <v>8</v>
      </c>
      <c r="W15" s="1575">
        <f t="shared" si="2"/>
        <v>100</v>
      </c>
      <c r="X15" s="1568"/>
      <c r="Y15" s="3401"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2"/>
      <c r="Q21" s="2605" t="str">
        <f>B21</f>
        <v>基础设施水平</v>
      </c>
      <c r="R21" s="1574" t="s">
        <v>8</v>
      </c>
      <c r="S21" s="1575">
        <f>F21</f>
        <v>100</v>
      </c>
      <c r="T21" s="1574" t="s">
        <v>8</v>
      </c>
      <c r="U21" s="1575">
        <f>H21</f>
        <v>100</v>
      </c>
      <c r="V21" s="1574" t="s">
        <v>8</v>
      </c>
      <c r="W21" s="1575">
        <f>J21</f>
        <v>100</v>
      </c>
      <c r="X21" s="2607"/>
      <c r="Y21" s="3402"/>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02"/>
      <c r="Q22" s="2605"/>
      <c r="R22" s="1574"/>
      <c r="S22" s="1575"/>
      <c r="T22" s="1574"/>
      <c r="U22" s="1575"/>
      <c r="V22" s="1574"/>
      <c r="W22" s="1575"/>
      <c r="X22" s="2607"/>
      <c r="Y22" s="3402"/>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2"/>
      <c r="Q23" s="1573" t="str">
        <f>B23</f>
        <v>自然及人文环境</v>
      </c>
      <c r="R23" s="1574" t="s">
        <v>8</v>
      </c>
      <c r="S23" s="1575">
        <f>F23</f>
        <v>100</v>
      </c>
      <c r="T23" s="1574" t="s">
        <v>8</v>
      </c>
      <c r="U23" s="1575">
        <f>H23</f>
        <v>100</v>
      </c>
      <c r="V23" s="1574" t="s">
        <v>8</v>
      </c>
      <c r="W23" s="1575">
        <f>J23</f>
        <v>100</v>
      </c>
      <c r="X23" s="1568"/>
      <c r="Y23" s="340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2"/>
      <c r="Q25" s="1573" t="str">
        <f t="shared" ref="Q25:Q46" si="11">B25</f>
        <v>临街状况</v>
      </c>
      <c r="R25" s="1574" t="s">
        <v>8</v>
      </c>
      <c r="S25" s="1575">
        <f>F25</f>
        <v>100</v>
      </c>
      <c r="T25" s="1574" t="s">
        <v>8</v>
      </c>
      <c r="U25" s="1575">
        <f>H25</f>
        <v>100</v>
      </c>
      <c r="V25" s="1574" t="s">
        <v>8</v>
      </c>
      <c r="W25" s="1575">
        <f>J25</f>
        <v>100</v>
      </c>
      <c r="X25" s="1568"/>
      <c r="Y25" s="3402"/>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2"/>
      <c r="Q26" s="1573" t="str">
        <f t="shared" si="11"/>
        <v>平面位置/可视性</v>
      </c>
      <c r="R26" s="1574" t="s">
        <v>8</v>
      </c>
      <c r="S26" s="1575">
        <f>F26</f>
        <v>100</v>
      </c>
      <c r="T26" s="1574" t="s">
        <v>8</v>
      </c>
      <c r="U26" s="1575">
        <f>H26</f>
        <v>100</v>
      </c>
      <c r="V26" s="1574" t="s">
        <v>8</v>
      </c>
      <c r="W26" s="1575">
        <f>J26</f>
        <v>100</v>
      </c>
      <c r="X26" s="1568"/>
      <c r="Y26" s="3402"/>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2"/>
      <c r="Q27" s="1151" t="str">
        <f t="shared" si="11"/>
        <v>人流量</v>
      </c>
      <c r="R27" s="1569" t="s">
        <v>8</v>
      </c>
      <c r="S27" s="1570">
        <f>F27</f>
        <v>100</v>
      </c>
      <c r="T27" s="1569" t="s">
        <v>8</v>
      </c>
      <c r="U27" s="1570">
        <f>H27</f>
        <v>100</v>
      </c>
      <c r="V27" s="1569" t="s">
        <v>8</v>
      </c>
      <c r="W27" s="1570">
        <f>J27</f>
        <v>100</v>
      </c>
      <c r="X27" s="1571"/>
      <c r="Y27" s="3402"/>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2"/>
      <c r="Q29" s="1573">
        <f t="shared" si="11"/>
        <v>111</v>
      </c>
      <c r="R29" s="1574" t="s">
        <v>8</v>
      </c>
      <c r="S29" s="1575">
        <f t="shared" si="12"/>
        <v>100</v>
      </c>
      <c r="T29" s="1574" t="s">
        <v>8</v>
      </c>
      <c r="U29" s="1575">
        <f t="shared" si="13"/>
        <v>100</v>
      </c>
      <c r="V29" s="1574" t="s">
        <v>8</v>
      </c>
      <c r="W29" s="1575">
        <f t="shared" si="14"/>
        <v>100</v>
      </c>
      <c r="X29" s="1568"/>
      <c r="Y29" s="340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3" t="s">
        <v>550</v>
      </c>
      <c r="Q32" s="1573" t="str">
        <f t="shared" si="11"/>
        <v>商业类型</v>
      </c>
      <c r="R32" s="1574" t="s">
        <v>8</v>
      </c>
      <c r="S32" s="1575">
        <f t="shared" si="12"/>
        <v>100</v>
      </c>
      <c r="T32" s="1574" t="s">
        <v>8</v>
      </c>
      <c r="U32" s="1575">
        <f t="shared" si="13"/>
        <v>100</v>
      </c>
      <c r="V32" s="1574" t="s">
        <v>8</v>
      </c>
      <c r="W32" s="1575">
        <f t="shared" si="14"/>
        <v>100</v>
      </c>
      <c r="X32" s="1568"/>
      <c r="Y32" s="3404"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4"/>
      <c r="Q33" s="1606" t="str">
        <f t="shared" si="11"/>
        <v>项目建筑规模</v>
      </c>
      <c r="R33" s="1578" t="s">
        <v>8</v>
      </c>
      <c r="S33" s="1579" t="e">
        <f t="shared" si="12"/>
        <v>#N/A</v>
      </c>
      <c r="T33" s="1578" t="s">
        <v>8</v>
      </c>
      <c r="U33" s="1579" t="e">
        <f t="shared" si="13"/>
        <v>#N/A</v>
      </c>
      <c r="V33" s="1578" t="s">
        <v>8</v>
      </c>
      <c r="W33" s="1579" t="e">
        <f t="shared" si="14"/>
        <v>#N/A</v>
      </c>
      <c r="X33" s="1580"/>
      <c r="Y33" s="3404"/>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4"/>
      <c r="Q34" s="1573" t="str">
        <f t="shared" si="11"/>
        <v>建筑结构</v>
      </c>
      <c r="R34" s="1574" t="s">
        <v>8</v>
      </c>
      <c r="S34" s="1575">
        <f t="shared" si="12"/>
        <v>100</v>
      </c>
      <c r="T34" s="1574" t="s">
        <v>8</v>
      </c>
      <c r="U34" s="1575">
        <f t="shared" si="13"/>
        <v>100</v>
      </c>
      <c r="V34" s="1574" t="s">
        <v>8</v>
      </c>
      <c r="W34" s="1575">
        <f t="shared" si="14"/>
        <v>100</v>
      </c>
      <c r="X34" s="1568"/>
      <c r="Y34" s="3404"/>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4"/>
      <c r="Q35" s="1573" t="str">
        <f t="shared" si="11"/>
        <v>公共部分装修</v>
      </c>
      <c r="R35" s="1574" t="s">
        <v>8</v>
      </c>
      <c r="S35" s="1575">
        <f t="shared" si="12"/>
        <v>100</v>
      </c>
      <c r="T35" s="1574" t="s">
        <v>8</v>
      </c>
      <c r="U35" s="1575">
        <f t="shared" si="13"/>
        <v>100</v>
      </c>
      <c r="V35" s="1574" t="s">
        <v>8</v>
      </c>
      <c r="W35" s="1575">
        <f t="shared" si="14"/>
        <v>100</v>
      </c>
      <c r="X35" s="1568"/>
      <c r="Y35" s="3404"/>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4"/>
      <c r="Q36" s="1573" t="str">
        <f t="shared" si="11"/>
        <v>成新度</v>
      </c>
      <c r="R36" s="1574" t="s">
        <v>8</v>
      </c>
      <c r="S36" s="1575" t="e">
        <f t="shared" si="12"/>
        <v>#N/A</v>
      </c>
      <c r="T36" s="1574" t="s">
        <v>8</v>
      </c>
      <c r="U36" s="1575" t="e">
        <f t="shared" si="13"/>
        <v>#N/A</v>
      </c>
      <c r="V36" s="1574" t="s">
        <v>8</v>
      </c>
      <c r="W36" s="1575" t="e">
        <f t="shared" si="14"/>
        <v>#N/A</v>
      </c>
      <c r="X36" s="1568"/>
      <c r="Y36" s="3404"/>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4"/>
      <c r="Q37" s="1151" t="str">
        <f t="shared" si="11"/>
        <v>市政基础设施</v>
      </c>
      <c r="R37" s="1569" t="s">
        <v>8</v>
      </c>
      <c r="S37" s="1570">
        <f t="shared" si="12"/>
        <v>100</v>
      </c>
      <c r="T37" s="1569" t="s">
        <v>8</v>
      </c>
      <c r="U37" s="1570">
        <f t="shared" si="13"/>
        <v>100</v>
      </c>
      <c r="V37" s="1569" t="s">
        <v>8</v>
      </c>
      <c r="W37" s="1570">
        <f t="shared" si="14"/>
        <v>100</v>
      </c>
      <c r="X37" s="1571"/>
      <c r="Y37" s="3404"/>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4" t="s">
        <v>766</v>
      </c>
      <c r="Q38" s="1573" t="str">
        <f t="shared" si="11"/>
        <v>业态</v>
      </c>
      <c r="R38" s="1574" t="s">
        <v>8</v>
      </c>
      <c r="S38" s="1575">
        <f t="shared" si="12"/>
        <v>100</v>
      </c>
      <c r="T38" s="1574" t="s">
        <v>8</v>
      </c>
      <c r="U38" s="1575">
        <f t="shared" si="13"/>
        <v>100</v>
      </c>
      <c r="V38" s="1574" t="s">
        <v>8</v>
      </c>
      <c r="W38" s="1575">
        <f t="shared" si="14"/>
        <v>100</v>
      </c>
      <c r="X38" s="1568"/>
      <c r="Y38" s="3404"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4"/>
      <c r="Q39" s="1573" t="str">
        <f t="shared" si="11"/>
        <v>层高</v>
      </c>
      <c r="R39" s="1574" t="s">
        <v>8</v>
      </c>
      <c r="S39" s="1575">
        <f t="shared" si="12"/>
        <v>100</v>
      </c>
      <c r="T39" s="1574" t="s">
        <v>8</v>
      </c>
      <c r="U39" s="1575">
        <f t="shared" si="13"/>
        <v>100</v>
      </c>
      <c r="V39" s="1574" t="s">
        <v>8</v>
      </c>
      <c r="W39" s="1575">
        <f t="shared" si="14"/>
        <v>100</v>
      </c>
      <c r="X39" s="1568"/>
      <c r="Y39" s="3404"/>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4"/>
      <c r="Q40" s="1573" t="str">
        <f t="shared" si="11"/>
        <v>单套建筑面积</v>
      </c>
      <c r="R40" s="1574" t="s">
        <v>8</v>
      </c>
      <c r="S40" s="1575">
        <f t="shared" si="12"/>
        <v>100</v>
      </c>
      <c r="T40" s="1574" t="s">
        <v>8</v>
      </c>
      <c r="U40" s="1575">
        <f t="shared" si="13"/>
        <v>100</v>
      </c>
      <c r="V40" s="1574" t="s">
        <v>8</v>
      </c>
      <c r="W40" s="1575">
        <f t="shared" si="14"/>
        <v>100</v>
      </c>
      <c r="X40" s="1568"/>
      <c r="Y40" s="3404"/>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4"/>
      <c r="Q41" s="1606" t="str">
        <f t="shared" si="11"/>
        <v>进深比</v>
      </c>
      <c r="R41" s="1578" t="s">
        <v>8</v>
      </c>
      <c r="S41" s="1579">
        <f t="shared" si="12"/>
        <v>100</v>
      </c>
      <c r="T41" s="1578" t="s">
        <v>8</v>
      </c>
      <c r="U41" s="1579">
        <f t="shared" si="13"/>
        <v>100</v>
      </c>
      <c r="V41" s="1578" t="s">
        <v>8</v>
      </c>
      <c r="W41" s="1579">
        <f t="shared" si="14"/>
        <v>100</v>
      </c>
      <c r="X41" s="1580"/>
      <c r="Y41" s="3404"/>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4"/>
      <c r="Q42" s="1573" t="str">
        <f t="shared" si="11"/>
        <v>内部装修</v>
      </c>
      <c r="R42" s="1574" t="s">
        <v>8</v>
      </c>
      <c r="S42" s="1575">
        <f t="shared" si="12"/>
        <v>100</v>
      </c>
      <c r="T42" s="1574" t="s">
        <v>8</v>
      </c>
      <c r="U42" s="1575">
        <f t="shared" si="13"/>
        <v>100</v>
      </c>
      <c r="V42" s="1574" t="s">
        <v>8</v>
      </c>
      <c r="W42" s="1575">
        <f t="shared" si="14"/>
        <v>100</v>
      </c>
      <c r="X42" s="1568"/>
      <c r="Y42" s="3404"/>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4"/>
      <c r="Q43" s="1573" t="str">
        <f t="shared" si="11"/>
        <v>内部装修维护情况</v>
      </c>
      <c r="R43" s="1574" t="s">
        <v>8</v>
      </c>
      <c r="S43" s="1575">
        <f t="shared" si="12"/>
        <v>100</v>
      </c>
      <c r="T43" s="1574" t="s">
        <v>8</v>
      </c>
      <c r="U43" s="1575">
        <f t="shared" si="13"/>
        <v>100</v>
      </c>
      <c r="V43" s="1574" t="s">
        <v>8</v>
      </c>
      <c r="W43" s="1575">
        <f t="shared" si="14"/>
        <v>100</v>
      </c>
      <c r="X43" s="1568"/>
      <c r="Y43" s="340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4"/>
      <c r="Q44" s="1151">
        <f t="shared" si="11"/>
        <v>111</v>
      </c>
      <c r="R44" s="1569" t="s">
        <v>8</v>
      </c>
      <c r="S44" s="1570">
        <f t="shared" si="12"/>
        <v>100</v>
      </c>
      <c r="T44" s="1569" t="s">
        <v>8</v>
      </c>
      <c r="U44" s="1570">
        <f t="shared" si="13"/>
        <v>100</v>
      </c>
      <c r="V44" s="1569" t="s">
        <v>8</v>
      </c>
      <c r="W44" s="1570">
        <f t="shared" si="14"/>
        <v>100</v>
      </c>
      <c r="X44" s="1571"/>
      <c r="Y44" s="340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4"/>
      <c r="Q45" s="1573">
        <f t="shared" si="11"/>
        <v>111</v>
      </c>
      <c r="R45" s="1574" t="s">
        <v>8</v>
      </c>
      <c r="S45" s="1575">
        <f t="shared" si="12"/>
        <v>100</v>
      </c>
      <c r="T45" s="1574" t="s">
        <v>8</v>
      </c>
      <c r="U45" s="1575">
        <f t="shared" si="13"/>
        <v>100</v>
      </c>
      <c r="V45" s="1574" t="s">
        <v>8</v>
      </c>
      <c r="W45" s="1575">
        <f t="shared" si="14"/>
        <v>100</v>
      </c>
      <c r="X45" s="1568"/>
      <c r="Y45" s="340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0"/>
      <c r="Q46" s="1573">
        <f t="shared" si="11"/>
        <v>111</v>
      </c>
      <c r="R46" s="1574" t="s">
        <v>8</v>
      </c>
      <c r="S46" s="1575">
        <f t="shared" si="12"/>
        <v>100</v>
      </c>
      <c r="T46" s="1574" t="s">
        <v>8</v>
      </c>
      <c r="U46" s="1575">
        <f t="shared" si="13"/>
        <v>100</v>
      </c>
      <c r="V46" s="1574" t="s">
        <v>8</v>
      </c>
      <c r="W46" s="1575">
        <f t="shared" si="14"/>
        <v>100</v>
      </c>
      <c r="X46" s="1568"/>
      <c r="Y46" s="3500"/>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99" t="str">
        <f>A47</f>
        <v>成交单价（元/平方米）</v>
      </c>
      <c r="Q47" s="3399"/>
      <c r="R47" s="3499">
        <f>E47</f>
        <v>0</v>
      </c>
      <c r="S47" s="3499"/>
      <c r="T47" s="3499">
        <f>G47</f>
        <v>0</v>
      </c>
      <c r="U47" s="3499"/>
      <c r="V47" s="3499">
        <f>I47</f>
        <v>0</v>
      </c>
      <c r="W47" s="3499"/>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399" t="str">
        <f>A48</f>
        <v>比较价格（元/平方米）</v>
      </c>
      <c r="Q48" s="3399"/>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420" t="str">
        <f>A49</f>
        <v>估价对象XX用房的比较价格（楼面单价，元/平方米）</v>
      </c>
      <c r="Q49" s="3421"/>
      <c r="R49" s="3498" t="e">
        <f>IF(F1="售价",ROUND(AVERAGE(R48:V48),0),ROUND(AVERAGE(R48:V48),1))</f>
        <v>#DIV/0!</v>
      </c>
      <c r="S49" s="3498"/>
      <c r="T49" s="3498"/>
      <c r="U49" s="3498"/>
      <c r="V49" s="3498"/>
      <c r="W49" s="3498"/>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2018-4</v>
      </c>
      <c r="D58" s="2830">
        <f>EDATE(C58,-1)</f>
        <v>43160</v>
      </c>
      <c r="E58" s="2830">
        <f t="shared" ref="E58:O58" si="16">EDATE(D58,-1)</f>
        <v>43132</v>
      </c>
      <c r="F58" s="2830">
        <f t="shared" si="16"/>
        <v>43101</v>
      </c>
      <c r="G58" s="2830">
        <f t="shared" si="16"/>
        <v>43070</v>
      </c>
      <c r="H58" s="2830">
        <f t="shared" si="16"/>
        <v>43040</v>
      </c>
      <c r="I58" s="2830">
        <f t="shared" si="16"/>
        <v>43009</v>
      </c>
      <c r="J58" s="2830">
        <f t="shared" si="16"/>
        <v>42979</v>
      </c>
      <c r="K58" s="2830">
        <f t="shared" si="16"/>
        <v>42948</v>
      </c>
      <c r="L58" s="2830">
        <f t="shared" si="16"/>
        <v>42917</v>
      </c>
      <c r="M58" s="2830">
        <f t="shared" si="16"/>
        <v>42887</v>
      </c>
      <c r="N58" s="2830">
        <f t="shared" si="16"/>
        <v>42856</v>
      </c>
      <c r="O58" s="2830">
        <f t="shared" si="16"/>
        <v>42826</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405" t="s">
        <v>522</v>
      </c>
      <c r="D4" s="3406"/>
      <c r="E4" s="3429" t="s">
        <v>523</v>
      </c>
      <c r="F4" s="3430"/>
      <c r="G4" s="3405" t="s">
        <v>524</v>
      </c>
      <c r="H4" s="3406"/>
      <c r="I4" s="3405" t="s">
        <v>525</v>
      </c>
      <c r="J4" s="3406"/>
      <c r="K4" s="514" t="s">
        <v>526</v>
      </c>
      <c r="L4" s="2135"/>
      <c r="M4" s="2136"/>
      <c r="N4" s="2136"/>
      <c r="O4" s="2136"/>
      <c r="P4" s="3501" t="s">
        <v>527</v>
      </c>
      <c r="Q4" s="3408"/>
      <c r="R4" s="3393" t="s">
        <v>523</v>
      </c>
      <c r="S4" s="3394"/>
      <c r="T4" s="3393" t="s">
        <v>524</v>
      </c>
      <c r="U4" s="3394"/>
      <c r="V4" s="3413" t="s">
        <v>525</v>
      </c>
      <c r="W4" s="3413"/>
      <c r="X4" s="1568"/>
      <c r="Y4" s="3393" t="s">
        <v>527</v>
      </c>
      <c r="Z4" s="3394"/>
      <c r="AA4" s="3388" t="s">
        <v>523</v>
      </c>
      <c r="AB4" s="3388" t="s">
        <v>524</v>
      </c>
      <c r="AC4" s="3388" t="s">
        <v>525</v>
      </c>
    </row>
    <row r="5" spans="1:29" ht="15">
      <c r="A5" s="515"/>
      <c r="B5" s="516"/>
      <c r="C5" s="3416" t="s">
        <v>2926</v>
      </c>
      <c r="D5" s="3417"/>
      <c r="E5" s="3431" t="s">
        <v>2927</v>
      </c>
      <c r="F5" s="3432"/>
      <c r="G5" s="3416" t="s">
        <v>2928</v>
      </c>
      <c r="H5" s="3417"/>
      <c r="I5" s="3416" t="s">
        <v>2929</v>
      </c>
      <c r="J5" s="3417"/>
      <c r="K5" s="514"/>
      <c r="L5" s="2135"/>
      <c r="M5" s="2136"/>
      <c r="N5" s="2136"/>
      <c r="O5" s="2136"/>
      <c r="P5" s="3502"/>
      <c r="Q5" s="3410"/>
      <c r="R5" s="3395"/>
      <c r="S5" s="3396"/>
      <c r="T5" s="3395"/>
      <c r="U5" s="3396"/>
      <c r="V5" s="3413"/>
      <c r="W5" s="3413"/>
      <c r="X5" s="1568"/>
      <c r="Y5" s="3395"/>
      <c r="Z5" s="3396"/>
      <c r="AA5" s="3389"/>
      <c r="AB5" s="3389"/>
      <c r="AC5" s="3389"/>
    </row>
    <row r="6" spans="1:29" ht="15.75" thickBot="1">
      <c r="A6" s="517"/>
      <c r="B6" s="518"/>
      <c r="C6" s="3414" t="s">
        <v>2930</v>
      </c>
      <c r="D6" s="3415"/>
      <c r="E6" s="3433" t="s">
        <v>2930</v>
      </c>
      <c r="F6" s="3434"/>
      <c r="G6" s="3414" t="s">
        <v>2930</v>
      </c>
      <c r="H6" s="3415"/>
      <c r="I6" s="3414" t="s">
        <v>2930</v>
      </c>
      <c r="J6" s="3415"/>
      <c r="K6" s="514" t="s">
        <v>528</v>
      </c>
      <c r="L6" s="2135"/>
      <c r="M6" s="2136"/>
      <c r="N6" s="2136"/>
      <c r="O6" s="2136"/>
      <c r="P6" s="3503"/>
      <c r="Q6" s="3412"/>
      <c r="R6" s="3395"/>
      <c r="S6" s="3396"/>
      <c r="T6" s="3397"/>
      <c r="U6" s="3398"/>
      <c r="V6" s="3413"/>
      <c r="W6" s="3413"/>
      <c r="X6" s="1568"/>
      <c r="Y6" s="3397"/>
      <c r="Z6" s="3398"/>
      <c r="AA6" s="3390"/>
      <c r="AB6" s="3390"/>
      <c r="AC6" s="3390"/>
    </row>
    <row r="7" spans="1:29" s="1220" customFormat="1" ht="15.75" thickBot="1">
      <c r="A7" s="2938"/>
      <c r="B7" s="2945" t="s">
        <v>529</v>
      </c>
      <c r="C7" s="519">
        <f>'数据-取费表'!B2</f>
        <v>43210</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0" t="s">
        <v>530</v>
      </c>
      <c r="Q7" s="3400"/>
      <c r="R7" s="1569" t="s">
        <v>8</v>
      </c>
      <c r="S7" s="1570">
        <f t="shared" ref="S7:S15" si="0">F7</f>
        <v>0</v>
      </c>
      <c r="T7" s="1569" t="s">
        <v>8</v>
      </c>
      <c r="U7" s="1570">
        <f t="shared" ref="U7:U15" si="1">H7</f>
        <v>0</v>
      </c>
      <c r="V7" s="1569" t="s">
        <v>8</v>
      </c>
      <c r="W7" s="1570">
        <f t="shared" ref="W7:W15"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0" t="s">
        <v>533</v>
      </c>
      <c r="Q8" s="3392"/>
      <c r="R8" s="1569" t="s">
        <v>8</v>
      </c>
      <c r="S8" s="1570">
        <f t="shared" si="0"/>
        <v>0</v>
      </c>
      <c r="T8" s="1569" t="s">
        <v>8</v>
      </c>
      <c r="U8" s="1570">
        <f t="shared" si="1"/>
        <v>0</v>
      </c>
      <c r="V8" s="1569" t="s">
        <v>8</v>
      </c>
      <c r="W8" s="1570">
        <f t="shared" si="2"/>
        <v>0</v>
      </c>
      <c r="X8" s="1571"/>
      <c r="Y8" s="3391" t="s">
        <v>533</v>
      </c>
      <c r="Z8" s="3392"/>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99" t="s">
        <v>535</v>
      </c>
      <c r="Q9" s="1151" t="str">
        <f t="shared" ref="Q9:Q15" si="6">B9</f>
        <v>用途</v>
      </c>
      <c r="R9" s="1569" t="s">
        <v>8</v>
      </c>
      <c r="S9" s="1570">
        <f t="shared" si="0"/>
        <v>100</v>
      </c>
      <c r="T9" s="1569" t="s">
        <v>8</v>
      </c>
      <c r="U9" s="1570">
        <f t="shared" si="1"/>
        <v>100</v>
      </c>
      <c r="V9" s="1569" t="s">
        <v>8</v>
      </c>
      <c r="W9" s="1570">
        <f t="shared" si="2"/>
        <v>100</v>
      </c>
      <c r="X9" s="1571"/>
      <c r="Y9" s="335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1" t="s">
        <v>540</v>
      </c>
      <c r="Q15" s="1573" t="str">
        <f t="shared" si="6"/>
        <v>办公集聚程度</v>
      </c>
      <c r="R15" s="1574" t="s">
        <v>8</v>
      </c>
      <c r="S15" s="1575">
        <f t="shared" si="0"/>
        <v>100</v>
      </c>
      <c r="T15" s="1574" t="s">
        <v>8</v>
      </c>
      <c r="U15" s="1575">
        <f t="shared" si="1"/>
        <v>100</v>
      </c>
      <c r="V15" s="1574" t="s">
        <v>8</v>
      </c>
      <c r="W15" s="1575">
        <f t="shared" si="2"/>
        <v>100</v>
      </c>
      <c r="X15" s="1568"/>
      <c r="Y15" s="3401"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2"/>
      <c r="Q16" s="1573"/>
      <c r="R16" s="1574"/>
      <c r="S16" s="1575"/>
      <c r="T16" s="1574"/>
      <c r="U16" s="1575"/>
      <c r="V16" s="1574"/>
      <c r="W16" s="1575"/>
      <c r="X16" s="1568"/>
      <c r="Y16" s="3402"/>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2"/>
      <c r="Q18" s="1573"/>
      <c r="R18" s="1574"/>
      <c r="S18" s="1575"/>
      <c r="T18" s="1574"/>
      <c r="U18" s="1575"/>
      <c r="V18" s="1574"/>
      <c r="W18" s="1575"/>
      <c r="X18" s="1568"/>
      <c r="Y18" s="3402"/>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2"/>
      <c r="Q20" s="1573"/>
      <c r="R20" s="1574"/>
      <c r="S20" s="1575"/>
      <c r="T20" s="1574"/>
      <c r="U20" s="1575"/>
      <c r="V20" s="1574"/>
      <c r="W20" s="1575"/>
      <c r="X20" s="1568"/>
      <c r="Y20" s="3402"/>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2"/>
      <c r="Q21" s="2605" t="str">
        <f>B21</f>
        <v>基础设施水平</v>
      </c>
      <c r="R21" s="1574" t="s">
        <v>8</v>
      </c>
      <c r="S21" s="1575">
        <f>F21</f>
        <v>100</v>
      </c>
      <c r="T21" s="1574" t="s">
        <v>8</v>
      </c>
      <c r="U21" s="1575">
        <f>H21</f>
        <v>100</v>
      </c>
      <c r="V21" s="1574" t="s">
        <v>8</v>
      </c>
      <c r="W21" s="1575">
        <f>J21</f>
        <v>100</v>
      </c>
      <c r="X21" s="2607"/>
      <c r="Y21" s="3402"/>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02"/>
      <c r="Q22" s="2605"/>
      <c r="R22" s="1574"/>
      <c r="S22" s="1575"/>
      <c r="T22" s="1574"/>
      <c r="U22" s="1575"/>
      <c r="V22" s="1574"/>
      <c r="W22" s="1575"/>
      <c r="X22" s="2607"/>
      <c r="Y22" s="3402"/>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2"/>
      <c r="Q24" s="1573"/>
      <c r="R24" s="1574"/>
      <c r="S24" s="1575"/>
      <c r="T24" s="1574"/>
      <c r="U24" s="1575"/>
      <c r="V24" s="1574"/>
      <c r="W24" s="1575"/>
      <c r="X24" s="1568"/>
      <c r="Y24" s="3402"/>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2"/>
      <c r="Q25" s="1573" t="str">
        <f>B25</f>
        <v>毗邻道路的类型与等级</v>
      </c>
      <c r="R25" s="1574" t="s">
        <v>8</v>
      </c>
      <c r="S25" s="1575">
        <f>F25</f>
        <v>100</v>
      </c>
      <c r="T25" s="1574" t="s">
        <v>8</v>
      </c>
      <c r="U25" s="1575">
        <f>H25</f>
        <v>100</v>
      </c>
      <c r="V25" s="1574" t="s">
        <v>8</v>
      </c>
      <c r="W25" s="1575">
        <f>J25</f>
        <v>100</v>
      </c>
      <c r="X25" s="1568"/>
      <c r="Y25" s="340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2"/>
      <c r="Q26" s="1573"/>
      <c r="R26" s="1574"/>
      <c r="S26" s="1575"/>
      <c r="T26" s="1574"/>
      <c r="U26" s="1575"/>
      <c r="V26" s="1574"/>
      <c r="W26" s="1575"/>
      <c r="X26" s="1568"/>
      <c r="Y26" s="3402"/>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2"/>
      <c r="Q27" s="1573" t="str">
        <f t="shared" ref="Q27:Q47" si="11">B27</f>
        <v>楼层</v>
      </c>
      <c r="R27" s="1574" t="s">
        <v>8</v>
      </c>
      <c r="S27" s="1575">
        <f>F27</f>
        <v>100</v>
      </c>
      <c r="T27" s="1574" t="s">
        <v>8</v>
      </c>
      <c r="U27" s="1575">
        <f>H27</f>
        <v>100</v>
      </c>
      <c r="V27" s="1574" t="s">
        <v>8</v>
      </c>
      <c r="W27" s="1575">
        <f>J27</f>
        <v>100</v>
      </c>
      <c r="X27" s="1568"/>
      <c r="Y27" s="3402"/>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2"/>
      <c r="Q28" s="1151" t="str">
        <f t="shared" si="11"/>
        <v>朝向</v>
      </c>
      <c r="R28" s="1569" t="s">
        <v>8</v>
      </c>
      <c r="S28" s="1570">
        <f>F28</f>
        <v>100</v>
      </c>
      <c r="T28" s="1569" t="s">
        <v>8</v>
      </c>
      <c r="U28" s="1570">
        <f>H28</f>
        <v>100</v>
      </c>
      <c r="V28" s="1569" t="s">
        <v>8</v>
      </c>
      <c r="W28" s="1570">
        <f>J28</f>
        <v>100</v>
      </c>
      <c r="X28" s="1571"/>
      <c r="Y28" s="340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2"/>
      <c r="Q29" s="1573">
        <f t="shared" si="11"/>
        <v>111</v>
      </c>
      <c r="R29" s="1574" t="s">
        <v>8</v>
      </c>
      <c r="S29" s="1575">
        <f t="shared" ref="S29:S47" si="12">F29</f>
        <v>100</v>
      </c>
      <c r="T29" s="1574" t="s">
        <v>8</v>
      </c>
      <c r="U29" s="1575">
        <f t="shared" ref="U29:U47" si="13">H29</f>
        <v>100</v>
      </c>
      <c r="V29" s="1574" t="s">
        <v>8</v>
      </c>
      <c r="W29" s="1575">
        <f t="shared" ref="W29:W47" si="14">J29</f>
        <v>100</v>
      </c>
      <c r="X29" s="1568"/>
      <c r="Y29" s="340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2"/>
      <c r="Q30" s="1573">
        <f t="shared" si="11"/>
        <v>111</v>
      </c>
      <c r="R30" s="1574" t="s">
        <v>8</v>
      </c>
      <c r="S30" s="1575">
        <f t="shared" si="12"/>
        <v>100</v>
      </c>
      <c r="T30" s="1574" t="s">
        <v>8</v>
      </c>
      <c r="U30" s="1575">
        <f t="shared" si="13"/>
        <v>100</v>
      </c>
      <c r="V30" s="1574" t="s">
        <v>8</v>
      </c>
      <c r="W30" s="1575">
        <f t="shared" si="14"/>
        <v>100</v>
      </c>
      <c r="X30" s="1568"/>
      <c r="Y30" s="340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2"/>
      <c r="Q31" s="1573">
        <f t="shared" si="11"/>
        <v>111</v>
      </c>
      <c r="R31" s="1574" t="s">
        <v>8</v>
      </c>
      <c r="S31" s="1575">
        <f t="shared" si="12"/>
        <v>100</v>
      </c>
      <c r="T31" s="1574" t="s">
        <v>8</v>
      </c>
      <c r="U31" s="1575">
        <f t="shared" si="13"/>
        <v>100</v>
      </c>
      <c r="V31" s="1574" t="s">
        <v>8</v>
      </c>
      <c r="W31" s="1575">
        <f t="shared" si="14"/>
        <v>100</v>
      </c>
      <c r="X31" s="1568"/>
      <c r="Y31" s="340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2"/>
      <c r="Q32" s="1573">
        <f t="shared" si="11"/>
        <v>111</v>
      </c>
      <c r="R32" s="1574" t="s">
        <v>8</v>
      </c>
      <c r="S32" s="1575">
        <f t="shared" si="12"/>
        <v>100</v>
      </c>
      <c r="T32" s="1574" t="s">
        <v>8</v>
      </c>
      <c r="U32" s="1575">
        <f t="shared" si="13"/>
        <v>100</v>
      </c>
      <c r="V32" s="1574" t="s">
        <v>8</v>
      </c>
      <c r="W32" s="1575">
        <f t="shared" si="14"/>
        <v>100</v>
      </c>
      <c r="X32" s="1568"/>
      <c r="Y32" s="3402"/>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3" t="s">
        <v>550</v>
      </c>
      <c r="Q33" s="1573" t="str">
        <f t="shared" si="11"/>
        <v>建筑类型</v>
      </c>
      <c r="R33" s="1574" t="s">
        <v>8</v>
      </c>
      <c r="S33" s="1575">
        <f t="shared" si="12"/>
        <v>100</v>
      </c>
      <c r="T33" s="1574" t="s">
        <v>8</v>
      </c>
      <c r="U33" s="1575">
        <f t="shared" si="13"/>
        <v>100</v>
      </c>
      <c r="V33" s="1574" t="s">
        <v>8</v>
      </c>
      <c r="W33" s="1575">
        <f t="shared" si="14"/>
        <v>100</v>
      </c>
      <c r="X33" s="1568"/>
      <c r="Y33" s="3404"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4"/>
      <c r="Q34" s="1606" t="str">
        <f t="shared" si="11"/>
        <v>项目建筑规模</v>
      </c>
      <c r="R34" s="1578" t="s">
        <v>8</v>
      </c>
      <c r="S34" s="1579" t="e">
        <f t="shared" si="12"/>
        <v>#N/A</v>
      </c>
      <c r="T34" s="1578" t="s">
        <v>8</v>
      </c>
      <c r="U34" s="1579" t="e">
        <f t="shared" si="13"/>
        <v>#N/A</v>
      </c>
      <c r="V34" s="1578" t="s">
        <v>8</v>
      </c>
      <c r="W34" s="1579" t="e">
        <f t="shared" si="14"/>
        <v>#N/A</v>
      </c>
      <c r="X34" s="1580"/>
      <c r="Y34" s="3404"/>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4"/>
      <c r="Q35" s="1573" t="str">
        <f t="shared" si="11"/>
        <v>建筑结构</v>
      </c>
      <c r="R35" s="1574" t="s">
        <v>8</v>
      </c>
      <c r="S35" s="1575">
        <f t="shared" si="12"/>
        <v>100</v>
      </c>
      <c r="T35" s="1574" t="s">
        <v>8</v>
      </c>
      <c r="U35" s="1575">
        <f t="shared" si="13"/>
        <v>100</v>
      </c>
      <c r="V35" s="1574" t="s">
        <v>8</v>
      </c>
      <c r="W35" s="1575">
        <f t="shared" si="14"/>
        <v>100</v>
      </c>
      <c r="X35" s="1568"/>
      <c r="Y35" s="3404"/>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4"/>
      <c r="Q36" s="1573" t="str">
        <f t="shared" si="11"/>
        <v>公共部分装修</v>
      </c>
      <c r="R36" s="1574" t="s">
        <v>8</v>
      </c>
      <c r="S36" s="1575">
        <f t="shared" si="12"/>
        <v>100</v>
      </c>
      <c r="T36" s="1574" t="s">
        <v>8</v>
      </c>
      <c r="U36" s="1575">
        <f t="shared" si="13"/>
        <v>100</v>
      </c>
      <c r="V36" s="1574" t="s">
        <v>8</v>
      </c>
      <c r="W36" s="1575">
        <f t="shared" si="14"/>
        <v>100</v>
      </c>
      <c r="X36" s="1568"/>
      <c r="Y36" s="3404"/>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4"/>
      <c r="Q37" s="1573" t="str">
        <f t="shared" si="11"/>
        <v>成新度</v>
      </c>
      <c r="R37" s="1574" t="s">
        <v>8</v>
      </c>
      <c r="S37" s="1575" t="e">
        <f t="shared" si="12"/>
        <v>#N/A</v>
      </c>
      <c r="T37" s="1574" t="s">
        <v>8</v>
      </c>
      <c r="U37" s="1575" t="e">
        <f t="shared" si="13"/>
        <v>#N/A</v>
      </c>
      <c r="V37" s="1574" t="s">
        <v>8</v>
      </c>
      <c r="W37" s="1575" t="e">
        <f t="shared" si="14"/>
        <v>#N/A</v>
      </c>
      <c r="X37" s="1568"/>
      <c r="Y37" s="3404"/>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4"/>
      <c r="Q38" s="1151" t="str">
        <f t="shared" si="11"/>
        <v>写字楼等级</v>
      </c>
      <c r="R38" s="1569" t="s">
        <v>8</v>
      </c>
      <c r="S38" s="1570">
        <f t="shared" si="12"/>
        <v>100</v>
      </c>
      <c r="T38" s="1569" t="s">
        <v>8</v>
      </c>
      <c r="U38" s="1570">
        <f t="shared" si="13"/>
        <v>100</v>
      </c>
      <c r="V38" s="1569" t="s">
        <v>8</v>
      </c>
      <c r="W38" s="1570">
        <f t="shared" si="14"/>
        <v>100</v>
      </c>
      <c r="X38" s="1571"/>
      <c r="Y38" s="3404"/>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4" t="s">
        <v>550</v>
      </c>
      <c r="Q39" s="1573" t="str">
        <f t="shared" si="11"/>
        <v>物业管理</v>
      </c>
      <c r="R39" s="1574" t="s">
        <v>8</v>
      </c>
      <c r="S39" s="1575">
        <f t="shared" si="12"/>
        <v>100</v>
      </c>
      <c r="T39" s="1574" t="s">
        <v>8</v>
      </c>
      <c r="U39" s="1575">
        <f t="shared" si="13"/>
        <v>100</v>
      </c>
      <c r="V39" s="1574" t="s">
        <v>8</v>
      </c>
      <c r="W39" s="1575">
        <f t="shared" si="14"/>
        <v>100</v>
      </c>
      <c r="X39" s="1568"/>
      <c r="Y39" s="3404"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4"/>
      <c r="Q40" s="1573" t="str">
        <f t="shared" si="11"/>
        <v>市政基础设施</v>
      </c>
      <c r="R40" s="1574" t="s">
        <v>8</v>
      </c>
      <c r="S40" s="1575">
        <f t="shared" si="12"/>
        <v>100</v>
      </c>
      <c r="T40" s="1574" t="s">
        <v>8</v>
      </c>
      <c r="U40" s="1575">
        <f t="shared" si="13"/>
        <v>100</v>
      </c>
      <c r="V40" s="1574" t="s">
        <v>8</v>
      </c>
      <c r="W40" s="1575">
        <f t="shared" si="14"/>
        <v>100</v>
      </c>
      <c r="X40" s="1568"/>
      <c r="Y40" s="3404"/>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4"/>
      <c r="Q41" s="1573" t="str">
        <f t="shared" si="11"/>
        <v>层高</v>
      </c>
      <c r="R41" s="1574" t="s">
        <v>8</v>
      </c>
      <c r="S41" s="1575">
        <f t="shared" si="12"/>
        <v>100</v>
      </c>
      <c r="T41" s="1574" t="s">
        <v>8</v>
      </c>
      <c r="U41" s="1575">
        <f t="shared" si="13"/>
        <v>100</v>
      </c>
      <c r="V41" s="1574" t="s">
        <v>8</v>
      </c>
      <c r="W41" s="1575">
        <f t="shared" si="14"/>
        <v>100</v>
      </c>
      <c r="X41" s="1568"/>
      <c r="Y41" s="3404"/>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4"/>
      <c r="Q42" s="1606" t="str">
        <f t="shared" si="11"/>
        <v>单套建筑面积</v>
      </c>
      <c r="R42" s="1578" t="s">
        <v>8</v>
      </c>
      <c r="S42" s="1579">
        <f t="shared" si="12"/>
        <v>100</v>
      </c>
      <c r="T42" s="1578" t="s">
        <v>8</v>
      </c>
      <c r="U42" s="1579">
        <f t="shared" si="13"/>
        <v>100</v>
      </c>
      <c r="V42" s="1578" t="s">
        <v>8</v>
      </c>
      <c r="W42" s="1579">
        <f t="shared" si="14"/>
        <v>100</v>
      </c>
      <c r="X42" s="1580"/>
      <c r="Y42" s="3404"/>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4"/>
      <c r="Q43" s="1573" t="str">
        <f t="shared" si="11"/>
        <v>内部装修</v>
      </c>
      <c r="R43" s="1574" t="s">
        <v>8</v>
      </c>
      <c r="S43" s="1575">
        <f t="shared" si="12"/>
        <v>100</v>
      </c>
      <c r="T43" s="1574" t="s">
        <v>8</v>
      </c>
      <c r="U43" s="1575">
        <f t="shared" si="13"/>
        <v>100</v>
      </c>
      <c r="V43" s="1574" t="s">
        <v>8</v>
      </c>
      <c r="W43" s="1575">
        <f t="shared" si="14"/>
        <v>100</v>
      </c>
      <c r="X43" s="1568"/>
      <c r="Y43" s="3404"/>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4"/>
      <c r="Q44" s="1573" t="str">
        <f t="shared" si="11"/>
        <v>内部装修维护情况</v>
      </c>
      <c r="R44" s="1574" t="s">
        <v>8</v>
      </c>
      <c r="S44" s="1575">
        <f t="shared" si="12"/>
        <v>100</v>
      </c>
      <c r="T44" s="1574" t="s">
        <v>8</v>
      </c>
      <c r="U44" s="1575">
        <f t="shared" si="13"/>
        <v>100</v>
      </c>
      <c r="V44" s="1574" t="s">
        <v>8</v>
      </c>
      <c r="W44" s="1575">
        <f t="shared" si="14"/>
        <v>100</v>
      </c>
      <c r="X44" s="1568"/>
      <c r="Y44" s="340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4"/>
      <c r="Q45" s="1151">
        <f t="shared" si="11"/>
        <v>111</v>
      </c>
      <c r="R45" s="1569" t="s">
        <v>8</v>
      </c>
      <c r="S45" s="1570">
        <f t="shared" si="12"/>
        <v>100</v>
      </c>
      <c r="T45" s="1569" t="s">
        <v>8</v>
      </c>
      <c r="U45" s="1570">
        <f t="shared" si="13"/>
        <v>100</v>
      </c>
      <c r="V45" s="1569" t="s">
        <v>8</v>
      </c>
      <c r="W45" s="1570">
        <f t="shared" si="14"/>
        <v>100</v>
      </c>
      <c r="X45" s="1571"/>
      <c r="Y45" s="340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4"/>
      <c r="Q46" s="1573">
        <f t="shared" si="11"/>
        <v>111</v>
      </c>
      <c r="R46" s="1574" t="s">
        <v>8</v>
      </c>
      <c r="S46" s="1575">
        <f t="shared" si="12"/>
        <v>100</v>
      </c>
      <c r="T46" s="1574" t="s">
        <v>8</v>
      </c>
      <c r="U46" s="1575">
        <f t="shared" si="13"/>
        <v>100</v>
      </c>
      <c r="V46" s="1574" t="s">
        <v>8</v>
      </c>
      <c r="W46" s="1575">
        <f t="shared" si="14"/>
        <v>100</v>
      </c>
      <c r="X46" s="1568"/>
      <c r="Y46" s="340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0"/>
      <c r="Q47" s="1573">
        <f t="shared" si="11"/>
        <v>111</v>
      </c>
      <c r="R47" s="1574" t="s">
        <v>8</v>
      </c>
      <c r="S47" s="1575">
        <f t="shared" si="12"/>
        <v>100</v>
      </c>
      <c r="T47" s="1574" t="s">
        <v>8</v>
      </c>
      <c r="U47" s="1575">
        <f t="shared" si="13"/>
        <v>100</v>
      </c>
      <c r="V47" s="1574" t="s">
        <v>8</v>
      </c>
      <c r="W47" s="1575">
        <f t="shared" si="14"/>
        <v>100</v>
      </c>
      <c r="X47" s="1568"/>
      <c r="Y47" s="3500"/>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421" t="str">
        <f>A48</f>
        <v>成交单价（元/平方米）</v>
      </c>
      <c r="Q48" s="3399"/>
      <c r="R48" s="3499">
        <f>E48</f>
        <v>0</v>
      </c>
      <c r="S48" s="3499"/>
      <c r="T48" s="3499">
        <f>G48</f>
        <v>0</v>
      </c>
      <c r="U48" s="3499"/>
      <c r="V48" s="3499">
        <f>I48</f>
        <v>0</v>
      </c>
      <c r="W48" s="3499"/>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421" t="str">
        <f>A49</f>
        <v>比较价格（元/平方米）</v>
      </c>
      <c r="Q49" s="3399"/>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504" t="str">
        <f>A50</f>
        <v>估价对象XX用房的比较价格（楼面单价，元/平方米）</v>
      </c>
      <c r="Q50" s="3421"/>
      <c r="R50" s="3498" t="e">
        <f>IF(F1="售价",ROUND(AVERAGE(R49:V49),0),ROUND(AVERAGE(R49:V49),1))</f>
        <v>#DIV/0!</v>
      </c>
      <c r="S50" s="3498"/>
      <c r="T50" s="3498"/>
      <c r="U50" s="3498"/>
      <c r="V50" s="3498"/>
      <c r="W50" s="3498"/>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2018-4</v>
      </c>
      <c r="D59" s="2830">
        <f>EDATE(C59,-1)</f>
        <v>43160</v>
      </c>
      <c r="E59" s="2830">
        <f t="shared" ref="E59:O59" si="16">EDATE(D59,-1)</f>
        <v>43132</v>
      </c>
      <c r="F59" s="2830">
        <f t="shared" si="16"/>
        <v>43101</v>
      </c>
      <c r="G59" s="2830">
        <f t="shared" si="16"/>
        <v>43070</v>
      </c>
      <c r="H59" s="2830">
        <f t="shared" si="16"/>
        <v>43040</v>
      </c>
      <c r="I59" s="2830">
        <f t="shared" si="16"/>
        <v>43009</v>
      </c>
      <c r="J59" s="2830">
        <f t="shared" si="16"/>
        <v>42979</v>
      </c>
      <c r="K59" s="2830">
        <f t="shared" si="16"/>
        <v>42948</v>
      </c>
      <c r="L59" s="2830">
        <f t="shared" si="16"/>
        <v>42917</v>
      </c>
      <c r="M59" s="2830">
        <f t="shared" si="16"/>
        <v>42887</v>
      </c>
      <c r="N59" s="2830">
        <f t="shared" si="16"/>
        <v>42856</v>
      </c>
      <c r="O59" s="2830">
        <f t="shared" si="16"/>
        <v>42826</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405" t="s">
        <v>522</v>
      </c>
      <c r="D4" s="3406"/>
      <c r="E4" s="3429" t="s">
        <v>523</v>
      </c>
      <c r="F4" s="3430"/>
      <c r="G4" s="3405" t="s">
        <v>524</v>
      </c>
      <c r="H4" s="3406"/>
      <c r="I4" s="3405" t="s">
        <v>525</v>
      </c>
      <c r="J4" s="3406"/>
      <c r="K4" s="514" t="s">
        <v>526</v>
      </c>
      <c r="L4" s="2135"/>
      <c r="M4" s="2136"/>
      <c r="N4" s="2136"/>
      <c r="O4" s="2136"/>
      <c r="P4" s="3407" t="s">
        <v>527</v>
      </c>
      <c r="Q4" s="3408"/>
      <c r="R4" s="3393" t="s">
        <v>523</v>
      </c>
      <c r="S4" s="3394"/>
      <c r="T4" s="3393" t="s">
        <v>524</v>
      </c>
      <c r="U4" s="3394"/>
      <c r="V4" s="3413" t="s">
        <v>525</v>
      </c>
      <c r="W4" s="3413"/>
      <c r="X4" s="1568"/>
      <c r="Y4" s="3393" t="s">
        <v>527</v>
      </c>
      <c r="Z4" s="3394"/>
      <c r="AA4" s="3388" t="s">
        <v>523</v>
      </c>
      <c r="AB4" s="3389" t="s">
        <v>524</v>
      </c>
      <c r="AC4" s="3388" t="s">
        <v>525</v>
      </c>
    </row>
    <row r="5" spans="1:29" ht="15">
      <c r="A5" s="515"/>
      <c r="B5" s="516"/>
      <c r="C5" s="3416" t="s">
        <v>2926</v>
      </c>
      <c r="D5" s="3417"/>
      <c r="E5" s="3431" t="s">
        <v>2927</v>
      </c>
      <c r="F5" s="3432"/>
      <c r="G5" s="3416" t="s">
        <v>2928</v>
      </c>
      <c r="H5" s="3417"/>
      <c r="I5" s="3416" t="s">
        <v>2929</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2930</v>
      </c>
      <c r="D6" s="3415"/>
      <c r="E6" s="3433" t="s">
        <v>2930</v>
      </c>
      <c r="F6" s="3434"/>
      <c r="G6" s="3414" t="s">
        <v>2930</v>
      </c>
      <c r="H6" s="3415"/>
      <c r="I6" s="3414" t="s">
        <v>2930</v>
      </c>
      <c r="J6" s="3415"/>
      <c r="K6" s="514" t="s">
        <v>528</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38"/>
      <c r="B7" s="2945" t="s">
        <v>529</v>
      </c>
      <c r="C7" s="519">
        <f>'数据-取费表'!B2</f>
        <v>43210</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1" t="s">
        <v>530</v>
      </c>
      <c r="Q7" s="3400"/>
      <c r="R7" s="1569" t="s">
        <v>8</v>
      </c>
      <c r="S7" s="1570">
        <f t="shared" ref="S7:S15" si="0">F7</f>
        <v>0</v>
      </c>
      <c r="T7" s="1569" t="s">
        <v>8</v>
      </c>
      <c r="U7" s="1570">
        <f t="shared" ref="U7:U15" si="1">H7</f>
        <v>0</v>
      </c>
      <c r="V7" s="1569" t="s">
        <v>8</v>
      </c>
      <c r="W7" s="1570">
        <f t="shared" ref="W7:W15"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1" t="s">
        <v>533</v>
      </c>
      <c r="Q8" s="3392"/>
      <c r="R8" s="1569" t="s">
        <v>8</v>
      </c>
      <c r="S8" s="1570">
        <f t="shared" si="0"/>
        <v>0</v>
      </c>
      <c r="T8" s="1569" t="s">
        <v>8</v>
      </c>
      <c r="U8" s="1570">
        <f t="shared" si="1"/>
        <v>0</v>
      </c>
      <c r="V8" s="1569" t="s">
        <v>8</v>
      </c>
      <c r="W8" s="1570">
        <f t="shared" si="2"/>
        <v>0</v>
      </c>
      <c r="X8" s="1571"/>
      <c r="Y8" s="3391" t="s">
        <v>533</v>
      </c>
      <c r="Z8" s="3392"/>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99" t="s">
        <v>535</v>
      </c>
      <c r="Q9" s="1151" t="str">
        <f t="shared" ref="Q9:Q15" si="6">B9</f>
        <v>用途</v>
      </c>
      <c r="R9" s="1569" t="s">
        <v>8</v>
      </c>
      <c r="S9" s="1570">
        <f t="shared" si="0"/>
        <v>100</v>
      </c>
      <c r="T9" s="1569" t="s">
        <v>8</v>
      </c>
      <c r="U9" s="1570">
        <f t="shared" si="1"/>
        <v>100</v>
      </c>
      <c r="V9" s="1569" t="s">
        <v>8</v>
      </c>
      <c r="W9" s="1570">
        <f t="shared" si="2"/>
        <v>100</v>
      </c>
      <c r="X9" s="1571"/>
      <c r="Y9" s="3356"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99"/>
      <c r="Q11" s="1151" t="str">
        <f t="shared" si="6"/>
        <v>容积率</v>
      </c>
      <c r="R11" s="1569" t="s">
        <v>8</v>
      </c>
      <c r="S11" s="1570" t="e">
        <f t="shared" si="0"/>
        <v>#N/A</v>
      </c>
      <c r="T11" s="1569" t="s">
        <v>8</v>
      </c>
      <c r="U11" s="1570" t="e">
        <f t="shared" si="1"/>
        <v>#N/A</v>
      </c>
      <c r="V11" s="1569" t="s">
        <v>8</v>
      </c>
      <c r="W11" s="1570" t="e">
        <f t="shared" si="2"/>
        <v>#N/A</v>
      </c>
      <c r="X11" s="1571"/>
      <c r="Y11" s="3356"/>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99"/>
      <c r="Q14" s="1151">
        <f t="shared" si="6"/>
        <v>111</v>
      </c>
      <c r="R14" s="1569" t="s">
        <v>8</v>
      </c>
      <c r="S14" s="1570">
        <f t="shared" si="0"/>
        <v>100</v>
      </c>
      <c r="T14" s="1569" t="s">
        <v>8</v>
      </c>
      <c r="U14" s="1570">
        <f t="shared" si="1"/>
        <v>100</v>
      </c>
      <c r="V14" s="1569" t="s">
        <v>8</v>
      </c>
      <c r="W14" s="1570">
        <f t="shared" si="2"/>
        <v>100</v>
      </c>
      <c r="X14" s="1571"/>
      <c r="Y14" s="3356"/>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1" t="s">
        <v>540</v>
      </c>
      <c r="Q15" s="1573" t="str">
        <f t="shared" si="6"/>
        <v>产业集聚程度</v>
      </c>
      <c r="R15" s="1574" t="s">
        <v>8</v>
      </c>
      <c r="S15" s="1575">
        <f t="shared" si="0"/>
        <v>100</v>
      </c>
      <c r="T15" s="1574" t="s">
        <v>8</v>
      </c>
      <c r="U15" s="1575">
        <f t="shared" si="1"/>
        <v>100</v>
      </c>
      <c r="V15" s="1574" t="s">
        <v>8</v>
      </c>
      <c r="W15" s="1575">
        <f t="shared" si="2"/>
        <v>100</v>
      </c>
      <c r="X15" s="1568"/>
      <c r="Y15" s="3401"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2"/>
      <c r="Q16" s="1573"/>
      <c r="R16" s="1574"/>
      <c r="S16" s="1575"/>
      <c r="T16" s="1574"/>
      <c r="U16" s="1575"/>
      <c r="V16" s="1574"/>
      <c r="W16" s="1575"/>
      <c r="X16" s="1568"/>
      <c r="Y16" s="3402"/>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2"/>
      <c r="Q17" s="1573" t="str">
        <f>B17</f>
        <v>交通便捷度</v>
      </c>
      <c r="R17" s="1574" t="s">
        <v>8</v>
      </c>
      <c r="S17" s="1575">
        <f>F17</f>
        <v>100</v>
      </c>
      <c r="T17" s="1574" t="s">
        <v>8</v>
      </c>
      <c r="U17" s="1575">
        <f>H17</f>
        <v>100</v>
      </c>
      <c r="V17" s="1574" t="s">
        <v>8</v>
      </c>
      <c r="W17" s="1575">
        <f>J17</f>
        <v>100</v>
      </c>
      <c r="X17" s="1568"/>
      <c r="Y17" s="340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2"/>
      <c r="Q18" s="1573"/>
      <c r="R18" s="1574"/>
      <c r="S18" s="1575"/>
      <c r="T18" s="1574"/>
      <c r="U18" s="1575"/>
      <c r="V18" s="1574"/>
      <c r="W18" s="1575"/>
      <c r="X18" s="1568"/>
      <c r="Y18" s="3402"/>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2"/>
      <c r="Q19" s="1573" t="str">
        <f>B19</f>
        <v>公共配套设施</v>
      </c>
      <c r="R19" s="1574" t="s">
        <v>8</v>
      </c>
      <c r="S19" s="1575">
        <f>F19</f>
        <v>100</v>
      </c>
      <c r="T19" s="1574" t="s">
        <v>8</v>
      </c>
      <c r="U19" s="1575">
        <f>H19</f>
        <v>100</v>
      </c>
      <c r="V19" s="1574" t="s">
        <v>8</v>
      </c>
      <c r="W19" s="1575">
        <f>J19</f>
        <v>100</v>
      </c>
      <c r="X19" s="1568"/>
      <c r="Y19" s="340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2"/>
      <c r="Q20" s="1573"/>
      <c r="R20" s="1574"/>
      <c r="S20" s="1575"/>
      <c r="T20" s="1574"/>
      <c r="U20" s="1575"/>
      <c r="V20" s="1574"/>
      <c r="W20" s="1575"/>
      <c r="X20" s="1568"/>
      <c r="Y20" s="3402"/>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2"/>
      <c r="Q21" s="2605" t="str">
        <f>B21</f>
        <v>基础设施水平</v>
      </c>
      <c r="R21" s="1574" t="s">
        <v>8</v>
      </c>
      <c r="S21" s="1575">
        <f>F21</f>
        <v>100</v>
      </c>
      <c r="T21" s="1574" t="s">
        <v>8</v>
      </c>
      <c r="U21" s="1575">
        <f>H21</f>
        <v>100</v>
      </c>
      <c r="V21" s="1574" t="s">
        <v>8</v>
      </c>
      <c r="W21" s="1575">
        <f>J21</f>
        <v>100</v>
      </c>
      <c r="X21" s="2607"/>
      <c r="Y21" s="3402"/>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02"/>
      <c r="Q22" s="2605"/>
      <c r="R22" s="1574"/>
      <c r="S22" s="1575"/>
      <c r="T22" s="1574"/>
      <c r="U22" s="1575"/>
      <c r="V22" s="1574"/>
      <c r="W22" s="1575"/>
      <c r="X22" s="2607"/>
      <c r="Y22" s="3402"/>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2"/>
      <c r="Q23" s="1573" t="str">
        <f>B23</f>
        <v>环境质量</v>
      </c>
      <c r="R23" s="1574" t="s">
        <v>8</v>
      </c>
      <c r="S23" s="1575">
        <f>F23</f>
        <v>100</v>
      </c>
      <c r="T23" s="1574" t="s">
        <v>8</v>
      </c>
      <c r="U23" s="1575">
        <f>H23</f>
        <v>100</v>
      </c>
      <c r="V23" s="1574" t="s">
        <v>8</v>
      </c>
      <c r="W23" s="1575">
        <f>J23</f>
        <v>100</v>
      </c>
      <c r="X23" s="1568"/>
      <c r="Y23" s="340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2"/>
      <c r="Q24" s="1573"/>
      <c r="R24" s="1574"/>
      <c r="S24" s="1575"/>
      <c r="T24" s="1574"/>
      <c r="U24" s="1575"/>
      <c r="V24" s="1574"/>
      <c r="W24" s="1575"/>
      <c r="X24" s="1568"/>
      <c r="Y24" s="340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2"/>
      <c r="Q25" s="1573">
        <f>B25</f>
        <v>111</v>
      </c>
      <c r="R25" s="1574" t="s">
        <v>8</v>
      </c>
      <c r="S25" s="1575">
        <f>F25</f>
        <v>100</v>
      </c>
      <c r="T25" s="1574" t="s">
        <v>8</v>
      </c>
      <c r="U25" s="1575">
        <f>H25</f>
        <v>100</v>
      </c>
      <c r="V25" s="1574" t="s">
        <v>8</v>
      </c>
      <c r="W25" s="1575">
        <f>J25</f>
        <v>100</v>
      </c>
      <c r="X25" s="1568"/>
      <c r="Y25" s="340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2"/>
      <c r="Q26" s="1573">
        <f t="shared" ref="Q26:Q40" si="11">B26</f>
        <v>111</v>
      </c>
      <c r="R26" s="1574" t="s">
        <v>8</v>
      </c>
      <c r="S26" s="1575">
        <f>F26</f>
        <v>100</v>
      </c>
      <c r="T26" s="1574" t="s">
        <v>8</v>
      </c>
      <c r="U26" s="1575">
        <f>H26</f>
        <v>100</v>
      </c>
      <c r="V26" s="1574" t="s">
        <v>8</v>
      </c>
      <c r="W26" s="1575">
        <f>J26</f>
        <v>100</v>
      </c>
      <c r="X26" s="1568"/>
      <c r="Y26" s="340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2"/>
      <c r="Q27" s="1151">
        <f t="shared" si="11"/>
        <v>111</v>
      </c>
      <c r="R27" s="1569" t="s">
        <v>8</v>
      </c>
      <c r="S27" s="1570">
        <f>F27</f>
        <v>100</v>
      </c>
      <c r="T27" s="1569" t="s">
        <v>8</v>
      </c>
      <c r="U27" s="1570">
        <f>H27</f>
        <v>100</v>
      </c>
      <c r="V27" s="1569" t="s">
        <v>8</v>
      </c>
      <c r="W27" s="1570">
        <f>J27</f>
        <v>100</v>
      </c>
      <c r="X27" s="1571"/>
      <c r="Y27" s="340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2"/>
      <c r="Q28" s="1573">
        <f t="shared" si="11"/>
        <v>111</v>
      </c>
      <c r="R28" s="1574" t="s">
        <v>8</v>
      </c>
      <c r="S28" s="1575">
        <f t="shared" ref="S28:S40" si="12">F28</f>
        <v>100</v>
      </c>
      <c r="T28" s="1574" t="s">
        <v>8</v>
      </c>
      <c r="U28" s="1575">
        <f t="shared" ref="U28:U40" si="13">H28</f>
        <v>100</v>
      </c>
      <c r="V28" s="1574" t="s">
        <v>8</v>
      </c>
      <c r="W28" s="1575">
        <f t="shared" ref="W28:W40" si="14">J28</f>
        <v>100</v>
      </c>
      <c r="X28" s="1568"/>
      <c r="Y28" s="3402"/>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3" t="s">
        <v>550</v>
      </c>
      <c r="Q29" s="1573" t="str">
        <f t="shared" si="11"/>
        <v>建筑类型</v>
      </c>
      <c r="R29" s="1574" t="s">
        <v>8</v>
      </c>
      <c r="S29" s="1575">
        <f t="shared" si="12"/>
        <v>100</v>
      </c>
      <c r="T29" s="1574" t="s">
        <v>8</v>
      </c>
      <c r="U29" s="1575">
        <f t="shared" si="13"/>
        <v>100</v>
      </c>
      <c r="V29" s="1574" t="s">
        <v>8</v>
      </c>
      <c r="W29" s="1575">
        <f t="shared" si="14"/>
        <v>100</v>
      </c>
      <c r="X29" s="1568"/>
      <c r="Y29" s="3404"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4"/>
      <c r="Q30" s="1606" t="str">
        <f t="shared" si="11"/>
        <v>项目建筑规模</v>
      </c>
      <c r="R30" s="1578" t="s">
        <v>8</v>
      </c>
      <c r="S30" s="1579" t="e">
        <f t="shared" si="12"/>
        <v>#N/A</v>
      </c>
      <c r="T30" s="1578" t="s">
        <v>8</v>
      </c>
      <c r="U30" s="1579" t="e">
        <f t="shared" si="13"/>
        <v>#N/A</v>
      </c>
      <c r="V30" s="1578" t="s">
        <v>8</v>
      </c>
      <c r="W30" s="1579" t="e">
        <f t="shared" si="14"/>
        <v>#N/A</v>
      </c>
      <c r="X30" s="1580"/>
      <c r="Y30" s="3404"/>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4"/>
      <c r="Q31" s="1573" t="str">
        <f t="shared" si="11"/>
        <v>建筑结构</v>
      </c>
      <c r="R31" s="1574" t="s">
        <v>8</v>
      </c>
      <c r="S31" s="1575">
        <f t="shared" si="12"/>
        <v>100</v>
      </c>
      <c r="T31" s="1574" t="s">
        <v>8</v>
      </c>
      <c r="U31" s="1575">
        <f t="shared" si="13"/>
        <v>100</v>
      </c>
      <c r="V31" s="1574" t="s">
        <v>8</v>
      </c>
      <c r="W31" s="1575">
        <f t="shared" si="14"/>
        <v>100</v>
      </c>
      <c r="X31" s="1568"/>
      <c r="Y31" s="3404"/>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4"/>
      <c r="Q32" s="1573" t="str">
        <f t="shared" si="11"/>
        <v>公共部分装修</v>
      </c>
      <c r="R32" s="1574" t="s">
        <v>8</v>
      </c>
      <c r="S32" s="1575">
        <f t="shared" si="12"/>
        <v>100</v>
      </c>
      <c r="T32" s="1574" t="s">
        <v>8</v>
      </c>
      <c r="U32" s="1575">
        <f t="shared" si="13"/>
        <v>100</v>
      </c>
      <c r="V32" s="1574" t="s">
        <v>8</v>
      </c>
      <c r="W32" s="1575">
        <f t="shared" si="14"/>
        <v>100</v>
      </c>
      <c r="X32" s="1568"/>
      <c r="Y32" s="3404"/>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4"/>
      <c r="Q33" s="1573" t="str">
        <f t="shared" si="11"/>
        <v>成新度</v>
      </c>
      <c r="R33" s="1574" t="s">
        <v>8</v>
      </c>
      <c r="S33" s="1575" t="e">
        <f t="shared" si="12"/>
        <v>#N/A</v>
      </c>
      <c r="T33" s="1574" t="s">
        <v>8</v>
      </c>
      <c r="U33" s="1575" t="e">
        <f t="shared" si="13"/>
        <v>#N/A</v>
      </c>
      <c r="V33" s="1574" t="s">
        <v>8</v>
      </c>
      <c r="W33" s="1575" t="e">
        <f t="shared" si="14"/>
        <v>#N/A</v>
      </c>
      <c r="X33" s="1568"/>
      <c r="Y33" s="3404"/>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4"/>
      <c r="Q34" s="1151" t="str">
        <f t="shared" si="11"/>
        <v>物业管理</v>
      </c>
      <c r="R34" s="1569" t="s">
        <v>8</v>
      </c>
      <c r="S34" s="1570">
        <f t="shared" si="12"/>
        <v>100</v>
      </c>
      <c r="T34" s="1569" t="s">
        <v>8</v>
      </c>
      <c r="U34" s="1570">
        <f t="shared" si="13"/>
        <v>100</v>
      </c>
      <c r="V34" s="1569" t="s">
        <v>8</v>
      </c>
      <c r="W34" s="1570">
        <f t="shared" si="14"/>
        <v>100</v>
      </c>
      <c r="X34" s="1571"/>
      <c r="Y34" s="3404"/>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4" t="s">
        <v>550</v>
      </c>
      <c r="Q35" s="1573" t="str">
        <f t="shared" si="11"/>
        <v>市政基础设施</v>
      </c>
      <c r="R35" s="1574" t="s">
        <v>8</v>
      </c>
      <c r="S35" s="1575">
        <f t="shared" si="12"/>
        <v>100</v>
      </c>
      <c r="T35" s="1574" t="s">
        <v>8</v>
      </c>
      <c r="U35" s="1575">
        <f t="shared" si="13"/>
        <v>100</v>
      </c>
      <c r="V35" s="1574" t="s">
        <v>8</v>
      </c>
      <c r="W35" s="1575">
        <f t="shared" si="14"/>
        <v>100</v>
      </c>
      <c r="X35" s="1568"/>
      <c r="Y35" s="3404"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4"/>
      <c r="Q36" s="1573" t="str">
        <f t="shared" si="11"/>
        <v>内部装修</v>
      </c>
      <c r="R36" s="1574" t="s">
        <v>8</v>
      </c>
      <c r="S36" s="1575">
        <f t="shared" si="12"/>
        <v>100</v>
      </c>
      <c r="T36" s="1574" t="s">
        <v>8</v>
      </c>
      <c r="U36" s="1575">
        <f t="shared" si="13"/>
        <v>100</v>
      </c>
      <c r="V36" s="1574" t="s">
        <v>8</v>
      </c>
      <c r="W36" s="1575">
        <f t="shared" si="14"/>
        <v>100</v>
      </c>
      <c r="X36" s="1568"/>
      <c r="Y36" s="3404"/>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4"/>
      <c r="Q37" s="1573" t="str">
        <f t="shared" si="11"/>
        <v>内部装修状况</v>
      </c>
      <c r="R37" s="1574" t="s">
        <v>8</v>
      </c>
      <c r="S37" s="1575">
        <f t="shared" si="12"/>
        <v>100</v>
      </c>
      <c r="T37" s="1574" t="s">
        <v>8</v>
      </c>
      <c r="U37" s="1575">
        <f t="shared" si="13"/>
        <v>100</v>
      </c>
      <c r="V37" s="1574" t="s">
        <v>8</v>
      </c>
      <c r="W37" s="1575">
        <f t="shared" si="14"/>
        <v>100</v>
      </c>
      <c r="X37" s="1568"/>
      <c r="Y37" s="340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4"/>
      <c r="Q38" s="1606">
        <f t="shared" si="11"/>
        <v>111</v>
      </c>
      <c r="R38" s="1578" t="s">
        <v>8</v>
      </c>
      <c r="S38" s="1579">
        <f t="shared" si="12"/>
        <v>100</v>
      </c>
      <c r="T38" s="1578" t="s">
        <v>8</v>
      </c>
      <c r="U38" s="1579">
        <f t="shared" si="13"/>
        <v>100</v>
      </c>
      <c r="V38" s="1578" t="s">
        <v>8</v>
      </c>
      <c r="W38" s="1579">
        <f t="shared" si="14"/>
        <v>100</v>
      </c>
      <c r="X38" s="1580"/>
      <c r="Y38" s="340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4"/>
      <c r="Q39" s="1573">
        <f t="shared" si="11"/>
        <v>111</v>
      </c>
      <c r="R39" s="1574" t="s">
        <v>8</v>
      </c>
      <c r="S39" s="1575">
        <f t="shared" si="12"/>
        <v>100</v>
      </c>
      <c r="T39" s="1574" t="s">
        <v>8</v>
      </c>
      <c r="U39" s="1575">
        <f t="shared" si="13"/>
        <v>100</v>
      </c>
      <c r="V39" s="1574" t="s">
        <v>8</v>
      </c>
      <c r="W39" s="1575">
        <f t="shared" si="14"/>
        <v>100</v>
      </c>
      <c r="X39" s="1568"/>
      <c r="Y39" s="340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0"/>
      <c r="Q40" s="1573">
        <f t="shared" si="11"/>
        <v>111</v>
      </c>
      <c r="R40" s="1574" t="s">
        <v>8</v>
      </c>
      <c r="S40" s="1575">
        <f t="shared" si="12"/>
        <v>100</v>
      </c>
      <c r="T40" s="1574" t="s">
        <v>8</v>
      </c>
      <c r="U40" s="1575">
        <f t="shared" si="13"/>
        <v>100</v>
      </c>
      <c r="V40" s="1574" t="s">
        <v>8</v>
      </c>
      <c r="W40" s="1575">
        <f t="shared" si="14"/>
        <v>100</v>
      </c>
      <c r="X40" s="1568"/>
      <c r="Y40" s="3500"/>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99" t="str">
        <f>A41</f>
        <v>成交单价（元/平方米）</v>
      </c>
      <c r="Q41" s="3399"/>
      <c r="R41" s="3499">
        <f>E41</f>
        <v>0</v>
      </c>
      <c r="S41" s="3499"/>
      <c r="T41" s="3499">
        <f>G41</f>
        <v>0</v>
      </c>
      <c r="U41" s="3499"/>
      <c r="V41" s="3499">
        <f>I41</f>
        <v>0</v>
      </c>
      <c r="W41" s="3499"/>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399" t="str">
        <f>A42</f>
        <v>比较价格（元/平方米）</v>
      </c>
      <c r="Q42" s="3399"/>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420" t="str">
        <f>A43</f>
        <v>估价对象XX用房的比较价格（楼面单价，元/平方米）</v>
      </c>
      <c r="Q43" s="3421"/>
      <c r="R43" s="3498" t="e">
        <f>IF(F1="售价",ROUND(AVERAGE(R42:V42),0),ROUND(AVERAGE(R42:V42),1))</f>
        <v>#DIV/0!</v>
      </c>
      <c r="S43" s="3498"/>
      <c r="T43" s="3498"/>
      <c r="U43" s="3498"/>
      <c r="V43" s="3498"/>
      <c r="W43" s="3498"/>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2018-4</v>
      </c>
      <c r="D52" s="2830">
        <f>EDATE(C52,-1)</f>
        <v>43160</v>
      </c>
      <c r="E52" s="2830">
        <f t="shared" ref="E52:O52" si="16">EDATE(D52,-1)</f>
        <v>43132</v>
      </c>
      <c r="F52" s="2830">
        <f t="shared" si="16"/>
        <v>43101</v>
      </c>
      <c r="G52" s="2830">
        <f t="shared" si="16"/>
        <v>43070</v>
      </c>
      <c r="H52" s="2830">
        <f t="shared" si="16"/>
        <v>43040</v>
      </c>
      <c r="I52" s="2830">
        <f t="shared" si="16"/>
        <v>43009</v>
      </c>
      <c r="J52" s="2830">
        <f t="shared" si="16"/>
        <v>42979</v>
      </c>
      <c r="K52" s="2830">
        <f t="shared" si="16"/>
        <v>42948</v>
      </c>
      <c r="L52" s="2830">
        <f t="shared" si="16"/>
        <v>42917</v>
      </c>
      <c r="M52" s="2830">
        <f t="shared" si="16"/>
        <v>42887</v>
      </c>
      <c r="N52" s="2830">
        <f t="shared" si="16"/>
        <v>42856</v>
      </c>
      <c r="O52" s="2830">
        <f t="shared" si="16"/>
        <v>42826</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中信信托有限责任公司：</v>
      </c>
    </row>
    <row r="4" spans="1:4" ht="37.5">
      <c r="A4" s="1793" t="str">
        <f>"受贵公司委托，我公司对"&amp;项目基本情况!K2&amp;项目基本情况!B9&amp;"进行了预评估。"</f>
        <v>受贵公司委托，我公司对贵州省贵阳市高新区沙文生态科技产业园（土储编号01-02-13）出让国有建设用地使用权市场价格进行了预评估。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高新区沙文生态科技产业园（土储编号01-02-13）出让国有建设用地使用权。根据《国有建设用地使用权出让合同》，估价对象（分摊）出让国有建设用地使用权面积为40729.97平方米。根据《国有建设用地使用权出让合同》，估价对象规划建筑面积为126262.9平方米。</v>
      </c>
    </row>
    <row r="7" spans="1:4" ht="93.75">
      <c r="A7" s="2899" t="s">
        <v>2747</v>
      </c>
    </row>
    <row r="8" spans="1:4" ht="18.75">
      <c r="A8" s="1796" t="s">
        <v>1907</v>
      </c>
    </row>
    <row r="9" spans="1:4" ht="112.5">
      <c r="A9" s="1798" t="str">
        <f>IF(项目基本情况!B8="抵押",IF(项目基本情况!B5=项目基本情况!B6,定义!C51,定义!B51),定义!D51)</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2018年4月20日（评估专业人员勘察现场之日）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根据《国有建设用地使用权出让合同》，本次评估估价对象证载（地类）用途为商业、商务。</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本次评估设定用途即为证载用途办公。</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05" t="s">
        <v>798</v>
      </c>
      <c r="D4" s="3406"/>
      <c r="E4" s="3405" t="s">
        <v>799</v>
      </c>
      <c r="F4" s="3406"/>
      <c r="G4" s="3405" t="s">
        <v>800</v>
      </c>
      <c r="H4" s="3406"/>
      <c r="I4" s="3405" t="s">
        <v>801</v>
      </c>
      <c r="J4" s="3406"/>
      <c r="K4" s="514" t="s">
        <v>802</v>
      </c>
      <c r="L4" s="2135"/>
      <c r="M4" s="2136"/>
      <c r="N4" s="2136"/>
      <c r="O4" s="2136"/>
      <c r="P4" s="3407" t="s">
        <v>803</v>
      </c>
      <c r="Q4" s="3408"/>
      <c r="R4" s="3393" t="s">
        <v>799</v>
      </c>
      <c r="S4" s="3394"/>
      <c r="T4" s="3393" t="s">
        <v>800</v>
      </c>
      <c r="U4" s="3394"/>
      <c r="V4" s="3413" t="s">
        <v>801</v>
      </c>
      <c r="W4" s="3413"/>
      <c r="X4" s="1568"/>
      <c r="Y4" s="3393" t="s">
        <v>803</v>
      </c>
      <c r="Z4" s="3394"/>
      <c r="AA4" s="3388" t="s">
        <v>799</v>
      </c>
      <c r="AB4" s="3389" t="s">
        <v>800</v>
      </c>
      <c r="AC4" s="3388" t="s">
        <v>801</v>
      </c>
    </row>
    <row r="5" spans="1:29" ht="15">
      <c r="A5" s="515"/>
      <c r="B5" s="516"/>
      <c r="C5" s="3416" t="s">
        <v>2926</v>
      </c>
      <c r="D5" s="3417"/>
      <c r="E5" s="3416" t="s">
        <v>2927</v>
      </c>
      <c r="F5" s="3417"/>
      <c r="G5" s="3416" t="s">
        <v>2928</v>
      </c>
      <c r="H5" s="3417"/>
      <c r="I5" s="3416" t="s">
        <v>2929</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2930</v>
      </c>
      <c r="D6" s="3415"/>
      <c r="E6" s="3418" t="s">
        <v>2930</v>
      </c>
      <c r="F6" s="3419"/>
      <c r="G6" s="3414" t="s">
        <v>2930</v>
      </c>
      <c r="H6" s="3415"/>
      <c r="I6" s="3414" t="s">
        <v>2930</v>
      </c>
      <c r="J6" s="3415"/>
      <c r="K6" s="514" t="s">
        <v>528</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38"/>
      <c r="B7" s="2945" t="s">
        <v>529</v>
      </c>
      <c r="C7" s="519">
        <f>'数据-取费表'!B2</f>
        <v>43210</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1" t="s">
        <v>530</v>
      </c>
      <c r="Q7" s="3400"/>
      <c r="R7" s="1569" t="s">
        <v>8</v>
      </c>
      <c r="S7" s="1570">
        <f t="shared" ref="S7:S14" si="0">F7</f>
        <v>0</v>
      </c>
      <c r="T7" s="1569" t="s">
        <v>8</v>
      </c>
      <c r="U7" s="1570">
        <f t="shared" ref="U7:U14" si="1">H7</f>
        <v>0</v>
      </c>
      <c r="V7" s="1569" t="s">
        <v>8</v>
      </c>
      <c r="W7" s="1570">
        <f t="shared" ref="W7:W14"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1" t="s">
        <v>533</v>
      </c>
      <c r="Q8" s="3392"/>
      <c r="R8" s="1569" t="s">
        <v>8</v>
      </c>
      <c r="S8" s="1570">
        <f t="shared" si="0"/>
        <v>0</v>
      </c>
      <c r="T8" s="1569" t="s">
        <v>8</v>
      </c>
      <c r="U8" s="1570">
        <f t="shared" si="1"/>
        <v>0</v>
      </c>
      <c r="V8" s="1569" t="s">
        <v>8</v>
      </c>
      <c r="W8" s="1570">
        <f t="shared" si="2"/>
        <v>0</v>
      </c>
      <c r="X8" s="1571"/>
      <c r="Y8" s="3391" t="s">
        <v>533</v>
      </c>
      <c r="Z8" s="3392"/>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99" t="s">
        <v>535</v>
      </c>
      <c r="Q9" s="1151" t="str">
        <f t="shared" ref="Q9:Q14" si="6">B9</f>
        <v>用途</v>
      </c>
      <c r="R9" s="1569" t="s">
        <v>8</v>
      </c>
      <c r="S9" s="1570">
        <f t="shared" si="0"/>
        <v>100</v>
      </c>
      <c r="T9" s="1569" t="s">
        <v>8</v>
      </c>
      <c r="U9" s="1570">
        <f t="shared" si="1"/>
        <v>100</v>
      </c>
      <c r="V9" s="1569" t="s">
        <v>8</v>
      </c>
      <c r="W9" s="1570">
        <f t="shared" si="2"/>
        <v>100</v>
      </c>
      <c r="X9" s="1571"/>
      <c r="Y9" s="335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1" t="s">
        <v>540</v>
      </c>
      <c r="Q14" s="1573" t="str">
        <f t="shared" si="6"/>
        <v>交通便捷度</v>
      </c>
      <c r="R14" s="1574" t="s">
        <v>8</v>
      </c>
      <c r="S14" s="1575">
        <f t="shared" si="0"/>
        <v>100</v>
      </c>
      <c r="T14" s="1574" t="s">
        <v>8</v>
      </c>
      <c r="U14" s="1575">
        <f t="shared" si="1"/>
        <v>100</v>
      </c>
      <c r="V14" s="1574" t="s">
        <v>8</v>
      </c>
      <c r="W14" s="1575">
        <f t="shared" si="2"/>
        <v>100</v>
      </c>
      <c r="X14" s="1568"/>
      <c r="Y14" s="3401"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2"/>
      <c r="Q18" s="2605" t="str">
        <f>B18</f>
        <v>基础设施水平</v>
      </c>
      <c r="R18" s="1574" t="s">
        <v>8</v>
      </c>
      <c r="S18" s="1575">
        <f>F18</f>
        <v>100</v>
      </c>
      <c r="T18" s="1574" t="s">
        <v>8</v>
      </c>
      <c r="U18" s="1575">
        <f>H18</f>
        <v>100</v>
      </c>
      <c r="V18" s="1574" t="s">
        <v>8</v>
      </c>
      <c r="W18" s="1575">
        <f>J18</f>
        <v>100</v>
      </c>
      <c r="X18" s="2607"/>
      <c r="Y18" s="3402"/>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02"/>
      <c r="Q19" s="2605"/>
      <c r="R19" s="1574"/>
      <c r="S19" s="1575"/>
      <c r="T19" s="1574"/>
      <c r="U19" s="1575"/>
      <c r="V19" s="1574"/>
      <c r="W19" s="1575"/>
      <c r="X19" s="2607"/>
      <c r="Y19" s="3402"/>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2"/>
      <c r="Q24" s="1573">
        <f t="shared" ref="Q24:Q36"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3"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4"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4"/>
      <c r="Q27" s="1606" t="str">
        <f t="shared" si="11"/>
        <v>项目停车位配比</v>
      </c>
      <c r="R27" s="1578" t="s">
        <v>8</v>
      </c>
      <c r="S27" s="1579">
        <f t="shared" si="12"/>
        <v>100</v>
      </c>
      <c r="T27" s="1578" t="s">
        <v>8</v>
      </c>
      <c r="U27" s="1579">
        <f t="shared" si="13"/>
        <v>100</v>
      </c>
      <c r="V27" s="1578" t="s">
        <v>8</v>
      </c>
      <c r="W27" s="1579">
        <f t="shared" si="14"/>
        <v>100</v>
      </c>
      <c r="X27" s="1580"/>
      <c r="Y27" s="3404"/>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4"/>
      <c r="Q28" s="1573" t="str">
        <f t="shared" si="11"/>
        <v>公共部分装修</v>
      </c>
      <c r="R28" s="1574" t="s">
        <v>8</v>
      </c>
      <c r="S28" s="1575">
        <f t="shared" si="12"/>
        <v>100</v>
      </c>
      <c r="T28" s="1574" t="s">
        <v>8</v>
      </c>
      <c r="U28" s="1575">
        <f t="shared" si="13"/>
        <v>100</v>
      </c>
      <c r="V28" s="1574" t="s">
        <v>8</v>
      </c>
      <c r="W28" s="1575">
        <f t="shared" si="14"/>
        <v>100</v>
      </c>
      <c r="X28" s="1568"/>
      <c r="Y28" s="3404"/>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4"/>
      <c r="Q29" s="1573" t="str">
        <f t="shared" si="11"/>
        <v>成新率</v>
      </c>
      <c r="R29" s="1574" t="s">
        <v>8</v>
      </c>
      <c r="S29" s="1575" t="e">
        <f t="shared" si="12"/>
        <v>#N/A</v>
      </c>
      <c r="T29" s="1574" t="s">
        <v>8</v>
      </c>
      <c r="U29" s="1575" t="e">
        <f t="shared" si="13"/>
        <v>#N/A</v>
      </c>
      <c r="V29" s="1574" t="s">
        <v>8</v>
      </c>
      <c r="W29" s="1575" t="e">
        <f t="shared" si="14"/>
        <v>#N/A</v>
      </c>
      <c r="X29" s="1568"/>
      <c r="Y29" s="3404"/>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4"/>
      <c r="Q30" s="1573" t="str">
        <f t="shared" si="11"/>
        <v>物业等级</v>
      </c>
      <c r="R30" s="1574" t="s">
        <v>8</v>
      </c>
      <c r="S30" s="1575">
        <f t="shared" si="12"/>
        <v>100</v>
      </c>
      <c r="T30" s="1574" t="s">
        <v>8</v>
      </c>
      <c r="U30" s="1575">
        <f t="shared" si="13"/>
        <v>100</v>
      </c>
      <c r="V30" s="1574" t="s">
        <v>8</v>
      </c>
      <c r="W30" s="1575">
        <f t="shared" si="14"/>
        <v>100</v>
      </c>
      <c r="X30" s="1568"/>
      <c r="Y30" s="3404"/>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4"/>
      <c r="Q31" s="1151" t="str">
        <f t="shared" si="11"/>
        <v>停车位面积</v>
      </c>
      <c r="R31" s="1569" t="s">
        <v>8</v>
      </c>
      <c r="S31" s="1570" t="e">
        <f t="shared" si="12"/>
        <v>#N/A</v>
      </c>
      <c r="T31" s="1569" t="s">
        <v>8</v>
      </c>
      <c r="U31" s="1570" t="e">
        <f t="shared" si="13"/>
        <v>#N/A</v>
      </c>
      <c r="V31" s="1569" t="s">
        <v>8</v>
      </c>
      <c r="W31" s="1570" t="e">
        <f t="shared" si="14"/>
        <v>#N/A</v>
      </c>
      <c r="X31" s="1571"/>
      <c r="Y31" s="3404"/>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4" t="s">
        <v>550</v>
      </c>
      <c r="Q32" s="1573" t="str">
        <f t="shared" si="11"/>
        <v>车位类型</v>
      </c>
      <c r="R32" s="1574" t="s">
        <v>8</v>
      </c>
      <c r="S32" s="1575">
        <f t="shared" si="12"/>
        <v>100</v>
      </c>
      <c r="T32" s="1574" t="s">
        <v>8</v>
      </c>
      <c r="U32" s="1575">
        <f t="shared" si="13"/>
        <v>100</v>
      </c>
      <c r="V32" s="1574" t="s">
        <v>8</v>
      </c>
      <c r="W32" s="1575">
        <f t="shared" si="14"/>
        <v>100</v>
      </c>
      <c r="X32" s="1568"/>
      <c r="Y32" s="3404"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4"/>
      <c r="Q33" s="1573" t="str">
        <f t="shared" si="11"/>
        <v>是否直接入户</v>
      </c>
      <c r="R33" s="1574" t="s">
        <v>8</v>
      </c>
      <c r="S33" s="1575">
        <f t="shared" si="12"/>
        <v>100</v>
      </c>
      <c r="T33" s="1574" t="s">
        <v>8</v>
      </c>
      <c r="U33" s="1575">
        <f t="shared" si="13"/>
        <v>100</v>
      </c>
      <c r="V33" s="1574" t="s">
        <v>8</v>
      </c>
      <c r="W33" s="1575">
        <f t="shared" si="14"/>
        <v>100</v>
      </c>
      <c r="X33" s="1568"/>
      <c r="Y33" s="340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4"/>
      <c r="Q35" s="1606">
        <f t="shared" si="11"/>
        <v>111</v>
      </c>
      <c r="R35" s="1578" t="s">
        <v>8</v>
      </c>
      <c r="S35" s="1579">
        <f t="shared" si="12"/>
        <v>100</v>
      </c>
      <c r="T35" s="1578" t="s">
        <v>8</v>
      </c>
      <c r="U35" s="1579">
        <f t="shared" si="13"/>
        <v>100</v>
      </c>
      <c r="V35" s="1578" t="s">
        <v>8</v>
      </c>
      <c r="W35" s="1579">
        <f t="shared" si="14"/>
        <v>100</v>
      </c>
      <c r="X35" s="1580"/>
      <c r="Y35" s="340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4"/>
      <c r="Q36" s="1573">
        <f t="shared" si="11"/>
        <v>111</v>
      </c>
      <c r="R36" s="1574" t="s">
        <v>8</v>
      </c>
      <c r="S36" s="1575">
        <f t="shared" si="12"/>
        <v>100</v>
      </c>
      <c r="T36" s="1574" t="s">
        <v>8</v>
      </c>
      <c r="U36" s="1575">
        <f t="shared" si="13"/>
        <v>100</v>
      </c>
      <c r="V36" s="1574" t="s">
        <v>8</v>
      </c>
      <c r="W36" s="1575">
        <f t="shared" si="14"/>
        <v>100</v>
      </c>
      <c r="X36" s="1568"/>
      <c r="Y36" s="3404"/>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399" t="str">
        <f>A37</f>
        <v>成交单价</v>
      </c>
      <c r="Q37" s="3399"/>
      <c r="R37" s="3499">
        <f>E37</f>
        <v>0</v>
      </c>
      <c r="S37" s="3499"/>
      <c r="T37" s="3499">
        <f>G37</f>
        <v>0</v>
      </c>
      <c r="U37" s="3499"/>
      <c r="V37" s="3499">
        <f>I37</f>
        <v>0</v>
      </c>
      <c r="W37" s="3499"/>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399" t="str">
        <f>A38</f>
        <v>比较价格（元/平方米）</v>
      </c>
      <c r="Q38" s="3399"/>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420" t="str">
        <f>A39</f>
        <v>估价对象XX用房的比较价格（楼面单价，元/平方米）</v>
      </c>
      <c r="Q39" s="3421"/>
      <c r="R39" s="3498" t="e">
        <f>IF(F1="售价",ROUND(AVERAGE(R38:V38),0),ROUND(AVERAGE(R38:V38),1))</f>
        <v>#DIV/0!</v>
      </c>
      <c r="S39" s="3498"/>
      <c r="T39" s="3498"/>
      <c r="U39" s="3498"/>
      <c r="V39" s="3498"/>
      <c r="W39" s="3498"/>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2018-4</v>
      </c>
      <c r="D48" s="2830">
        <f>EDATE(C48,-1)</f>
        <v>43160</v>
      </c>
      <c r="E48" s="2830">
        <f t="shared" ref="E48:O48" si="16">EDATE(D48,-1)</f>
        <v>43132</v>
      </c>
      <c r="F48" s="2830">
        <f t="shared" si="16"/>
        <v>43101</v>
      </c>
      <c r="G48" s="2830">
        <f t="shared" si="16"/>
        <v>43070</v>
      </c>
      <c r="H48" s="2830">
        <f t="shared" si="16"/>
        <v>43040</v>
      </c>
      <c r="I48" s="2830">
        <f t="shared" si="16"/>
        <v>43009</v>
      </c>
      <c r="J48" s="2830">
        <f t="shared" si="16"/>
        <v>42979</v>
      </c>
      <c r="K48" s="2830">
        <f t="shared" si="16"/>
        <v>42948</v>
      </c>
      <c r="L48" s="2830">
        <f t="shared" si="16"/>
        <v>42917</v>
      </c>
      <c r="M48" s="2830">
        <f t="shared" si="16"/>
        <v>42887</v>
      </c>
      <c r="N48" s="2830">
        <f t="shared" si="16"/>
        <v>42856</v>
      </c>
      <c r="O48" s="2830">
        <f t="shared" si="16"/>
        <v>42826</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405" t="s">
        <v>798</v>
      </c>
      <c r="D4" s="3406"/>
      <c r="E4" s="3429" t="s">
        <v>799</v>
      </c>
      <c r="F4" s="3430"/>
      <c r="G4" s="3405" t="s">
        <v>800</v>
      </c>
      <c r="H4" s="3406"/>
      <c r="I4" s="3405" t="s">
        <v>801</v>
      </c>
      <c r="J4" s="3406"/>
      <c r="K4" s="514" t="s">
        <v>802</v>
      </c>
      <c r="L4" s="2135"/>
      <c r="M4" s="2136"/>
      <c r="N4" s="2136"/>
      <c r="O4" s="2136"/>
      <c r="P4" s="3407" t="s">
        <v>803</v>
      </c>
      <c r="Q4" s="3408"/>
      <c r="R4" s="3393" t="s">
        <v>799</v>
      </c>
      <c r="S4" s="3394"/>
      <c r="T4" s="3393" t="s">
        <v>800</v>
      </c>
      <c r="U4" s="3394"/>
      <c r="V4" s="3413" t="s">
        <v>801</v>
      </c>
      <c r="W4" s="3413"/>
      <c r="X4" s="1568"/>
      <c r="Y4" s="3393" t="s">
        <v>803</v>
      </c>
      <c r="Z4" s="3394"/>
      <c r="AA4" s="3388" t="s">
        <v>799</v>
      </c>
      <c r="AB4" s="3389" t="s">
        <v>800</v>
      </c>
      <c r="AC4" s="3388" t="s">
        <v>801</v>
      </c>
    </row>
    <row r="5" spans="1:29" ht="15">
      <c r="A5" s="515"/>
      <c r="B5" s="516"/>
      <c r="C5" s="3416" t="s">
        <v>2926</v>
      </c>
      <c r="D5" s="3417"/>
      <c r="E5" s="3431" t="s">
        <v>2927</v>
      </c>
      <c r="F5" s="3432"/>
      <c r="G5" s="3416" t="s">
        <v>2928</v>
      </c>
      <c r="H5" s="3417"/>
      <c r="I5" s="3416" t="s">
        <v>2929</v>
      </c>
      <c r="J5" s="3417"/>
      <c r="K5" s="514"/>
      <c r="L5" s="2135"/>
      <c r="M5" s="2136"/>
      <c r="N5" s="2136"/>
      <c r="O5" s="2136"/>
      <c r="P5" s="3409"/>
      <c r="Q5" s="3410"/>
      <c r="R5" s="3395"/>
      <c r="S5" s="3396"/>
      <c r="T5" s="3395"/>
      <c r="U5" s="3396"/>
      <c r="V5" s="3413"/>
      <c r="W5" s="3413"/>
      <c r="X5" s="1568"/>
      <c r="Y5" s="3395"/>
      <c r="Z5" s="3396"/>
      <c r="AA5" s="3389"/>
      <c r="AB5" s="3389"/>
      <c r="AC5" s="3389"/>
    </row>
    <row r="6" spans="1:29" ht="15.75" thickBot="1">
      <c r="A6" s="517"/>
      <c r="B6" s="518"/>
      <c r="C6" s="3414" t="s">
        <v>2930</v>
      </c>
      <c r="D6" s="3415"/>
      <c r="E6" s="3433" t="s">
        <v>2930</v>
      </c>
      <c r="F6" s="3434"/>
      <c r="G6" s="3414" t="s">
        <v>2930</v>
      </c>
      <c r="H6" s="3415"/>
      <c r="I6" s="3414" t="s">
        <v>2930</v>
      </c>
      <c r="J6" s="3415"/>
      <c r="K6" s="514" t="s">
        <v>528</v>
      </c>
      <c r="L6" s="2135"/>
      <c r="M6" s="2136"/>
      <c r="N6" s="2136"/>
      <c r="O6" s="2136"/>
      <c r="P6" s="3411"/>
      <c r="Q6" s="3412"/>
      <c r="R6" s="3395"/>
      <c r="S6" s="3396"/>
      <c r="T6" s="3397"/>
      <c r="U6" s="3398"/>
      <c r="V6" s="3413"/>
      <c r="W6" s="3413"/>
      <c r="X6" s="1568"/>
      <c r="Y6" s="3397"/>
      <c r="Z6" s="3398"/>
      <c r="AA6" s="3390"/>
      <c r="AB6" s="3390"/>
      <c r="AC6" s="3390"/>
    </row>
    <row r="7" spans="1:29" s="1220" customFormat="1" ht="15.75" thickBot="1">
      <c r="A7" s="2938"/>
      <c r="B7" s="2945" t="s">
        <v>529</v>
      </c>
      <c r="C7" s="519">
        <f>'数据-取费表'!B2</f>
        <v>43210</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1" t="s">
        <v>530</v>
      </c>
      <c r="Q7" s="3400"/>
      <c r="R7" s="1569" t="s">
        <v>8</v>
      </c>
      <c r="S7" s="1570">
        <f t="shared" ref="S7:S14" si="0">F7</f>
        <v>0</v>
      </c>
      <c r="T7" s="1569" t="s">
        <v>8</v>
      </c>
      <c r="U7" s="1570">
        <f t="shared" ref="U7:U14" si="1">H7</f>
        <v>0</v>
      </c>
      <c r="V7" s="1569" t="s">
        <v>8</v>
      </c>
      <c r="W7" s="1570">
        <f t="shared" ref="W7:W14" si="2">J7</f>
        <v>0</v>
      </c>
      <c r="X7" s="1571"/>
      <c r="Y7" s="3391" t="s">
        <v>530</v>
      </c>
      <c r="Z7" s="3392"/>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1" t="s">
        <v>533</v>
      </c>
      <c r="Q8" s="3392"/>
      <c r="R8" s="1569" t="s">
        <v>8</v>
      </c>
      <c r="S8" s="1570">
        <f t="shared" si="0"/>
        <v>0</v>
      </c>
      <c r="T8" s="1569" t="s">
        <v>8</v>
      </c>
      <c r="U8" s="1570">
        <f t="shared" si="1"/>
        <v>0</v>
      </c>
      <c r="V8" s="1569" t="s">
        <v>8</v>
      </c>
      <c r="W8" s="1570">
        <f t="shared" si="2"/>
        <v>0</v>
      </c>
      <c r="X8" s="1571"/>
      <c r="Y8" s="3391" t="s">
        <v>533</v>
      </c>
      <c r="Z8" s="3392"/>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99" t="s">
        <v>535</v>
      </c>
      <c r="Q9" s="1151" t="str">
        <f t="shared" ref="Q9:Q14" si="6">B9</f>
        <v>用途</v>
      </c>
      <c r="R9" s="1569" t="s">
        <v>8</v>
      </c>
      <c r="S9" s="1570">
        <f t="shared" si="0"/>
        <v>100</v>
      </c>
      <c r="T9" s="1569" t="s">
        <v>8</v>
      </c>
      <c r="U9" s="1570">
        <f t="shared" si="1"/>
        <v>100</v>
      </c>
      <c r="V9" s="1569" t="s">
        <v>8</v>
      </c>
      <c r="W9" s="1570">
        <f t="shared" si="2"/>
        <v>100</v>
      </c>
      <c r="X9" s="1571"/>
      <c r="Y9" s="3356"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99"/>
      <c r="Q10" s="1151" t="str">
        <f t="shared" si="6"/>
        <v>土地使用年限（年）</v>
      </c>
      <c r="R10" s="1569" t="s">
        <v>8</v>
      </c>
      <c r="S10" s="1570">
        <f t="shared" si="0"/>
        <v>100</v>
      </c>
      <c r="T10" s="1569" t="s">
        <v>8</v>
      </c>
      <c r="U10" s="1570">
        <f t="shared" si="1"/>
        <v>100</v>
      </c>
      <c r="V10" s="1569" t="s">
        <v>8</v>
      </c>
      <c r="W10" s="1570">
        <f t="shared" si="2"/>
        <v>100</v>
      </c>
      <c r="X10" s="1571"/>
      <c r="Y10" s="3356"/>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99"/>
      <c r="Q11" s="1151">
        <f t="shared" si="6"/>
        <v>111</v>
      </c>
      <c r="R11" s="1569" t="s">
        <v>8</v>
      </c>
      <c r="S11" s="1570">
        <f t="shared" si="0"/>
        <v>100</v>
      </c>
      <c r="T11" s="1569" t="s">
        <v>8</v>
      </c>
      <c r="U11" s="1570">
        <f t="shared" si="1"/>
        <v>100</v>
      </c>
      <c r="V11" s="1569" t="s">
        <v>8</v>
      </c>
      <c r="W11" s="1570">
        <f t="shared" si="2"/>
        <v>100</v>
      </c>
      <c r="X11" s="1571"/>
      <c r="Y11" s="3356"/>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99"/>
      <c r="Q12" s="1151">
        <f t="shared" si="6"/>
        <v>111</v>
      </c>
      <c r="R12" s="1569" t="s">
        <v>8</v>
      </c>
      <c r="S12" s="1570">
        <f t="shared" si="0"/>
        <v>100</v>
      </c>
      <c r="T12" s="1569" t="s">
        <v>8</v>
      </c>
      <c r="U12" s="1570">
        <f t="shared" si="1"/>
        <v>100</v>
      </c>
      <c r="V12" s="1569" t="s">
        <v>8</v>
      </c>
      <c r="W12" s="1570">
        <f t="shared" si="2"/>
        <v>100</v>
      </c>
      <c r="X12" s="1571"/>
      <c r="Y12" s="3356"/>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99"/>
      <c r="Q13" s="1151">
        <f t="shared" si="6"/>
        <v>111</v>
      </c>
      <c r="R13" s="1569" t="s">
        <v>8</v>
      </c>
      <c r="S13" s="1570">
        <f t="shared" si="0"/>
        <v>100</v>
      </c>
      <c r="T13" s="1569" t="s">
        <v>8</v>
      </c>
      <c r="U13" s="1570">
        <f t="shared" si="1"/>
        <v>100</v>
      </c>
      <c r="V13" s="1569" t="s">
        <v>8</v>
      </c>
      <c r="W13" s="1570">
        <f t="shared" si="2"/>
        <v>100</v>
      </c>
      <c r="X13" s="1571"/>
      <c r="Y13" s="3356"/>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1" t="s">
        <v>540</v>
      </c>
      <c r="Q14" s="1573" t="str">
        <f t="shared" si="6"/>
        <v>交通便捷度</v>
      </c>
      <c r="R14" s="1574" t="s">
        <v>8</v>
      </c>
      <c r="S14" s="1575">
        <f t="shared" si="0"/>
        <v>100</v>
      </c>
      <c r="T14" s="1574" t="s">
        <v>8</v>
      </c>
      <c r="U14" s="1575">
        <f t="shared" si="1"/>
        <v>100</v>
      </c>
      <c r="V14" s="1574" t="s">
        <v>8</v>
      </c>
      <c r="W14" s="1575">
        <f t="shared" si="2"/>
        <v>100</v>
      </c>
      <c r="X14" s="1568"/>
      <c r="Y14" s="3401"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2"/>
      <c r="Q15" s="1573"/>
      <c r="R15" s="1574"/>
      <c r="S15" s="1575"/>
      <c r="T15" s="1574"/>
      <c r="U15" s="1575"/>
      <c r="V15" s="1574"/>
      <c r="W15" s="1575"/>
      <c r="X15" s="1568"/>
      <c r="Y15" s="3402"/>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2"/>
      <c r="Q16" s="1573" t="str">
        <f>B16</f>
        <v>公共配套设施</v>
      </c>
      <c r="R16" s="1574" t="s">
        <v>8</v>
      </c>
      <c r="S16" s="1575">
        <f>F16</f>
        <v>100</v>
      </c>
      <c r="T16" s="1574" t="s">
        <v>8</v>
      </c>
      <c r="U16" s="1575">
        <f>H16</f>
        <v>100</v>
      </c>
      <c r="V16" s="1574" t="s">
        <v>8</v>
      </c>
      <c r="W16" s="1575">
        <f>J16</f>
        <v>100</v>
      </c>
      <c r="X16" s="1568"/>
      <c r="Y16" s="340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2"/>
      <c r="Q17" s="1573"/>
      <c r="R17" s="1574"/>
      <c r="S17" s="1575"/>
      <c r="T17" s="1574"/>
      <c r="U17" s="1575"/>
      <c r="V17" s="1574"/>
      <c r="W17" s="1575"/>
      <c r="X17" s="1568"/>
      <c r="Y17" s="3402"/>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2"/>
      <c r="Q18" s="2605" t="str">
        <f>B18</f>
        <v>基础设施水平</v>
      </c>
      <c r="R18" s="1574" t="s">
        <v>8</v>
      </c>
      <c r="S18" s="1575">
        <f>F18</f>
        <v>100</v>
      </c>
      <c r="T18" s="1574" t="s">
        <v>8</v>
      </c>
      <c r="U18" s="1575">
        <f>H18</f>
        <v>100</v>
      </c>
      <c r="V18" s="1574" t="s">
        <v>8</v>
      </c>
      <c r="W18" s="1575">
        <f>J18</f>
        <v>100</v>
      </c>
      <c r="X18" s="2607"/>
      <c r="Y18" s="3402"/>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02"/>
      <c r="Q19" s="2605"/>
      <c r="R19" s="1574"/>
      <c r="S19" s="1575"/>
      <c r="T19" s="1574"/>
      <c r="U19" s="1575"/>
      <c r="V19" s="1574"/>
      <c r="W19" s="1575"/>
      <c r="X19" s="2607"/>
      <c r="Y19" s="3402"/>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2"/>
      <c r="Q20" s="1573" t="str">
        <f>B20</f>
        <v>自然及人文环境</v>
      </c>
      <c r="R20" s="1574" t="s">
        <v>8</v>
      </c>
      <c r="S20" s="1575">
        <f>F20</f>
        <v>100</v>
      </c>
      <c r="T20" s="1574" t="s">
        <v>8</v>
      </c>
      <c r="U20" s="1575">
        <f>H20</f>
        <v>100</v>
      </c>
      <c r="V20" s="1574" t="s">
        <v>8</v>
      </c>
      <c r="W20" s="1575">
        <f>J20</f>
        <v>100</v>
      </c>
      <c r="X20" s="1568"/>
      <c r="Y20" s="340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2"/>
      <c r="Q21" s="1573"/>
      <c r="R21" s="1574"/>
      <c r="S21" s="1575"/>
      <c r="T21" s="1574"/>
      <c r="U21" s="1575"/>
      <c r="V21" s="1574"/>
      <c r="W21" s="1575"/>
      <c r="X21" s="1568"/>
      <c r="Y21" s="3402"/>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2"/>
      <c r="Q22" s="1573" t="str">
        <f>B22</f>
        <v>楼层</v>
      </c>
      <c r="R22" s="1574" t="s">
        <v>8</v>
      </c>
      <c r="S22" s="1575">
        <f>F22</f>
        <v>100</v>
      </c>
      <c r="T22" s="1574" t="s">
        <v>8</v>
      </c>
      <c r="U22" s="1575">
        <f>H22</f>
        <v>100</v>
      </c>
      <c r="V22" s="1574" t="s">
        <v>8</v>
      </c>
      <c r="W22" s="1575">
        <f>J22</f>
        <v>100</v>
      </c>
      <c r="X22" s="1568"/>
      <c r="Y22" s="340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2"/>
      <c r="Q23" s="1573">
        <f>B23</f>
        <v>111</v>
      </c>
      <c r="R23" s="1574" t="s">
        <v>8</v>
      </c>
      <c r="S23" s="1575">
        <f>F23</f>
        <v>100</v>
      </c>
      <c r="T23" s="1574" t="s">
        <v>8</v>
      </c>
      <c r="U23" s="1575">
        <f>H23</f>
        <v>100</v>
      </c>
      <c r="V23" s="1574" t="s">
        <v>8</v>
      </c>
      <c r="W23" s="1575">
        <f>J23</f>
        <v>100</v>
      </c>
      <c r="X23" s="1568"/>
      <c r="Y23" s="340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2"/>
      <c r="Q24" s="1573">
        <f t="shared" ref="Q24:Q34" si="11">B24</f>
        <v>111</v>
      </c>
      <c r="R24" s="1574" t="s">
        <v>8</v>
      </c>
      <c r="S24" s="1575">
        <f>F24</f>
        <v>100</v>
      </c>
      <c r="T24" s="1574" t="s">
        <v>8</v>
      </c>
      <c r="U24" s="1575">
        <f>H24</f>
        <v>100</v>
      </c>
      <c r="V24" s="1574" t="s">
        <v>8</v>
      </c>
      <c r="W24" s="1575">
        <f>J24</f>
        <v>100</v>
      </c>
      <c r="X24" s="1568"/>
      <c r="Y24" s="340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2"/>
      <c r="Q25" s="1151">
        <f t="shared" si="11"/>
        <v>111</v>
      </c>
      <c r="R25" s="1569" t="s">
        <v>8</v>
      </c>
      <c r="S25" s="1570">
        <f>F25</f>
        <v>100</v>
      </c>
      <c r="T25" s="1569" t="s">
        <v>8</v>
      </c>
      <c r="U25" s="1570">
        <f>H25</f>
        <v>100</v>
      </c>
      <c r="V25" s="1569" t="s">
        <v>8</v>
      </c>
      <c r="W25" s="1570">
        <f>J25</f>
        <v>100</v>
      </c>
      <c r="X25" s="1571"/>
      <c r="Y25" s="3402"/>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3"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4"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4"/>
      <c r="Q27" s="1606" t="str">
        <f t="shared" si="11"/>
        <v>成新率</v>
      </c>
      <c r="R27" s="1578" t="s">
        <v>8</v>
      </c>
      <c r="S27" s="1579" t="e">
        <f t="shared" si="12"/>
        <v>#N/A</v>
      </c>
      <c r="T27" s="1578" t="s">
        <v>8</v>
      </c>
      <c r="U27" s="1579" t="e">
        <f t="shared" si="13"/>
        <v>#N/A</v>
      </c>
      <c r="V27" s="1578" t="s">
        <v>8</v>
      </c>
      <c r="W27" s="1579" t="e">
        <f t="shared" si="14"/>
        <v>#N/A</v>
      </c>
      <c r="X27" s="1580"/>
      <c r="Y27" s="3404"/>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4"/>
      <c r="Q28" s="1573" t="str">
        <f t="shared" si="11"/>
        <v>物业等级</v>
      </c>
      <c r="R28" s="1574" t="s">
        <v>8</v>
      </c>
      <c r="S28" s="1575">
        <f t="shared" si="12"/>
        <v>100</v>
      </c>
      <c r="T28" s="1574" t="s">
        <v>8</v>
      </c>
      <c r="U28" s="1575">
        <f t="shared" si="13"/>
        <v>100</v>
      </c>
      <c r="V28" s="1574" t="s">
        <v>8</v>
      </c>
      <c r="W28" s="1575">
        <f t="shared" si="14"/>
        <v>100</v>
      </c>
      <c r="X28" s="1568"/>
      <c r="Y28" s="3404"/>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4"/>
      <c r="Q29" s="1573" t="str">
        <f t="shared" si="11"/>
        <v>有无电梯</v>
      </c>
      <c r="R29" s="1574" t="s">
        <v>8</v>
      </c>
      <c r="S29" s="1575">
        <f t="shared" si="12"/>
        <v>100</v>
      </c>
      <c r="T29" s="1574" t="s">
        <v>8</v>
      </c>
      <c r="U29" s="1575">
        <f t="shared" si="13"/>
        <v>100</v>
      </c>
      <c r="V29" s="1574" t="s">
        <v>8</v>
      </c>
      <c r="W29" s="1575">
        <f t="shared" si="14"/>
        <v>100</v>
      </c>
      <c r="X29" s="1568"/>
      <c r="Y29" s="3404"/>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4"/>
      <c r="Q30" s="1573" t="str">
        <f t="shared" si="11"/>
        <v>建筑面积</v>
      </c>
      <c r="R30" s="1574" t="s">
        <v>8</v>
      </c>
      <c r="S30" s="1575" t="e">
        <f t="shared" si="12"/>
        <v>#N/A</v>
      </c>
      <c r="T30" s="1574" t="s">
        <v>8</v>
      </c>
      <c r="U30" s="1575" t="e">
        <f t="shared" si="13"/>
        <v>#N/A</v>
      </c>
      <c r="V30" s="1574" t="s">
        <v>8</v>
      </c>
      <c r="W30" s="1575" t="e">
        <f t="shared" si="14"/>
        <v>#N/A</v>
      </c>
      <c r="X30" s="1568"/>
      <c r="Y30" s="3404"/>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4"/>
      <c r="Q31" s="1151" t="str">
        <f t="shared" si="11"/>
        <v>是否封闭</v>
      </c>
      <c r="R31" s="1569" t="s">
        <v>8</v>
      </c>
      <c r="S31" s="1570">
        <f t="shared" si="12"/>
        <v>100</v>
      </c>
      <c r="T31" s="1569" t="s">
        <v>8</v>
      </c>
      <c r="U31" s="1570">
        <f t="shared" si="13"/>
        <v>100</v>
      </c>
      <c r="V31" s="1569" t="s">
        <v>8</v>
      </c>
      <c r="W31" s="1570">
        <f t="shared" si="14"/>
        <v>100</v>
      </c>
      <c r="X31" s="1571"/>
      <c r="Y31" s="340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4" t="s">
        <v>550</v>
      </c>
      <c r="Q32" s="1573">
        <f t="shared" si="11"/>
        <v>111</v>
      </c>
      <c r="R32" s="1574" t="s">
        <v>8</v>
      </c>
      <c r="S32" s="1575">
        <f t="shared" si="12"/>
        <v>100</v>
      </c>
      <c r="T32" s="1574" t="s">
        <v>8</v>
      </c>
      <c r="U32" s="1575">
        <f t="shared" si="13"/>
        <v>100</v>
      </c>
      <c r="V32" s="1574" t="s">
        <v>8</v>
      </c>
      <c r="W32" s="1575">
        <f t="shared" si="14"/>
        <v>100</v>
      </c>
      <c r="X32" s="1568"/>
      <c r="Y32" s="3404"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4"/>
      <c r="Q33" s="1573">
        <f t="shared" si="11"/>
        <v>111</v>
      </c>
      <c r="R33" s="1574" t="s">
        <v>8</v>
      </c>
      <c r="S33" s="1575">
        <f t="shared" si="12"/>
        <v>100</v>
      </c>
      <c r="T33" s="1574" t="s">
        <v>8</v>
      </c>
      <c r="U33" s="1575">
        <f t="shared" si="13"/>
        <v>100</v>
      </c>
      <c r="V33" s="1574" t="s">
        <v>8</v>
      </c>
      <c r="W33" s="1575">
        <f t="shared" si="14"/>
        <v>100</v>
      </c>
      <c r="X33" s="1568"/>
      <c r="Y33" s="340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4"/>
      <c r="Q34" s="1573">
        <f t="shared" si="11"/>
        <v>111</v>
      </c>
      <c r="R34" s="1574" t="s">
        <v>8</v>
      </c>
      <c r="S34" s="1575">
        <f t="shared" si="12"/>
        <v>100</v>
      </c>
      <c r="T34" s="1574" t="s">
        <v>8</v>
      </c>
      <c r="U34" s="1575">
        <f t="shared" si="13"/>
        <v>100</v>
      </c>
      <c r="V34" s="1574" t="s">
        <v>8</v>
      </c>
      <c r="W34" s="1575">
        <f t="shared" si="14"/>
        <v>100</v>
      </c>
      <c r="X34" s="1568"/>
      <c r="Y34" s="3404"/>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99" t="str">
        <f>A35</f>
        <v>成交单价（元/平方米）</v>
      </c>
      <c r="Q35" s="3399"/>
      <c r="R35" s="3499">
        <f>E35</f>
        <v>0</v>
      </c>
      <c r="S35" s="3499"/>
      <c r="T35" s="3499">
        <f>G35</f>
        <v>0</v>
      </c>
      <c r="U35" s="3499"/>
      <c r="V35" s="3499">
        <f>I35</f>
        <v>0</v>
      </c>
      <c r="W35" s="3499"/>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399" t="str">
        <f>A36</f>
        <v>比较价格（元/平方米）</v>
      </c>
      <c r="Q36" s="3399"/>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420" t="str">
        <f>A37</f>
        <v>估价对象XX用房的比较价格（楼面单价，元/平方米）</v>
      </c>
      <c r="Q37" s="3421"/>
      <c r="R37" s="3498" t="e">
        <f>IF(F1="售价",ROUND(AVERAGE(R36:V36),0),ROUND(AVERAGE(R36:V36),1))</f>
        <v>#DIV/0!</v>
      </c>
      <c r="S37" s="3498"/>
      <c r="T37" s="3498"/>
      <c r="U37" s="3498"/>
      <c r="V37" s="3498"/>
      <c r="W37" s="3498"/>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2018-4</v>
      </c>
      <c r="D46" s="2830">
        <f>EDATE(C46,-1)</f>
        <v>43160</v>
      </c>
      <c r="E46" s="2830">
        <f t="shared" ref="E46:O46" si="16">EDATE(D46,-1)</f>
        <v>43132</v>
      </c>
      <c r="F46" s="2830">
        <f t="shared" si="16"/>
        <v>43101</v>
      </c>
      <c r="G46" s="2830">
        <f t="shared" si="16"/>
        <v>43070</v>
      </c>
      <c r="H46" s="2830">
        <f t="shared" si="16"/>
        <v>43040</v>
      </c>
      <c r="I46" s="2830">
        <f t="shared" si="16"/>
        <v>43009</v>
      </c>
      <c r="J46" s="2830">
        <f t="shared" si="16"/>
        <v>42979</v>
      </c>
      <c r="K46" s="2830">
        <f t="shared" si="16"/>
        <v>42948</v>
      </c>
      <c r="L46" s="2830">
        <f t="shared" si="16"/>
        <v>42917</v>
      </c>
      <c r="M46" s="2830">
        <f t="shared" si="16"/>
        <v>42887</v>
      </c>
      <c r="N46" s="2830">
        <f t="shared" si="16"/>
        <v>42856</v>
      </c>
      <c r="O46" s="2830">
        <f t="shared" si="16"/>
        <v>42826</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08" t="s">
        <v>2304</v>
      </c>
      <c r="D1" s="3509"/>
      <c r="E1" s="3509"/>
      <c r="F1" s="3509"/>
      <c r="G1" s="3509"/>
      <c r="H1" s="3509"/>
      <c r="I1" s="3509"/>
      <c r="J1" s="3509"/>
      <c r="K1" s="3509"/>
      <c r="L1" s="3509"/>
      <c r="M1" s="3509"/>
      <c r="N1" s="3509"/>
      <c r="O1" s="3509"/>
      <c r="P1" s="3509"/>
      <c r="Q1" s="3509"/>
      <c r="R1" s="3509"/>
      <c r="S1" s="3510"/>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5" t="s">
        <v>20</v>
      </c>
      <c r="D22" s="3506"/>
      <c r="E22" s="3506"/>
      <c r="F22" s="3506"/>
      <c r="G22" s="3506"/>
      <c r="H22" s="3506"/>
      <c r="I22" s="3506"/>
      <c r="J22" s="3506"/>
      <c r="K22" s="3506"/>
      <c r="L22" s="3506"/>
      <c r="M22" s="3506"/>
      <c r="N22" s="3506"/>
      <c r="O22" s="3506"/>
      <c r="P22" s="3506"/>
      <c r="Q22" s="3507"/>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2787</v>
      </c>
      <c r="C1" s="3030">
        <f>项目基本情况!D3</f>
        <v>43210</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2038</v>
      </c>
      <c r="B1" s="3223"/>
      <c r="C1" s="3223"/>
      <c r="D1" s="3223"/>
      <c r="E1" s="3223"/>
      <c r="F1" s="3223"/>
      <c r="G1" s="3223"/>
      <c r="H1" s="3223"/>
      <c r="I1" s="3223"/>
      <c r="J1" s="3223"/>
      <c r="K1" s="3223"/>
      <c r="L1" s="3223"/>
      <c r="M1" s="3223"/>
      <c r="N1" s="3223"/>
      <c r="O1" s="3223"/>
      <c r="P1" s="3223"/>
      <c r="Q1" s="3223"/>
      <c r="R1" s="3223"/>
    </row>
    <row r="2" spans="1:18">
      <c r="A2" s="1809" t="s">
        <v>2040</v>
      </c>
      <c r="B2" s="1809"/>
      <c r="C2" s="1809"/>
      <c r="D2" s="1809"/>
      <c r="E2" s="1809"/>
      <c r="F2" s="1809"/>
      <c r="G2" s="1809"/>
      <c r="H2" s="1809"/>
      <c r="I2" s="1810"/>
      <c r="J2" s="1810"/>
      <c r="K2" s="1811" t="str">
        <f>"估价期日："&amp;TEXT(项目基本情况!D3,"yyyy年m月d日;;")</f>
        <v>估价期日：2018年4月20日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4" t="s">
        <v>2029</v>
      </c>
      <c r="B3" s="3224" t="s">
        <v>2730</v>
      </c>
      <c r="C3" s="3225" t="s">
        <v>2030</v>
      </c>
      <c r="D3" s="3224" t="s">
        <v>2734</v>
      </c>
      <c r="E3" s="3219" t="s">
        <v>2031</v>
      </c>
      <c r="F3" s="3219"/>
      <c r="G3" s="3219"/>
      <c r="H3" s="3219" t="s">
        <v>2032</v>
      </c>
      <c r="I3" s="3219"/>
      <c r="J3" s="3219"/>
      <c r="K3" s="3225" t="s">
        <v>2033</v>
      </c>
      <c r="L3" s="3225" t="s">
        <v>2034</v>
      </c>
      <c r="M3" s="3224" t="s">
        <v>2731</v>
      </c>
      <c r="N3" s="3226" t="str">
        <f>"（分摊）"&amp;项目基本情况!B16&amp;"国有建设用地使用权面积/㎡"</f>
        <v>（分摊）出让国有建设用地使用权面积/㎡</v>
      </c>
      <c r="O3" s="3224" t="s">
        <v>2063</v>
      </c>
      <c r="P3" s="3225" t="s">
        <v>2043</v>
      </c>
      <c r="Q3" s="3225" t="s">
        <v>2064</v>
      </c>
      <c r="R3" s="3225" t="s">
        <v>2035</v>
      </c>
    </row>
    <row r="4" spans="1:18" ht="36.75" customHeight="1">
      <c r="A4" s="3224"/>
      <c r="B4" s="3224"/>
      <c r="C4" s="3225"/>
      <c r="D4" s="3224"/>
      <c r="E4" s="2675" t="s">
        <v>2042</v>
      </c>
      <c r="F4" s="2675" t="s">
        <v>2743</v>
      </c>
      <c r="G4" s="2675" t="s">
        <v>2036</v>
      </c>
      <c r="H4" s="2675" t="s">
        <v>2037</v>
      </c>
      <c r="I4" s="2675" t="s">
        <v>2744</v>
      </c>
      <c r="J4" s="2675" t="s">
        <v>2036</v>
      </c>
      <c r="K4" s="3225"/>
      <c r="L4" s="3225"/>
      <c r="M4" s="3224"/>
      <c r="N4" s="3226"/>
      <c r="O4" s="3224"/>
      <c r="P4" s="3225"/>
      <c r="Q4" s="3225"/>
      <c r="R4" s="3225"/>
    </row>
    <row r="5" spans="1:18" ht="135" customHeight="1">
      <c r="A5" s="1945" t="s">
        <v>2654</v>
      </c>
      <c r="B5" s="2893" t="s">
        <v>2652</v>
      </c>
      <c r="C5" s="2674">
        <v>22</v>
      </c>
      <c r="D5" s="2673" t="s">
        <v>2653</v>
      </c>
      <c r="E5" s="1812" t="str">
        <f>项目基本情况!B12</f>
        <v>商业、商务</v>
      </c>
      <c r="F5" s="2673">
        <v>258</v>
      </c>
      <c r="G5" s="1812" t="str">
        <f>项目基本情况!B13</f>
        <v>办公</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40729.97</v>
      </c>
      <c r="O5" s="1812">
        <f>项目基本情况!C21</f>
        <v>126262.9</v>
      </c>
      <c r="P5" s="1812">
        <f ca="1">结果表!E42</f>
        <v>8715</v>
      </c>
      <c r="Q5" s="1812">
        <f ca="1">结果表!D42</f>
        <v>2811</v>
      </c>
      <c r="R5" s="1813">
        <f ca="1">结果表!C42</f>
        <v>35495</v>
      </c>
    </row>
    <row r="6" spans="1:18">
      <c r="A6" s="3220" t="str">
        <f>IF(项目基本情况!B9="市场价格","——","抵押价格")</f>
        <v>——</v>
      </c>
      <c r="B6" s="3221"/>
      <c r="C6" s="3221"/>
      <c r="D6" s="3221"/>
      <c r="E6" s="3221"/>
      <c r="F6" s="3221"/>
      <c r="G6" s="3221"/>
      <c r="H6" s="3221"/>
      <c r="I6" s="3221"/>
      <c r="J6" s="3221"/>
      <c r="K6" s="3221"/>
      <c r="L6" s="3221"/>
      <c r="M6" s="3221"/>
      <c r="N6" s="3221"/>
      <c r="O6" s="3221"/>
      <c r="P6" s="3221"/>
      <c r="Q6" s="3222"/>
      <c r="R6" s="1814" t="str">
        <f>结果表!O39</f>
        <v>——</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4" t="str">
        <f>结果表!O40</f>
        <v>——</v>
      </c>
    </row>
    <row r="8" spans="1:18">
      <c r="A8" s="3220" t="str">
        <f>IF(项目基本情况!B9="市场价格","——",项目基本情况!E9)</f>
        <v>——</v>
      </c>
      <c r="B8" s="3221"/>
      <c r="C8" s="3221"/>
      <c r="D8" s="3221"/>
      <c r="E8" s="3221"/>
      <c r="F8" s="3221"/>
      <c r="G8" s="3221"/>
      <c r="H8" s="3221"/>
      <c r="I8" s="3221"/>
      <c r="J8" s="3221"/>
      <c r="K8" s="3221"/>
      <c r="L8" s="3221"/>
      <c r="M8" s="3221"/>
      <c r="N8" s="3221"/>
      <c r="O8" s="3221"/>
      <c r="P8" s="3221"/>
      <c r="Q8" s="3222"/>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7" t="s">
        <v>2065</v>
      </c>
      <c r="B1" s="3227"/>
      <c r="C1" s="3227"/>
      <c r="D1" s="3227"/>
    </row>
    <row r="2" spans="1:4" ht="47.25" customHeight="1">
      <c r="A2" s="3231" t="str">
        <f>"1.权利限制："&amp;项目基本情况!L24&amp;"未设定租赁等其他他项权利。"</f>
        <v>1.权利限制：根据估价对象————，截至估价期日，估价对象抵押权未见登记。未设定租赁等其他他项权利。</v>
      </c>
      <c r="B2" s="3231"/>
      <c r="C2" s="3231"/>
      <c r="D2" s="3231"/>
    </row>
    <row r="3" spans="1:4" ht="48" customHeight="1">
      <c r="A3" s="322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7"/>
      <c r="C3" s="3227"/>
      <c r="D3" s="3227"/>
    </row>
    <row r="4" spans="1:4" ht="36.75" customHeight="1">
      <c r="A4" s="3227" t="str">
        <f>"3.估价规划限制条件：详见"&amp;项目基本情况!E21&amp;"。"</f>
        <v>3.估价规划限制条件：详见《国有建设用地使用权出让合同》。</v>
      </c>
      <c r="B4" s="3227"/>
      <c r="C4" s="3227"/>
      <c r="D4" s="3227"/>
    </row>
    <row r="5" spans="1:4">
      <c r="A5" s="3230" t="s">
        <v>2066</v>
      </c>
      <c r="B5" s="3230"/>
      <c r="C5" s="3230"/>
      <c r="D5" s="3230"/>
    </row>
    <row r="6" spans="1:4">
      <c r="A6" s="3227" t="s">
        <v>2044</v>
      </c>
      <c r="B6" s="3227"/>
      <c r="C6" s="3227"/>
      <c r="D6" s="3227"/>
    </row>
    <row r="7" spans="1:4" ht="33" customHeight="1">
      <c r="A7" s="3227" t="s">
        <v>2574</v>
      </c>
      <c r="B7" s="3227"/>
      <c r="C7" s="3227"/>
      <c r="D7" s="3227"/>
    </row>
    <row r="8" spans="1:4" ht="32.25" customHeight="1">
      <c r="A8" s="322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7"/>
      <c r="C8" s="3227"/>
      <c r="D8" s="3227"/>
    </row>
    <row r="9" spans="1:4" ht="33.75" customHeight="1">
      <c r="A9" s="322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7"/>
      <c r="C9" s="3227"/>
      <c r="D9" s="3227"/>
    </row>
    <row r="10" spans="1:4">
      <c r="A10" s="3227" t="str">
        <f>IF(项目基本情况!B8="抵押","4.估价师所知悉的法定优先受偿款情况为：","——")</f>
        <v>4.估价师所知悉的法定优先受偿款情况为：</v>
      </c>
      <c r="B10" s="3227"/>
      <c r="C10" s="3227"/>
      <c r="D10" s="3227"/>
    </row>
    <row r="11" spans="1:4" ht="37.5" customHeight="1">
      <c r="A11" s="3229"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9"/>
      <c r="C11" s="3229"/>
      <c r="D11" s="3229"/>
    </row>
    <row r="12" spans="1:4" ht="168" customHeight="1">
      <c r="A12" s="3230" t="s">
        <v>2068</v>
      </c>
      <c r="B12" s="3230"/>
      <c r="C12" s="3230"/>
      <c r="D12" s="3230"/>
    </row>
    <row r="13" spans="1:4">
      <c r="A13" s="3228" t="s">
        <v>2745</v>
      </c>
      <c r="B13" s="3228"/>
      <c r="C13" s="3228"/>
      <c r="D13" s="3228"/>
    </row>
    <row r="14" spans="1:4">
      <c r="A14" s="3229" t="str">
        <f>IF(项目基本情况!B8="抵押","综上，"&amp;结果表!K47,"——")</f>
        <v>综上，本次评估不存在估价师知悉的法定优先受偿款</v>
      </c>
      <c r="B14" s="3229"/>
      <c r="C14" s="3229"/>
      <c r="D14" s="3229"/>
    </row>
    <row r="15" spans="1:4" ht="58.5" customHeight="1">
      <c r="A15" s="322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7"/>
      <c r="C15" s="3227"/>
      <c r="D15" s="3227"/>
    </row>
    <row r="16" spans="1:4" ht="70.5" customHeight="1">
      <c r="A16" s="322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7"/>
      <c r="C16" s="3227"/>
      <c r="D16" s="3227"/>
    </row>
    <row r="17" spans="1:4">
      <c r="A17" s="3227" t="s">
        <v>2701</v>
      </c>
      <c r="B17" s="3227"/>
      <c r="C17" s="3227"/>
      <c r="D17" s="3227"/>
    </row>
    <row r="18" spans="1:4">
      <c r="A18" s="3227" t="s">
        <v>2693</v>
      </c>
      <c r="B18" s="3227"/>
      <c r="C18" s="3227"/>
      <c r="D18" s="3227"/>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227" t="s">
        <v>2698</v>
      </c>
      <c r="B23" s="3227"/>
      <c r="C23" s="3227"/>
      <c r="D23" s="3227"/>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9" t="s">
        <v>53</v>
      </c>
      <c r="B15" s="3240" t="s">
        <v>846</v>
      </c>
      <c r="C15" s="3236"/>
    </row>
    <row r="16" spans="1:7" ht="14.25">
      <c r="A16" s="3239"/>
      <c r="B16" s="3237" t="s">
        <v>54</v>
      </c>
      <c r="C16" s="1172" t="s">
        <v>53</v>
      </c>
    </row>
    <row r="17" spans="1:3" ht="14.25">
      <c r="A17" s="3239"/>
      <c r="B17" s="3237"/>
      <c r="C17" s="1172" t="s">
        <v>55</v>
      </c>
    </row>
    <row r="18" spans="1:3" ht="14.25">
      <c r="A18" s="3239"/>
      <c r="B18" s="3237"/>
      <c r="C18" s="1172" t="s">
        <v>56</v>
      </c>
    </row>
    <row r="19" spans="1:3" ht="14.25">
      <c r="A19" s="3239"/>
      <c r="B19" s="3235" t="s">
        <v>57</v>
      </c>
      <c r="C19" s="3236"/>
    </row>
    <row r="20" spans="1:3" ht="14.25">
      <c r="A20" s="1173" t="s">
        <v>58</v>
      </c>
      <c r="B20" s="1174"/>
      <c r="C20" s="1175"/>
    </row>
    <row r="21" spans="1:3" ht="14.25">
      <c r="A21" s="3238" t="s">
        <v>59</v>
      </c>
      <c r="B21" s="3235" t="s">
        <v>60</v>
      </c>
      <c r="C21" s="3236"/>
    </row>
    <row r="22" spans="1:3" ht="14.25">
      <c r="A22" s="3238"/>
      <c r="B22" s="3235" t="s">
        <v>61</v>
      </c>
      <c r="C22" s="3236"/>
    </row>
    <row r="23" spans="1:3" ht="14.25">
      <c r="A23" s="3238"/>
      <c r="B23" s="3235" t="s">
        <v>62</v>
      </c>
      <c r="C23" s="3236"/>
    </row>
    <row r="24" spans="1:3" ht="14.25">
      <c r="A24" s="3238"/>
      <c r="B24" s="3241" t="s">
        <v>63</v>
      </c>
      <c r="C24" s="1176" t="s">
        <v>837</v>
      </c>
    </row>
    <row r="25" spans="1:3" ht="14.25">
      <c r="A25" s="3238"/>
      <c r="B25" s="3242"/>
      <c r="C25" s="1176" t="s">
        <v>838</v>
      </c>
    </row>
    <row r="26" spans="1:3" ht="14.25">
      <c r="A26" s="3238"/>
      <c r="B26" s="3242"/>
      <c r="C26" s="1176" t="s">
        <v>839</v>
      </c>
    </row>
    <row r="27" spans="1:3" ht="14.25">
      <c r="A27" s="3238"/>
      <c r="B27" s="3242"/>
      <c r="C27" s="1176" t="s">
        <v>840</v>
      </c>
    </row>
    <row r="28" spans="1:3" ht="14.25">
      <c r="A28" s="3238"/>
      <c r="B28" s="3242"/>
      <c r="C28" s="1176" t="s">
        <v>841</v>
      </c>
    </row>
    <row r="29" spans="1:3" ht="14.25">
      <c r="A29" s="3238"/>
      <c r="B29" s="3242"/>
      <c r="C29" s="1176" t="s">
        <v>842</v>
      </c>
    </row>
    <row r="30" spans="1:3" ht="14.25">
      <c r="A30" s="3238"/>
      <c r="B30" s="3242"/>
      <c r="C30" s="1176" t="s">
        <v>843</v>
      </c>
    </row>
    <row r="31" spans="1:3" ht="14.25">
      <c r="A31" s="3238"/>
      <c r="B31" s="3242"/>
      <c r="C31" s="1176" t="s">
        <v>844</v>
      </c>
    </row>
    <row r="32" spans="1:3" ht="14.25">
      <c r="A32" s="3238"/>
      <c r="B32" s="3242"/>
      <c r="C32" s="1176" t="s">
        <v>1647</v>
      </c>
    </row>
    <row r="33" spans="1:3" ht="14.25">
      <c r="A33" s="3238"/>
      <c r="B33" s="3232" t="s">
        <v>1653</v>
      </c>
      <c r="C33" s="1176" t="s">
        <v>1648</v>
      </c>
    </row>
    <row r="34" spans="1:3" ht="14.25">
      <c r="A34" s="3238"/>
      <c r="B34" s="3233"/>
      <c r="C34" s="1181" t="s">
        <v>1649</v>
      </c>
    </row>
    <row r="35" spans="1:3" ht="14.25">
      <c r="A35" s="3238"/>
      <c r="B35" s="3233"/>
      <c r="C35" s="1182" t="s">
        <v>1650</v>
      </c>
    </row>
    <row r="36" spans="1:3" ht="14.25">
      <c r="A36" s="3238"/>
      <c r="B36" s="3233"/>
      <c r="C36" s="1182" t="s">
        <v>1651</v>
      </c>
    </row>
    <row r="37" spans="1:3" ht="14.25">
      <c r="A37" s="3238"/>
      <c r="B37" s="323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26" sqref="B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43217</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f ca="1">IF(C7&lt;B2,"已过期",1120050019)</f>
        <v>1120050019</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f ca="1">IF(C10&lt;B2,"已过期",1120060040)</f>
        <v>1120060040</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f ca="1">IF(C22&lt;B2,"已过期",1120020033)</f>
        <v>1120020033</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243" t="s">
        <v>1929</v>
      </c>
      <c r="B25" s="3243"/>
      <c r="C25" s="3243"/>
      <c r="D25" s="3243"/>
      <c r="E25" s="3243"/>
      <c r="F25" s="3243"/>
      <c r="G25" s="3243"/>
    </row>
    <row r="26" spans="1:7" ht="20.25" customHeight="1">
      <c r="A26" s="3244" t="s">
        <v>1930</v>
      </c>
      <c r="B26" s="3244"/>
      <c r="C26" s="3244"/>
      <c r="D26" s="3244" t="s">
        <v>1931</v>
      </c>
      <c r="E26" s="3244"/>
      <c r="F26" s="3244"/>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3" sqref="W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3089</v>
      </c>
      <c r="C21" s="1555"/>
    </row>
    <row r="22" spans="1:3">
      <c r="A22" s="8" t="s">
        <v>123</v>
      </c>
      <c r="B22" s="3143" t="s">
        <v>3090</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高新区沙文生态科技产业园（土储编号01-02-13）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45"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4月20日，在规划利用条件下、设定土地开发程度为红线外“七通”、宗地内场地平整，设定用途为办公，剩余土地使用年限为的出让国有建设用地使用权价格。</v>
      </c>
      <c r="D53" s="1769"/>
      <c r="E53" s="1769"/>
    </row>
    <row r="54" spans="1:5">
      <c r="A54" s="3245"/>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5"/>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5"/>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5"/>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不动产收益法（办公）</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2018-04-27T08:53:32Z</dcterms:modified>
</cp:coreProperties>
</file>