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C6" i="11"/>
  <c r="E45" i="1" l="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D17" i="57"/>
  <c r="C17" i="57"/>
  <c r="M4" i="57"/>
  <c r="L4" i="57"/>
  <c r="B32" i="9"/>
  <c r="C23" i="31"/>
  <c r="C2" i="31" s="1"/>
  <c r="I23" i="31" s="1"/>
  <c r="C2" i="36"/>
  <c r="F2" i="36" s="1"/>
  <c r="C2" i="35"/>
  <c r="F2" i="35" s="1"/>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B103" i="57"/>
  <c r="B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P60" i="15"/>
  <c r="D3" i="35"/>
  <c r="D3" i="34"/>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Y25" i="31"/>
  <c r="C36" i="57"/>
  <c r="D125" i="57" s="1"/>
  <c r="V25" i="31"/>
  <c r="H102" i="43"/>
  <c r="D3" i="21"/>
  <c r="M6" i="43"/>
  <c r="M5" i="43"/>
  <c r="F81" i="43"/>
  <c r="H85" i="43" s="1"/>
  <c r="H13" i="44"/>
  <c r="H11" i="44"/>
  <c r="C51" i="10"/>
  <c r="A8" i="54"/>
  <c r="B8" i="60" s="1"/>
  <c r="F2" i="21"/>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H23" i="31"/>
  <c r="F5" i="61"/>
  <c r="E2" i="21"/>
  <c r="C20" i="57"/>
  <c r="D3" i="61"/>
  <c r="E2" i="34"/>
  <c r="F6" i="61"/>
  <c r="D4" i="61"/>
  <c r="F3" i="61"/>
  <c r="E2" i="36"/>
  <c r="E2" i="11"/>
  <c r="E2" i="33"/>
  <c r="D6" i="61"/>
  <c r="D5" i="61"/>
  <c r="E2" i="37"/>
  <c r="E2" i="35"/>
  <c r="D7" i="61"/>
  <c r="C19" i="57"/>
  <c r="D19" i="57"/>
  <c r="F4" i="61"/>
  <c r="F7" i="61"/>
  <c r="D20" i="57"/>
  <c r="G125" i="57" l="1"/>
  <c r="C112" i="57"/>
  <c r="D78" i="9"/>
  <c r="D95" i="57"/>
  <c r="D93" i="9"/>
  <c r="C27" i="15"/>
  <c r="D32" i="9"/>
  <c r="C114" i="9"/>
  <c r="H112" i="9" s="1"/>
  <c r="C106" i="9"/>
  <c r="H102" i="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107" i="57" l="1"/>
  <c r="C114" i="57"/>
  <c r="H109" i="57" s="1"/>
  <c r="F7" i="37"/>
  <c r="S7" i="37" s="1"/>
  <c r="H7" i="37"/>
  <c r="AB7" i="37" s="1"/>
  <c r="T42" i="37" s="1"/>
  <c r="G42" i="37" s="1"/>
  <c r="G46" i="37" s="1"/>
  <c r="H46" i="37"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J7" i="36"/>
  <c r="U7" i="37"/>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1" i="9" l="1"/>
  <c r="C102"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M67" i="9"/>
  <c r="N67" i="9" s="1"/>
  <c r="M66" i="9"/>
  <c r="N66" i="9" s="1"/>
  <c r="M68" i="9"/>
  <c r="N68" i="9" s="1"/>
  <c r="M64" i="9"/>
  <c r="N64" i="9" s="1"/>
  <c r="N49" i="9"/>
  <c r="M65" i="9" s="1"/>
  <c r="N65" i="9" s="1"/>
  <c r="M63" i="9"/>
  <c r="N63" i="9" s="1"/>
  <c r="N69" i="9" s="1"/>
  <c r="O69" i="9" s="1"/>
  <c r="E121" i="9" l="1"/>
  <c r="G121" i="9"/>
  <c r="I121" i="9"/>
  <c r="F121" i="9" l="1"/>
  <c r="G4" i="52"/>
  <c r="B41" i="60" s="1"/>
  <c r="H121" i="9"/>
  <c r="D106" i="9" s="1"/>
  <c r="D112" i="9" s="1"/>
  <c r="I4" i="52"/>
  <c r="D121" i="9"/>
  <c r="E4" i="52"/>
  <c r="B38" i="60" s="1"/>
  <c r="D14" i="62"/>
  <c r="F14" i="62" s="1"/>
  <c r="C104" i="9"/>
  <c r="D107" i="9"/>
  <c r="I103" i="9"/>
  <c r="E14" i="62" l="1"/>
  <c r="H122" i="9"/>
  <c r="H5" i="52" s="1"/>
  <c r="D117" i="9"/>
  <c r="D44" i="50" s="1"/>
  <c r="D113" i="9"/>
  <c r="D38" i="50" s="1"/>
  <c r="B62" i="60" s="1"/>
  <c r="I102" i="9"/>
  <c r="D28" i="50" s="1"/>
  <c r="D29" i="50" s="1"/>
  <c r="I111" i="9"/>
  <c r="D9" i="50"/>
  <c r="B21" i="60" s="1"/>
  <c r="D30" i="50"/>
  <c r="I115" i="9"/>
  <c r="D23" i="50" s="1"/>
  <c r="B34" i="60" s="1"/>
  <c r="D122" i="9"/>
  <c r="D5" i="52" s="1"/>
  <c r="B39" i="60" s="1"/>
  <c r="D4" i="52"/>
  <c r="B37" i="60" s="1"/>
  <c r="C103" i="9"/>
  <c r="H4" i="52"/>
  <c r="F122" i="9"/>
  <c r="F5" i="52" s="1"/>
  <c r="B42" i="60" s="1"/>
  <c r="F4" i="52"/>
  <c r="B40" i="60" s="1"/>
  <c r="B5" i="62"/>
  <c r="D5" i="62" s="1"/>
  <c r="D7" i="50" l="1"/>
  <c r="D8" i="50" s="1"/>
  <c r="B22" i="60" s="1"/>
  <c r="I110" i="9"/>
  <c r="D125" i="9" s="1"/>
  <c r="N48" i="9"/>
  <c r="D45" i="9"/>
  <c r="D36" i="50"/>
  <c r="D37" i="50" s="1"/>
  <c r="D126" i="9"/>
  <c r="D9" i="52" s="1"/>
  <c r="D17" i="50"/>
  <c r="C5" i="62"/>
  <c r="B19" i="60" l="1"/>
  <c r="D15" i="50"/>
  <c r="D16" i="50" s="1"/>
  <c r="B30" i="60" s="1"/>
  <c r="C93" i="9"/>
  <c r="C86" i="9" s="1"/>
  <c r="D53" i="9"/>
  <c r="D48" i="9" s="1"/>
  <c r="N52" i="9" s="1"/>
  <c r="O57" i="9" s="1"/>
  <c r="C64" i="9"/>
  <c r="C63" i="9" s="1"/>
  <c r="C67" i="9" s="1"/>
  <c r="C68" i="9" s="1"/>
  <c r="D54" i="9" s="1"/>
  <c r="D52" i="9"/>
  <c r="C72" i="9"/>
  <c r="C85" i="9"/>
  <c r="C78" i="9"/>
  <c r="C73" i="9" s="1"/>
  <c r="B29" i="60"/>
  <c r="G14" i="62"/>
  <c r="B6" i="62" s="1"/>
  <c r="D8" i="52"/>
  <c r="C95" i="9" l="1"/>
  <c r="O58" i="9"/>
  <c r="Q57" i="9"/>
  <c r="O59" i="9"/>
  <c r="C79" i="9"/>
  <c r="D6" i="62"/>
  <c r="C6" i="62"/>
  <c r="C96" i="9" l="1"/>
  <c r="E96" i="9" s="1"/>
  <c r="E97" i="9" s="1"/>
  <c r="O61" i="9"/>
  <c r="O60" i="9"/>
  <c r="C80" i="9"/>
  <c r="E80" i="9" s="1"/>
  <c r="E81" i="9" s="1"/>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<sst xmlns="http://schemas.openxmlformats.org/spreadsheetml/2006/main" count="6903" uniqueCount="3045">
  <si>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</si>
  <si>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</si>
  <si>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</si>
  <si>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</si>
  <si>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</si>
  <si>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</si>
  <si>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</si>
  <si>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</si>
  <si>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</si>
  <si>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</si>
  <si>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</si>
  <si>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</si>
  <si>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</si>
  <si>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</si>
  <si>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</si>
  <si>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</si>
  <si>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</si>
  <si>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</si>
  <si>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</si>
  <si>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</si>
  <si>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</si>
  <si>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</si>
  <si>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</si>
  <si>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</si>
  <si>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</si>
  <si>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</si>
  <si>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</si>
  <si>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</si>
  <si>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</si>
  <si>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</si>
  <si>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</si>
  <si>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</si>
  <si>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</si>
  <si>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</si>
  <si>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</si>
  <si>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</si>
  <si>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</si>
  <si>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</si>
  <si>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</si>
  <si>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</si>
  <si>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</si>
  <si>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</si>
  <si>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</si>
  <si>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</si>
  <si>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</si>
  <si>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</si>
  <si>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</si>
  <si>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</si>
  <si>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</si>
  <si>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</si>
  <si>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</si>
  <si>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</si>
  <si>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</si>
  <si>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</si>
  <si>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</si>
  <si>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</si>
  <si>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</si>
  <si>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</si>
  <si>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</si>
  <si>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</si>
  <si>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</si>
  <si>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</si>
  <si>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</si>
  <si>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</si>
  <si>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</si>
  <si>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</si>
  <si>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</si>
  <si>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</si>
  <si>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</si>
  <si>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</si>
  <si>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</si>
  <si>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</si>
  <si>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</si>
  <si>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</si>
  <si>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</si>
  <si>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</si>
  <si>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</si>
  <si>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</si>
  <si>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</si>
  <si>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</si>
  <si>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</si>
  <si>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</si>
  <si>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</si>
  <si>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</si>
  <si>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</si>
  <si>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</si>
  <si>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</si>
  <si>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</si>
  <si>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</si>
  <si>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</si>
  <si>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</si>
  <si>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</si>
  <si>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</si>
  <si>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</si>
  <si>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</si>
  <si>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</si>
  <si>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</si>
  <si>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</si>
  <si>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</si>
  <si>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</si>
  <si>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</si>
  <si>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</si>
  <si>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</si>
  <si>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</si>
  <si>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</si>
  <si>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</si>
  <si>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</si>
  <si>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</si>
  <si>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</si>
  <si>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</si>
  <si>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</si>
  <si>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</si>
  <si>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</si>
  <si>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</si>
  <si>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</si>
  <si>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</si>
  <si>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</si>
  <si>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</si>
  <si>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</si>
  <si>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</si>
  <si>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</si>
  <si>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</si>
  <si>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</si>
  <si>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</si>
  <si>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</si>
  <si>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</si>
  <si>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</si>
  <si>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</si>
  <si>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</si>
  <si>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</si>
  <si>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</si>
  <si>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</si>
  <si>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</si>
  <si>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</si>
  <si>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</si>
  <si>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</si>
  <si>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</si>
  <si>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</si>
  <si>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</si>
  <si>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</si>
  <si>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</si>
  <si>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</si>
  <si>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</si>
  <si>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</si>
  <si>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</si>
  <si>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</si>
  <si>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</si>
  <si>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</si>
  <si>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</si>
  <si>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</si>
  <si>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</si>
  <si>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</si>
  <si>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</si>
  <si>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</si>
  <si>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</si>
  <si>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</si>
  <si>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</si>
  <si>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</si>
  <si>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</si>
  <si>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</si>
  <si>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</si>
  <si>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</si>
  <si>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</si>
  <si>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</si>
  <si>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</si>
  <si>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</si>
  <si>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</si>
  <si>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</si>
  <si>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</si>
  <si>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</si>
  <si>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</si>
  <si>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</si>
  <si>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</si>
  <si>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</si>
  <si>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</si>
  <si>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</si>
  <si>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</si>
  <si>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</si>
  <si>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</si>
  <si>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</si>
  <si>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</si>
  <si>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</si>
  <si>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</si>
  <si>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</si>
  <si>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</si>
  <si>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</si>
  <si>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</si>
  <si>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</si>
  <si>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</si>
  <si>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</si>
  <si>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</si>
  <si>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</si>
  <si>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</si>
  <si>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</si>
  <si>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</si>
  <si>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</si>
  <si>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</si>
  <si>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</si>
  <si>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</si>
  <si>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</si>
  <si>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</si>
  <si>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</si>
  <si>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</si>
  <si>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</si>
  <si>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</si>
  <si>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</si>
  <si>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</si>
  <si>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</si>
  <si>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</si>
  <si>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</si>
  <si>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</si>
  <si>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</si>
  <si>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</si>
  <si>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</si>
  <si>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</si>
  <si>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</si>
  <si>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</si>
  <si>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</si>
  <si>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</si>
  <si>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</si>
  <si>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</si>
  <si>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</si>
  <si>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</si>
  <si>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</si>
  <si>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</si>
  <si>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</si>
  <si>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</si>
  <si>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</si>
  <si>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</si>
  <si>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</si>
  <si>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</si>
  <si>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</si>
  <si>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</si>
  <si>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</si>
  <si>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</si>
  <si>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</si>
  <si>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</si>
  <si>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</si>
  <si>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</si>
  <si>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</si>
  <si>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</si>
  <si>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</si>
  <si>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</si>
  <si>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</si>
  <si>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</si>
  <si>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</si>
  <si>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</si>
  <si>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</si>
  <si>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</si>
  <si>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</si>
  <si>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</si>
  <si>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</si>
  <si>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</si>
  <si>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</si>
  <si>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</si>
  <si>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</si>
  <si>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</si>
  <si>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</si>
  <si>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</si>
  <si>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</si>
  <si>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</si>
  <si>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</si>
  <si>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</si>
  <si>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</si>
  <si>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</si>
  <si>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</si>
  <si>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</si>
  <si>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</si>
  <si>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</si>
  <si>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</si>
  <si>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</si>
  <si>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</si>
  <si>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</si>
  <si>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</si>
  <si>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</si>
  <si>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</si>
  <si>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</si>
  <si>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</si>
  <si>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</si>
  <si>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</si>
  <si>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</si>
  <si>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</si>
  <si>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</si>
  <si>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</si>
  <si>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</si>
  <si>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</si>
  <si>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</si>
  <si>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</si>
  <si>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</si>
  <si>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</si>
  <si>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</si>
  <si>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</si>
  <si>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</si>
  <si>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</si>
  <si>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</si>
  <si>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</si>
  <si>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</si>
  <si>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</si>
  <si>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</si>
  <si>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</si>
  <si>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</si>
  <si>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</si>
  <si>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</si>
  <si>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</si>
  <si>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</si>
  <si>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</si>
  <si>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</si>
  <si>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</si>
  <si>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</si>
  <si>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</si>
  <si>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</si>
  <si>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</si>
  <si>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</si>
  <si>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</si>
  <si>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</si>
  <si>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</si>
  <si>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</si>
  <si>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</si>
  <si>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</si>
  <si>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</si>
  <si>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</si>
  <si>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</si>
  <si>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</si>
  <si>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</si>
  <si>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</si>
  <si>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</si>
  <si>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</si>
  <si>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</si>
  <si>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</si>
  <si>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</si>
  <si>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</si>
  <si>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</si>
  <si>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</si>
  <si>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</si>
  <si>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</si>
  <si>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</si>
  <si>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</si>
  <si>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</si>
  <si>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</si>
  <si>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</si>
  <si>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</si>
  <si>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</si>
  <si>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</si>
  <si>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</si>
  <si>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</si>
  <si>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</si>
  <si>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</si>
  <si>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</si>
  <si>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</si>
  <si>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</si>
  <si>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</si>
  <si>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</si>
  <si>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</si>
  <si>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</si>
  <si>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</si>
  <si>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</si>
  <si>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</si>
  <si>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</si>
  <si>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</si>
  <si>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</si>
  <si>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</si>
  <si>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</si>
  <si>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</si>
  <si>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</si>
  <si>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</si>
  <si>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</si>
  <si>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</si>
  <si>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</si>
  <si>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</si>
  <si>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</si>
  <si>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</si>
  <si>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</si>
  <si>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</si>
  <si>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</si>
  <si>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</si>
  <si>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</si>
  <si>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</si>
  <si>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</si>
  <si>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</si>
  <si>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</si>
  <si>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</si>
  <si>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</si>
  <si>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</si>
  <si>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</si>
  <si>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</si>
  <si>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</si>
  <si>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</si>
  <si>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</si>
  <si>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</si>
  <si>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</si>
  <si>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</si>
  <si>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</si>
  <si>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</si>
  <si>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</si>
  <si>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</si>
  <si>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</si>
  <si>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</si>
  <si>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</si>
  <si>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</si>
  <si>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</si>
  <si>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</si>
  <si>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</si>
  <si>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</si>
  <si>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</si>
  <si>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</si>
  <si>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</si>
  <si>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</si>
  <si>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</si>
  <si>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</si>
  <si>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</si>
  <si>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</si>
  <si>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</si>
  <si>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</si>
  <si>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</si>
  <si>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</si>
  <si>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</si>
  <si>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</si>
  <si>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</si>
  <si>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</si>
  <si>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</si>
  <si>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</si>
  <si>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</si>
  <si>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</si>
  <si>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</si>
  <si>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</si>
  <si>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</si>
  <si>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</si>
  <si>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</si>
  <si>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</si>
  <si>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</si>
  <si>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</si>
  <si>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</si>
  <si>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</si>
  <si>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</si>
  <si>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</si>
  <si>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</si>
  <si>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</si>
  <si>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</si>
  <si>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</si>
  <si>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</si>
  <si>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</si>
  <si>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</si>
  <si>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</si>
  <si>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</si>
  <si>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</si>
  <si>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</si>
  <si>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</si>
  <si>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</si>
  <si>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</si>
  <si>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</si>
  <si>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</si>
  <si>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</si>
  <si>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</si>
  <si>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</si>
  <si>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</si>
  <si>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</si>
  <si>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</si>
  <si>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</si>
  <si>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</si>
  <si>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</si>
  <si>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</si>
  <si>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</si>
  <si>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</si>
  <si>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</si>
  <si>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</si>
  <si>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</si>
  <si>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</si>
  <si>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</si>
  <si>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</si>
  <si>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</si>
  <si>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</si>
  <si>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</si>
  <si>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</si>
  <si>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</si>
  <si>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</si>
  <si>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</si>
  <si>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</si>
  <si>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</si>
  <si>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</si>
  <si>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</si>
  <si>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</si>
  <si>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</si>
  <si>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</si>
  <si>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</si>
  <si>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</si>
  <si>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</si>
  <si>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</si>
  <si>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</si>
  <si>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</si>
  <si>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</si>
  <si>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</si>
  <si>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</si>
  <si>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</si>
  <si>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</si>
  <si>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</si>
  <si>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</si>
  <si>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</si>
  <si>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</si>
  <si>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</si>
  <si>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</si>
  <si>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</si>
  <si>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</si>
  <si>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</si>
  <si>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</si>
  <si>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</si>
  <si>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</si>
  <si>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</si>
  <si>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</si>
  <si>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</si>
  <si>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</si>
  <si>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</si>
  <si>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</si>
  <si>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</si>
  <si>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</si>
  <si>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</si>
  <si>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</si>
  <si>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</si>
  <si>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</si>
  <si>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</si>
  <si>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</si>
  <si>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</si>
  <si>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</si>
  <si>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</si>
  <si>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</si>
  <si>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</si>
  <si>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</si>
  <si>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</si>
  <si>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</si>
  <si>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</si>
  <si>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</si>
  <si>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</si>
  <si>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</si>
  <si>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</si>
  <si>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</si>
  <si>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</si>
  <si>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</si>
  <si>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</si>
  <si>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</si>
  <si>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</si>
  <si>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</si>
  <si>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</si>
  <si>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</si>
  <si>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</si>
  <si>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</si>
  <si>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</si>
  <si>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</si>
  <si>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</si>
  <si>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</si>
  <si>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</si>
  <si>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</si>
  <si>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</si>
  <si>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</si>
  <si>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</si>
  <si>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</si>
  <si>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</si>
  <si>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</si>
  <si>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</si>
  <si>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</si>
  <si>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</si>
  <si>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</si>
  <si>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</si>
  <si>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</si>
  <si>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</si>
  <si>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</si>
  <si>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</si>
  <si>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</si>
  <si>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</si>
  <si>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</si>
  <si>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</si>
  <si>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</si>
  <si>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</si>
  <si>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</si>
  <si>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</si>
  <si>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</si>
  <si>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</si>
  <si>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</si>
  <si>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</si>
  <si>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</si>
  <si>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</si>
  <si>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</si>
  <si>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</si>
  <si>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</si>
  <si>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</si>
  <si>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</si>
  <si>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</si>
  <si>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</si>
  <si>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</si>
  <si>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</si>
  <si>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</si>
  <si>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</si>
  <si>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</si>
  <si>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</si>
  <si>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</si>
  <si>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</si>
  <si>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</si>
  <si>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</si>
  <si>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</si>
  <si>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</si>
  <si>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</si>
  <si>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</si>
  <si>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</si>
  <si>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</si>
  <si>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</si>
  <si>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</si>
  <si>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</si>
  <si>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</si>
  <si>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</si>
  <si>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</si>
  <si>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</si>
  <si>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</si>
  <si>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</si>
  <si>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</si>
  <si>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</si>
  <si>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</si>
  <si>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</si>
  <si>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</si>
  <si>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</si>
  <si>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</si>
  <si>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</si>
  <si>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</si>
  <si>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</si>
  <si>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</si>
  <si>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</si>
  <si>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</si>
  <si>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</si>
  <si>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</si>
  <si>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</si>
  <si>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</si>
  <si>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</si>
  <si>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</si>
  <si>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</si>
  <si>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</si>
  <si>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</si>
  <si>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</si>
  <si>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</si>
  <si>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</si>
  <si>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</si>
  <si>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</si>
  <si>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</si>
  <si>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</si>
  <si>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</si>
  <si>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</si>
  <si>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</si>
  <si>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</si>
  <si>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</si>
  <si>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</si>
  <si>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</si>
  <si>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</si>
  <si>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</si>
  <si>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</si>
  <si>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</si>
  <si>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</si>
  <si>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</si>
  <si>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</si>
  <si>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</si>
  <si>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</si>
  <si>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</si>
  <si>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</si>
  <si>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</si>
  <si>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</si>
  <si>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</si>
  <si>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</si>
  <si>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</si>
  <si>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</si>
  <si>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</si>
  <si>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</si>
  <si>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</si>
  <si>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</si>
  <si>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</si>
  <si>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</si>
  <si>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</si>
  <si>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</si>
  <si>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</si>
  <si>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</si>
  <si>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</si>
  <si>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</si>
  <si>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</si>
  <si>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</si>
  <si>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</si>
  <si>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</si>
  <si>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</si>
  <si>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</si>
  <si>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</si>
  <si>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</si>
  <si>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</si>
  <si>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</si>
  <si>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</si>
  <si>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</si>
  <si>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</si>
  <si>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</si>
  <si>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</si>
  <si>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</si>
  <si>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</si>
  <si>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</si>
  <si>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</si>
  <si>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</si>
  <si>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</si>
  <si>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</si>
  <si>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</si>
  <si>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</si>
  <si>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</si>
  <si>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</si>
  <si>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</si>
  <si>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</si>
  <si>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</si>
  <si>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</si>
  <si>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</si>
  <si>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</si>
  <si>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</si>
  <si>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</si>
  <si>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</si>
  <si>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</si>
  <si>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</si>
  <si>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</si>
  <si>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</si>
  <si>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</si>
  <si>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</si>
  <si>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</si>
  <si>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</si>
  <si>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</si>
  <si>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</si>
  <si>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</si>
  <si>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</si>
  <si>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</si>
  <si>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</si>
  <si>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</si>
  <si>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</si>
  <si>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</si>
  <si>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</si>
  <si>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</si>
  <si>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</si>
  <si>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</si>
  <si>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</si>
  <si>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</si>
  <si>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</si>
  <si>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</si>
  <si>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</si>
  <si>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</si>
  <si>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</si>
  <si>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</si>
  <si>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</si>
  <si>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</si>
  <si>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</si>
  <si>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</si>
  <si>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</si>
  <si>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</si>
  <si>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</si>
  <si>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</si>
  <si>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</si>
  <si>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</si>
  <si>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</si>
  <si>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</si>
  <si>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</si>
  <si>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</si>
  <si>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</si>
  <si>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</si>
  <si>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</si>
  <si>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</si>
  <si>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</si>
  <si>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</si>
  <si>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</si>
  <si>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</si>
  <si>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</si>
  <si>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</si>
  <si>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</si>
  <si>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</si>
  <si>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</si>
  <si>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</si>
  <si>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</si>
  <si>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</si>
  <si>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</si>
  <si>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</si>
  <si>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</si>
  <si>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</si>
  <si>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</si>
  <si>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</si>
  <si>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</si>
  <si>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</si>
  <si>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</si>
  <si>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</si>
  <si>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</si>
  <si>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</si>
  <si>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</si>
  <si>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</si>
  <si>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</si>
  <si>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</si>
  <si>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</si>
  <si>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</si>
  <si>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</si>
  <si>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</si>
  <si>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</si>
  <si>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</si>
  <si>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</si>
  <si>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</si>
  <si>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</si>
  <si>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</si>
  <si>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</si>
  <si>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</si>
  <si>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</si>
  <si>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</si>
  <si>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</si>
  <si>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</si>
  <si>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</si>
  <si>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</si>
  <si>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</si>
  <si>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</si>
  <si>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</si>
  <si>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</si>
  <si>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</si>
  <si>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</si>
  <si>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</si>
  <si>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</si>
  <si>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</si>
  <si>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</si>
  <si>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</si>
  <si>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</si>
  <si>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</si>
  <si>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</si>
  <si>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</si>
  <si>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</si>
  <si>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</si>
  <si>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</si>
  <si>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</si>
  <si>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</si>
  <si>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</si>
  <si>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</si>
  <si>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</si>
  <si>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</si>
  <si>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</si>
  <si>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</si>
  <si>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</si>
  <si>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</si>
  <si>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</si>
  <si>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</si>
  <si>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</si>
  <si>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</si>
  <si>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</si>
  <si>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</si>
  <si>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</si>
  <si>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</si>
  <si>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</si>
  <si>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</si>
  <si>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</si>
  <si>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</si>
  <si>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</si>
  <si>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</si>
  <si>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</si>
  <si>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</si>
  <si>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</si>
  <si>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</si>
  <si>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</si>
  <si>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</si>
  <si>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</si>
  <si>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</si>
  <si>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</si>
  <si>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</si>
  <si>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</si>
  <si>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</si>
  <si>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</si>
  <si>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</si>
  <si>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</si>
  <si>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</si>
  <si>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</si>
  <si>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</si>
  <si>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</si>
  <si>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</si>
  <si>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</si>
  <si>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</si>
  <si>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</si>
  <si>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</si>
  <si>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</si>
  <si>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</si>
  <si>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</si>
  <si>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</si>
  <si>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</si>
  <si>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</si>
  <si>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</si>
  <si>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</si>
  <si>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</si>
  <si>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</si>
  <si>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</si>
  <si>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</si>
  <si>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</si>
  <si>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</si>
  <si>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</si>
  <si>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</si>
  <si>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</si>
  <si>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</si>
  <si>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</si>
  <si>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</si>
  <si>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</si>
  <si>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</si>
  <si>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</si>
  <si>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</si>
  <si>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</si>
  <si>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</si>
  <si>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</si>
  <si>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</si>
  <si>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</si>
  <si>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</si>
  <si>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</si>
  <si>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</si>
  <si>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</si>
  <si>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</si>
  <si>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</si>
  <si>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</si>
  <si>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</si>
  <si>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</si>
  <si>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</si>
  <si>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</si>
  <si>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</si>
  <si>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</si>
  <si>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</si>
  <si>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</si>
  <si>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</si>
  <si>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</si>
  <si>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</si>
  <si>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</si>
  <si>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</si>
  <si>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</si>
  <si>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</si>
  <si>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</si>
  <si>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</si>
  <si>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</si>
  <si>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</si>
  <si>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</si>
  <si>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</si>
  <si>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</si>
  <si>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</si>
  <si>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</si>
  <si>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</si>
  <si>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</si>
  <si>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</si>
  <si>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</si>
  <si>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</si>
  <si>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</si>
  <si>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</si>
  <si>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</si>
  <si>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</si>
  <si>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</si>
  <si>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</si>
  <si>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</si>
  <si>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</si>
  <si>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</si>
  <si>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</si>
  <si>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</si>
  <si>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</si>
  <si>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</si>
  <si>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</si>
  <si>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</si>
  <si>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</si>
  <si>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</si>
  <si>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</si>
  <si>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</si>
  <si>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</si>
  <si>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</si>
  <si>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</si>
  <si>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</si>
  <si>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</si>
  <si>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</si>
  <si>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</si>
  <si>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</si>
  <si>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</si>
  <si>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</si>
  <si>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</si>
  <si>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</si>
  <si>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</si>
  <si>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</si>
  <si>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</si>
  <si>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</si>
  <si>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</si>
  <si>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</si>
  <si>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</si>
  <si>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</si>
  <si>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</si>
  <si>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</si>
  <si>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</si>
  <si>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</si>
  <si>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</si>
  <si>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</si>
  <si>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</si>
  <si>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</si>
  <si>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</si>
  <si>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</si>
  <si>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</si>
  <si>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</si>
  <si>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</si>
  <si>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</si>
  <si>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</si>
  <si>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</si>
  <si>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</si>
  <si>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</si>
  <si>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</si>
  <si>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</si>
  <si>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</si>
  <si>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</si>
  <si>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</si>
  <si>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</si>
  <si>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</si>
  <si>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</si>
  <si>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</si>
  <si>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</si>
  <si>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</si>
  <si>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</si>
  <si>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</si>
  <si>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</si>
  <si>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</si>
  <si>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</si>
  <si>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</si>
  <si>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</si>
  <si>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</si>
  <si>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</si>
  <si>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</si>
  <si>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</si>
  <si>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</si>
  <si>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</si>
  <si>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</si>
  <si>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</si>
  <si>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</si>
  <si>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</si>
  <si>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</si>
  <si>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</si>
  <si>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</si>
  <si>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</si>
  <si>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</si>
  <si>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</si>
  <si>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</si>
  <si>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</si>
  <si>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</si>
  <si>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</si>
  <si>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</si>
  <si>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</si>
  <si>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</si>
  <si>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</si>
  <si>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</si>
  <si>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</si>
  <si>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</si>
  <si>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</si>
  <si>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</si>
  <si>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</si>
  <si>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</si>
  <si>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</si>
  <si>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</si>
  <si>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</si>
  <si>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</si>
  <si>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</si>
  <si>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</si>
  <si>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</si>
  <si>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</si>
  <si>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</si>
  <si>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</si>
  <si>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</si>
  <si>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</si>
  <si>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</si>
  <si>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</si>
  <si>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</si>
  <si>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</si>
  <si>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</si>
  <si>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</si>
  <si>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</si>
  <si>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</si>
  <si>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</si>
  <si>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</si>
  <si>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</si>
  <si>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</si>
  <si>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</si>
  <si>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</si>
  <si>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</si>
  <si>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</si>
  <si>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</si>
  <si>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</si>
  <si>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</si>
  <si>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</si>
  <si>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</si>
  <si>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</si>
  <si>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</si>
  <si>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</si>
  <si>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</si>
  <si>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</si>
  <si>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</si>
  <si>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</si>
  <si>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</si>
  <si>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</si>
  <si>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</si>
  <si>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</si>
  <si>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</si>
  <si>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</si>
  <si>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</si>
  <si>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</si>
  <si>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</si>
  <si>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</si>
  <si>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</si>
  <si>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</si>
  <si>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</si>
  <si>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</si>
  <si>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</si>
  <si>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</si>
  <si>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</si>
  <si>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</si>
  <si>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</si>
  <si>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</si>
  <si>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</si>
  <si>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</si>
  <si>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</si>
  <si>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</si>
  <si>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</si>
  <si>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</si>
  <si>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</si>
  <si>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</si>
  <si>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</si>
  <si>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</si>
  <si>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</si>
  <si>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</si>
  <si>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</si>
  <si>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</si>
  <si>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</si>
  <si>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</si>
  <si>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</si>
  <si>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</si>
  <si>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</si>
  <si>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</si>
  <si>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</si>
  <si>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</si>
  <si>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</si>
  <si>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</si>
  <si>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</si>
  <si>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</si>
  <si>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</si>
  <si>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</si>
  <si>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</si>
  <si>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</si>
  <si>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</si>
  <si>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</si>
  <si>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</si>
  <si>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</si>
  <si>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</si>
  <si>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</si>
  <si>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</si>
  <si>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</si>
  <si>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</si>
  <si>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</si>
  <si>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</si>
  <si>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</si>
  <si>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</si>
  <si>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</si>
  <si>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</si>
  <si>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</si>
  <si>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</si>
  <si>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</si>
  <si>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</si>
  <si>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</si>
  <si>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</si>
  <si>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</si>
  <si>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</si>
  <si>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</si>
  <si>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</si>
  <si>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</si>
  <si>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</si>
  <si>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</si>
  <si>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</si>
  <si>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</si>
  <si>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</si>
  <si>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</si>
  <si>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</si>
  <si>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</si>
  <si>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</si>
  <si>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</si>
  <si>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</si>
  <si>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</si>
  <si>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</si>
  <si>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</si>
  <si>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</si>
  <si>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</si>
  <si>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</si>
  <si>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</si>
  <si>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</si>
  <si>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</si>
  <si>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</si>
  <si>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</si>
  <si>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</si>
  <si>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</si>
  <si>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</si>
  <si>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</si>
  <si>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</si>
  <si>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</si>
  <si>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</si>
  <si>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</si>
  <si>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</si>
  <si>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</si>
  <si>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</si>
  <si>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</si>
  <si>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</si>
  <si>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</si>
  <si>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</si>
  <si>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</si>
  <si>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</si>
  <si>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</si>
  <si>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</si>
  <si>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</si>
  <si>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</si>
  <si>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</si>
  <si>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</si>
  <si>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</si>
  <si>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</si>
  <si>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</si>
  <si>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</si>
  <si>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</si>
  <si>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</si>
  <si>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</si>
  <si>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</si>
  <si>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</si>
  <si>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</si>
  <si>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</si>
  <si>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</si>
  <si>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</si>
  <si>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</si>
  <si>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</si>
  <si>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</si>
  <si>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</si>
  <si>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</si>
  <si>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</si>
  <si>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</si>
  <si>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</si>
  <si>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</si>
  <si>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</si>
  <si>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</si>
  <si>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</si>
  <si>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</si>
  <si>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</si>
  <si>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</si>
  <si>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</si>
  <si>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</si>
  <si>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</si>
  <si>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</si>
  <si>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</si>
  <si>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</si>
  <si>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</si>
  <si>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</si>
  <si>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</si>
  <si>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</si>
  <si>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</si>
  <si>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</si>
  <si>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</si>
  <si>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</si>
  <si>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</si>
  <si>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</si>
  <si>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</si>
  <si>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</si>
  <si>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</si>
  <si>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</si>
  <si>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</si>
  <si>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</si>
  <si>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</si>
  <si>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</si>
  <si>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</si>
  <si>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</si>
  <si>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</si>
  <si>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</si>
  <si>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</si>
  <si>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</si>
  <si>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</si>
  <si>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</si>
  <si>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</si>
  <si>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</si>
  <si>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</si>
  <si>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</si>
  <si>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</si>
  <si>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</si>
  <si>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</si>
  <si>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</si>
  <si>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</si>
  <si>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</si>
  <si>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</si>
  <si>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</si>
  <si>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</si>
  <si>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</si>
  <si>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</si>
  <si>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</si>
  <si>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</si>
  <si>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</si>
  <si>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</si>
  <si>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</si>
  <si>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</si>
  <si>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</si>
  <si>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</si>
  <si>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</si>
  <si>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</si>
  <si>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</si>
  <si>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</si>
  <si>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</si>
  <si>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</si>
  <si>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</si>
  <si>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</si>
  <si>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</si>
  <si>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</si>
  <si>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</si>
  <si>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</si>
  <si>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</si>
  <si>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</si>
  <si>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</si>
  <si>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</si>
  <si>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</si>
  <si>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</si>
  <si>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</si>
  <si>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</si>
  <si>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</si>
  <si>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</si>
  <si>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</si>
  <si>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</si>
  <si>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</si>
  <si>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</si>
  <si>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</si>
  <si>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</si>
  <si>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</si>
  <si>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</si>
  <si>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</si>
  <si>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</si>
  <si>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</si>
  <si>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</si>
  <si>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</si>
  <si>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</si>
  <si>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</si>
  <si>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</si>
  <si>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</si>
  <si>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</si>
  <si>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</si>
  <si>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</si>
  <si>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</si>
  <si>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</si>
  <si>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</si>
  <si>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</si>
  <si>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</si>
  <si>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</si>
  <si>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</si>
  <si>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</si>
  <si>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</si>
  <si>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</si>
  <si>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</si>
  <si>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</si>
  <si>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</si>
  <si>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</si>
  <si>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</si>
  <si>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</si>
  <si>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</si>
  <si>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</si>
  <si>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</si>
  <si>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</si>
  <si>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</si>
  <si>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</si>
  <si>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</si>
  <si>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</si>
  <si>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</si>
  <si>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</si>
  <si>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</si>
  <si>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</si>
  <si>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</si>
  <si>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</si>
  <si>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</si>
  <si>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</si>
  <si>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</si>
  <si>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</si>
  <si>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</si>
  <si>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</si>
  <si>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</si>
  <si>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</si>
  <si>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</si>
  <si>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</si>
  <si>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</si>
  <si>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</si>
  <si>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</si>
  <si>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</si>
  <si>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</si>
  <si>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</si>
  <si>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</si>
  <si>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</si>
  <si>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</si>
  <si>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</si>
  <si>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</si>
  <si>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</si>
  <si>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</si>
  <si>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</si>
  <si>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</si>
  <si>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</si>
  <si>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</si>
  <si>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</si>
  <si>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</si>
  <si>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</si>
  <si>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</si>
  <si>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</si>
  <si>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</si>
  <si>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</si>
  <si>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</si>
  <si>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</si>
  <si>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</si>
  <si>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</si>
  <si>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</si>
  <si>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</si>
  <si>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</si>
  <si>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</si>
  <si>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</si>
  <si>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</si>
  <si>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</si>
  <si>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</si>
  <si>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</si>
  <si>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</si>
  <si>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</si>
  <si>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</si>
  <si>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</si>
  <si>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</si>
  <si>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</si>
  <si>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</si>
  <si>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</si>
  <si>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</si>
  <si>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</si>
  <si>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</si>
  <si>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</si>
  <si>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</si>
  <si>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</si>
  <si>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</si>
  <si>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</si>
  <si>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</si>
  <si>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</si>
  <si>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</si>
  <si>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</si>
  <si>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</si>
  <si>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</si>
  <si>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</si>
  <si>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</si>
  <si>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</si>
  <si>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</si>
  <si>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</si>
  <si>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</si>
  <si>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</si>
  <si>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</si>
  <si>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</si>
  <si>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</si>
  <si>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</si>
  <si>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</si>
  <si>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</si>
  <si>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</si>
  <si>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</si>
  <si>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</si>
  <si>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</si>
  <si>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</si>
  <si>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</si>
  <si>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</si>
  <si>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</si>
  <si>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</si>
  <si>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</si>
  <si>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</si>
  <si>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</si>
  <si>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</si>
  <si>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</si>
  <si>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</si>
  <si>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</si>
  <si>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</si>
  <si>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</si>
  <si>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</si>
  <si>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</si>
  <si>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</si>
  <si>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</si>
  <si>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</si>
  <si>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</si>
  <si>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</si>
  <si>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</si>
  <si>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</si>
  <si>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</si>
  <si>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</si>
  <si>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</si>
  <si>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</si>
  <si>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</si>
  <si>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</si>
  <si>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</si>
  <si>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</si>
  <si>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</si>
  <si>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</si>
  <si>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</si>
  <si>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</si>
  <si>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</si>
  <si>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</si>
  <si>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</si>
  <si>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</si>
  <si>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</si>
  <si>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</si>
  <si>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</si>
  <si>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</si>
  <si>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</si>
  <si>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</si>
  <si>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</si>
  <si>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</si>
  <si>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</si>
  <si>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</si>
  <si>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</si>
  <si>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</si>
  <si>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</si>
  <si>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</si>
  <si>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</si>
  <si>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</si>
  <si>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</si>
  <si>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</si>
  <si>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</si>
  <si>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</si>
  <si>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</si>
  <si>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</si>
  <si>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</si>
  <si>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</si>
  <si>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</si>
  <si>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</si>
  <si>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</si>
  <si>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</si>
  <si>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</si>
  <si>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</si>
  <si>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</si>
  <si>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</si>
  <si>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</si>
  <si>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</si>
  <si>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</si>
  <si>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</si>
  <si>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</si>
  <si>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</si>
  <si>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</si>
  <si>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</si>
  <si>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</si>
  <si>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</si>
  <si>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</si>
  <si>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</si>
  <si>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</si>
  <si>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</si>
  <si>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</si>
  <si>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</si>
  <si>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</si>
  <si>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</si>
  <si>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</si>
  <si>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</si>
  <si>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</si>
  <si>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</si>
  <si>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</si>
  <si>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</si>
  <si>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</si>
  <si>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</si>
  <si>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</si>
  <si>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</si>
  <si>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</si>
  <si>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</si>
  <si>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</si>
  <si>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</si>
  <si>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</si>
  <si>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</si>
  <si>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</si>
  <si>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</si>
  <si>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</si>
  <si>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</si>
  <si>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</si>
  <si>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</si>
  <si>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</si>
  <si>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</si>
  <si>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</si>
  <si>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</si>
  <si>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</si>
  <si>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</si>
  <si>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</si>
  <si>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</si>
  <si>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</si>
  <si>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</si>
  <si>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</si>
  <si>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</si>
  <si>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</si>
  <si>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</si>
  <si>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</si>
  <si>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</si>
  <si>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</si>
  <si>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</si>
  <si>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</si>
  <si>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</si>
  <si>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</si>
  <si>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</si>
  <si>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</si>
  <si>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</si>
  <si>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</si>
  <si>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</si>
  <si>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</si>
  <si>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</si>
  <si>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</si>
  <si>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</si>
  <si>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</si>
  <si>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</si>
  <si>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</si>
  <si>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</si>
  <si>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</si>
  <si>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</si>
  <si>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</si>
  <si>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</si>
  <si>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</si>
  <si>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</si>
  <si>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</si>
  <si>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</si>
  <si>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</si>
  <si>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</si>
  <si>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</si>
  <si>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</si>
  <si>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</si>
  <si>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</si>
  <si>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</si>
  <si>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</si>
  <si>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</si>
  <si>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</si>
  <si>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</si>
  <si>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</si>
  <si>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</si>
  <si>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</si>
  <si>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</si>
  <si>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</si>
  <si>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</si>
  <si>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</si>
  <si>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</si>
  <si>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</si>
  <si>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</si>
  <si>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</si>
  <si>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</si>
  <si>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</si>
  <si>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</si>
  <si>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</si>
  <si>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</si>
  <si>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</si>
  <si>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</si>
  <si>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</si>
  <si>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</si>
  <si>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</si>
  <si>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</si>
  <si>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</si>
  <si>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</si>
  <si>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</si>
  <si>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</si>
  <si>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</si>
  <si>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</si>
  <si>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</si>
  <si>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</si>
  <si>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</si>
  <si>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</si>
  <si>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</si>
  <si>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</si>
  <si>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</si>
  <si>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</si>
  <si>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</si>
  <si>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</si>
  <si>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</si>
  <si>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</si>
  <si>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</si>
  <si>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</si>
  <si>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</si>
  <si>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</si>
  <si>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</si>
  <si>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</si>
  <si>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</si>
  <si>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</si>
  <si>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</si>
  <si>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</si>
  <si>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</si>
  <si>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</si>
  <si>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</si>
  <si>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</si>
  <si>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</si>
  <si>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</si>
  <si>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</si>
  <si>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</si>
  <si>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</si>
  <si>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</si>
  <si>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</si>
  <si>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</si>
  <si>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</si>
  <si>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</si>
  <si>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</si>
  <si>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</si>
  <si>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</si>
  <si>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</si>
  <si>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</si>
  <si>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</si>
  <si>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</si>
  <si>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</si>
  <si>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</si>
  <si>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</si>
  <si>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</si>
  <si>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</si>
  <si>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</si>
  <si>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</si>
  <si>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</si>
  <si>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</si>
  <si>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</si>
  <si>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</si>
  <si>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</si>
  <si>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</si>
  <si>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</si>
  <si>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</si>
  <si>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</si>
  <si>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</si>
  <si>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</si>
  <si>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</si>
  <si>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</si>
  <si>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</si>
  <si>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</si>
  <si>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</si>
  <si>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</si>
  <si>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</si>
  <si>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</si>
  <si>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</si>
  <si>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</si>
  <si>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</si>
  <si>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</si>
  <si>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</si>
  <si>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</si>
  <si>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</si>
  <si>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</si>
  <si>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</si>
  <si>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</si>
  <si>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</si>
  <si>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</si>
  <si>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</si>
  <si>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</si>
  <si>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</si>
  <si>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</si>
  <si>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</si>
  <si>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</si>
  <si>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</si>
  <si>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</si>
  <si>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</si>
  <si>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</si>
  <si>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</si>
  <si>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</si>
  <si>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</si>
  <si>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</si>
  <si>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</si>
  <si>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</si>
  <si>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</si>
  <si>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</si>
  <si>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</si>
  <si>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</si>
  <si>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</si>
  <si>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</si>
  <si>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</si>
  <si>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</si>
  <si>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</si>
  <si>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</si>
  <si>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</si>
  <si>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</si>
  <si>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</si>
  <si>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</si>
  <si>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</si>
  <si>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</si>
  <si>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</si>
  <si>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</si>
  <si>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</si>
  <si>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</si>
  <si>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</si>
  <si>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</si>
  <si>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</si>
  <si>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</si>
  <si>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</si>
  <si>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</si>
  <si>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</si>
  <si>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</si>
  <si>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</si>
  <si>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</si>
  <si>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</si>
  <si>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</si>
  <si>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</si>
  <si>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</si>
  <si>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</si>
  <si>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</si>
  <si>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</si>
  <si>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</si>
  <si>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</si>
  <si>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</si>
  <si>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</si>
  <si>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</si>
  <si>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</si>
  <si>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</si>
  <si>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</si>
  <si>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</si>
  <si>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</si>
  <si>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</si>
  <si>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</si>
  <si>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</si>
  <si>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</si>
  <si>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</si>
  <si>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</si>
  <si>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</si>
  <si>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</si>
  <si>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</si>
  <si>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</si>
  <si>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</si>
  <si>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</si>
  <si>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</si>
  <si>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</si>
  <si>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</si>
  <si>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</si>
  <si>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</si>
  <si>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</si>
  <si>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</si>
  <si>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</si>
  <si>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</si>
  <si>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</si>
  <si>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</si>
  <si>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</si>
  <si>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</si>
  <si>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</si>
  <si>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</si>
  <si>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</si>
  <si>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</si>
  <si>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</si>
  <si>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</si>
  <si>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</si>
  <si>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</si>
  <si>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</si>
  <si>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</si>
  <si>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</si>
  <si>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</si>
  <si>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</si>
  <si>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</si>
  <si>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</si>
  <si>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</si>
  <si>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</si>
  <si>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</si>
  <si>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</si>
  <si>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</si>
  <si>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</si>
  <si>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</si>
  <si>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</si>
  <si>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</si>
  <si>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</si>
  <si>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</si>
  <si>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</si>
  <si>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</si>
  <si>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</si>
  <si>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</si>
  <si>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</si>
  <si>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</si>
  <si>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</si>
  <si>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</si>
  <si>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</si>
  <si>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</si>
  <si>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</si>
  <si>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</si>
  <si>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</si>
  <si>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</si>
  <si>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</si>
  <si>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</si>
  <si>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</si>
  <si>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</si>
  <si>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</si>
  <si>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</si>
  <si>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</si>
  <si>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</si>
  <si>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</si>
  <si>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</si>
  <si>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</si>
  <si>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</si>
  <si>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</si>
  <si>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</si>
  <si>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</si>
  <si>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</si>
  <si>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</si>
  <si>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</si>
  <si>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</si>
  <si>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</si>
  <si>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</si>
  <si>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</si>
  <si>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</si>
  <si>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</si>
  <si>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</si>
  <si>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</si>
  <si>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</si>
  <si>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</si>
  <si>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</si>
  <si>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</si>
  <si>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</si>
  <si>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</si>
  <si>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</si>
  <si>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</si>
  <si>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</si>
  <si>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</si>
  <si>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</si>
  <si>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</si>
  <si>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</si>
  <si>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</si>
  <si>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</si>
  <si>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</si>
  <si>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</si>
  <si>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</si>
  <si>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</si>
  <si>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</si>
  <si>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</si>
  <si>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</si>
  <si>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</si>
  <si>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</si>
  <si>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</si>
  <si>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</si>
  <si>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</si>
  <si>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</si>
  <si>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</si>
  <si>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</si>
  <si>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</si>
  <si>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</si>
  <si>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</si>
  <si>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</si>
  <si>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</si>
  <si>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</si>
  <si>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</si>
  <si>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</si>
  <si>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</si>
  <si>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</si>
  <si>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</si>
  <si>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</si>
  <si>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</si>
  <si>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</si>
  <si>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</si>
  <si>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</si>
  <si>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</si>
  <si>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</si>
  <si>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</si>
  <si>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</si>
  <si>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</si>
  <si>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</si>
  <si>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</si>
  <si>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</si>
  <si>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</si>
  <si>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</si>
  <si>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</si>
  <si>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</si>
  <si>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</si>
  <si>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</si>
  <si>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</si>
  <si>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</si>
  <si>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</si>
  <si>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</si>
  <si>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</si>
  <si>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</si>
  <si>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</si>
  <si>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</si>
  <si>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</si>
  <si>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</si>
  <si>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</si>
  <si>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</si>
  <si>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</si>
  <si>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</si>
  <si>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</si>
  <si>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</si>
  <si>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</si>
  <si>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</si>
  <si>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</si>
  <si>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</si>
  <si>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</si>
  <si>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</si>
  <si>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</si>
  <si>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</si>
  <si>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</si>
  <si>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</si>
  <si>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</si>
  <si>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</si>
  <si>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</si>
  <si>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</si>
  <si>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</si>
  <si>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</si>
  <si>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</si>
  <si>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</si>
  <si>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</si>
  <si>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</si>
  <si>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</si>
  <si>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</si>
  <si>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</si>
  <si>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</si>
  <si>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</si>
  <si>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</si>
  <si>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</si>
  <si>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</si>
  <si>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</si>
  <si>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</si>
  <si>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</si>
  <si>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</si>
  <si>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</si>
  <si>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</si>
  <si>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</si>
  <si>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</si>
  <si>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</si>
  <si>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</si>
  <si>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</si>
  <si>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</si>
  <si>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</si>
  <si>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</si>
  <si>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</si>
  <si>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</si>
  <si>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</si>
  <si>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</si>
  <si>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</si>
  <si>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</si>
  <si>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</si>
  <si>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</si>
  <si>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</si>
  <si>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</si>
  <si>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</si>
  <si>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</si>
  <si>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</si>
  <si>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</si>
  <si>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</si>
  <si>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</si>
  <si>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</si>
  <si>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</si>
  <si>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</si>
  <si>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</si>
  <si>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</si>
  <si>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</si>
  <si>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</si>
  <si>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</si>
  <si>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</si>
  <si>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</si>
  <si>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</si>
  <si>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</si>
  <si>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</si>
  <si>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</si>
  <si>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</si>
  <si>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</si>
  <si>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</si>
  <si>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</si>
  <si>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</si>
  <si>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</si>
  <si>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</si>
  <si>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</si>
  <si>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</si>
  <si>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</si>
  <si>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</si>
  <si>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</si>
  <si>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</si>
  <si>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</si>
  <si>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</si>
  <si>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</si>
  <si>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</si>
  <si>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</si>
  <si>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</si>
  <si>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</si>
  <si>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</si>
  <si>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</si>
  <si>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</si>
  <si>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</si>
  <si>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</si>
  <si>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</si>
  <si>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</si>
  <si>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</si>
  <si>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</si>
  <si>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</si>
  <si>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</si>
  <si>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</si>
  <si>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</si>
  <si>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</si>
  <si>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</si>
  <si>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</si>
  <si>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</si>
  <si>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</si>
  <si>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</si>
  <si>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</si>
  <si>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</si>
  <si>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</si>
  <si>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</si>
  <si>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</si>
  <si>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</si>
  <si>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</si>
  <si>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</si>
  <si>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</si>
  <si>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</si>
  <si>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</si>
  <si>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</si>
  <si>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</si>
  <si>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</si>
  <si>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</si>
  <si>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</si>
  <si>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</si>
  <si>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</si>
  <si>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</si>
  <si>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</si>
  <si>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</si>
  <si>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</si>
  <si>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</si>
  <si>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</si>
  <si>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</si>
  <si>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</si>
  <si>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</si>
  <si>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</si>
  <si>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</si>
  <si>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</si>
  <si>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</si>
  <si>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</si>
  <si>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</si>
  <si>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</si>
  <si>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</si>
  <si>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</si>
  <si>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</si>
  <si>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</si>
  <si>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</si>
  <si>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</si>
  <si>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</si>
  <si>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</si>
  <si>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</si>
  <si>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</si>
  <si>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</si>
  <si>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</si>
  <si>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</si>
  <si>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</si>
  <si>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</si>
  <si>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</si>
  <si>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</si>
  <si>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</si>
  <si>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</si>
  <si>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</si>
  <si>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</si>
  <si>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</si>
  <si>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</si>
  <si>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</si>
  <si>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</si>
  <si>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</si>
  <si>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</si>
  <si>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</si>
  <si>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</si>
  <si>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</si>
  <si>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</si>
  <si>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</si>
  <si>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</si>
  <si>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</si>
  <si>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</si>
  <si>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</si>
  <si>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</si>
  <si>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</si>
  <si>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</si>
  <si>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</si>
  <si>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</si>
  <si>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</si>
  <si>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</si>
  <si>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</si>
  <si>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</si>
  <si>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</si>
  <si>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</si>
  <si>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</si>
  <si>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</si>
  <si>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</si>
  <si>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</si>
  <si>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</si>
  <si>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</si>
  <si>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</si>
  <si>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</si>
  <si>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</si>
  <si>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</si>
  <si>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</si>
  <si>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</si>
  <si>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</si>
  <si>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</si>
  <si>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</si>
  <si>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</si>
  <si>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</si>
  <si>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</si>
  <si>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</si>
  <si>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</si>
  <si>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</si>
  <si>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</si>
  <si>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</si>
  <si>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</si>
  <si>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</si>
  <si>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</si>
  <si>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</si>
  <si>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</si>
  <si>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</si>
  <si>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</si>
  <si>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</si>
  <si>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</si>
  <si>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</si>
  <si>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</si>
  <si>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</si>
  <si>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</si>
  <si>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</si>
  <si>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</si>
  <si>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</si>
  <si>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</si>
  <si>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</si>
  <si>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</si>
  <si>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</si>
  <si>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</si>
  <si>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</si>
  <si>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</si>
  <si>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</si>
  <si>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</si>
  <si>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</si>
  <si>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</si>
  <si>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</si>
  <si>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</si>
  <si>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</si>
  <si>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</si>
  <si>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</si>
  <si>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</si>
  <si>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</si>
  <si>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</si>
  <si>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</si>
  <si>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</si>
  <si>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</si>
  <si>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</si>
  <si>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</si>
  <si>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</si>
  <si>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</si>
  <si>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</si>
  <si>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</si>
  <si>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</si>
  <si>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</si>
  <si>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</si>
  <si>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</si>
  <si>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</si>
  <si>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</si>
  <si>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</si>
  <si>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</si>
  <si>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</si>
  <si>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</si>
  <si>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</si>
  <si>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</si>
  <si>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</si>
  <si>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</si>
  <si>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</si>
  <si>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</si>
  <si>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</si>
  <si>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</si>
  <si>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</si>
  <si>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</si>
  <si>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</si>
  <si>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</si>
  <si>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</si>
  <si>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</si>
  <si>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</si>
  <si>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</si>
  <si>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</si>
  <si>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</si>
  <si>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</si>
  <si>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</si>
  <si>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</si>
  <si>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</si>
  <si>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</si>
  <si>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</si>
  <si>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</si>
  <si>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</si>
  <si>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</si>
  <si>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</si>
  <si>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</si>
  <si>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</si>
  <si>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</si>
  <si>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</si>
  <si>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</si>
  <si>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</si>
  <si>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</si>
  <si>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</si>
  <si>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</si>
  <si>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</si>
  <si>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</si>
  <si>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</si>
  <si>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</si>
  <si>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</si>
  <si>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</si>
  <si>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</si>
  <si>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</si>
  <si>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</si>
  <si>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</si>
  <si>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</si>
  <si>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</si>
  <si>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</si>
  <si>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</si>
  <si>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</si>
  <si>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</si>
  <si>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</si>
  <si>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</si>
  <si>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</si>
  <si>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</si>
  <si>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</si>
  <si>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</si>
  <si>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</si>
  <si>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</si>
  <si>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</si>
  <si>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</si>
  <si>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</si>
  <si>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</si>
  <si>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</si>
  <si>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</si>
  <si>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</si>
  <si>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</si>
  <si>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</si>
  <si>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</si>
  <si>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</si>
  <si>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</si>
  <si>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</si>
  <si>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</si>
  <si>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</si>
  <si>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</si>
  <si>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</si>
  <si>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</si>
  <si>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</si>
  <si>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</si>
  <si>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</si>
  <si>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</si>
  <si>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</si>
  <si>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</si>
  <si>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</si>
  <si>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</si>
  <si>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</si>
  <si>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</si>
  <si>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</si>
  <si>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</si>
  <si>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</si>
  <si>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</si>
  <si>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</si>
  <si>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</si>
  <si>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</si>
  <si>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</si>
  <si>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</si>
  <si>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</si>
  <si>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</si>
  <si>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</si>
  <si>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</si>
  <si>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</si>
  <si>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</si>
  <si>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</si>
  <si>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</si>
  <si>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</si>
  <si>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</si>
  <si>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</si>
  <si>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</si>
  <si>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</si>
  <si>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</si>
  <si>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</si>
  <si>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</si>
  <si>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</si>
  <si>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</si>
  <si>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</si>
  <si>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</si>
  <si>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</si>
  <si>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</si>
  <si>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</si>
  <si>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</si>
  <si>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</si>
  <si>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</si>
  <si>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</si>
  <si>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</si>
  <si>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</si>
  <si>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</si>
  <si>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</si>
  <si>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</si>
  <si>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</si>
  <si>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</si>
  <si>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</si>
  <si>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</si>
  <si>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</si>
  <si>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</si>
  <si>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</si>
  <si>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</si>
  <si>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</si>
  <si>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</si>
  <si>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</si>
  <si>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</si>
  <si>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</si>
  <si>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</si>
  <si>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</si>
  <si>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</si>
  <si>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</si>
  <si>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</si>
  <si>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</si>
  <si>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</si>
  <si>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</si>
  <si>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</si>
  <si>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</si>
  <si>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</si>
  <si>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</si>
  <si>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</si>
  <si>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</si>
  <si>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</si>
  <si>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</si>
  <si>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</si>
  <si>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</si>
  <si>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</si>
  <si>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</si>
  <si>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</si>
  <si>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</si>
  <si>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</si>
  <si>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</si>
  <si>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</si>
  <si>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</si>
  <si>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</si>
  <si>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</si>
  <si>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</si>
  <si>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</si>
  <si>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</si>
  <si>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</si>
  <si>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</si>
  <si>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</si>
  <si>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</si>
  <si>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</si>
  <si>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</si>
  <si>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</si>
  <si>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</si>
  <si>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</si>
  <si>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</si>
  <si>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</si>
  <si>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</si>
  <si>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</si>
  <si>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</si>
  <si>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</si>
  <si>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</si>
  <si>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</si>
  <si>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</si>
  <si>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</si>
  <si>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</si>
  <si>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</si>
  <si>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</si>
  <si>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</si>
  <si>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</si>
  <si>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</si>
  <si>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</si>
  <si>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</si>
  <si>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</si>
  <si>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</si>
  <si>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</si>
  <si>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</si>
  <si>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</si>
  <si>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</si>
  <si>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</si>
  <si>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</si>
  <si>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</si>
  <si>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</si>
  <si>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</si>
  <si>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</si>
  <si>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</si>
  <si>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</si>
  <si>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</si>
  <si>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</si>
  <si>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</si>
  <si>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</si>
  <si>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</si>
  <si>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</si>
  <si>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</si>
  <si>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</si>
  <si>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</si>
  <si>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</si>
  <si>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</si>
  <si>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</si>
  <si>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</si>
  <si>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</si>
  <si>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</si>
  <si>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</si>
  <si>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</si>
  <si>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</si>
  <si>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</si>
  <si>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</si>
  <si>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</si>
  <si>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</si>
  <si>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</si>
  <si>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</si>
  <si>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</si>
  <si>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</si>
  <si>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</si>
  <si>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</si>
  <si>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</si>
  <si>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</si>
  <si>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</si>
  <si>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</si>
  <si>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</si>
  <si>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</si>
  <si>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</si>
  <si>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</si>
  <si>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</si>
  <si>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</si>
  <si>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</si>
  <si>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</si>
  <si>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</si>
  <si>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</si>
  <si>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</si>
  <si>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</si>
  <si>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</si>
  <si>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</si>
  <si>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</si>
  <si>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</si>
  <si>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</si>
  <si>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</si>
  <si>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</si>
  <si>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</si>
  <si>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</si>
  <si>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</si>
  <si>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</si>
  <si>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</si>
  <si>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</si>
  <si>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</si>
  <si>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</si>
  <si>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</si>
  <si>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</si>
  <si>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</si>
  <si>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</si>
  <si>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</si>
  <si>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</si>
  <si>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</si>
  <si>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</si>
  <si>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</si>
  <si>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</si>
  <si>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</si>
  <si>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</si>
  <si>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</si>
  <si>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</si>
  <si>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</si>
  <si>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</si>
  <si>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</si>
  <si>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</si>
  <si>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</si>
  <si>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</si>
  <si>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</si>
  <si>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</si>
  <si>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</si>
  <si>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</si>
  <si>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</si>
  <si>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</si>
  <si>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</si>
  <si>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</si>
  <si>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</si>
  <si>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</si>
  <si>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</si>
  <si>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</si>
  <si>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</si>
  <si>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</si>
  <si>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</si>
  <si>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</si>
  <si>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</si>
  <si>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</si>
  <si>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</si>
  <si>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</si>
  <si>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</si>
  <si>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</si>
  <si>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</si>
  <si>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</si>
  <si>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</si>
  <si>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</si>
  <si>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</si>
  <si>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</si>
  <si>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</si>
  <si>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</si>
  <si>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</si>
  <si>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</si>
  <si>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</si>
  <si>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</si>
  <si>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</si>
  <si>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</si>
  <si>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</si>
  <si>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</si>
  <si>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</si>
  <si>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</si>
  <si>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</si>
  <si>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</si>
  <si>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</si>
  <si>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</si>
  <si>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</si>
  <si>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</si>
  <si>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</si>
  <si>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</si>
  <si>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</si>
  <si>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</si>
  <si>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</si>
  <si>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</si>
  <si>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</si>
  <si>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</si>
  <si>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</si>
  <si>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</si>
  <si>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</si>
  <si>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</si>
  <si>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</si>
  <si>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</si>
  <si>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</si>
  <si>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</si>
  <si>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</si>
  <si>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</si>
  <si>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</si>
  <si>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</si>
  <si>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</si>
  <si>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</si>
  <si>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</si>
  <si>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</si>
  <si>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</si>
  <si>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</si>
  <si>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</si>
  <si>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</si>
  <si>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</si>
  <si>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</si>
  <si>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</si>
  <si>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</si>
  <si>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</si>
  <si>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</si>
  <si>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</si>
  <si>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</si>
  <si>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</si>
  <si>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</si>
  <si>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</si>
  <si>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</si>
  <si>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</si>
  <si>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</si>
  <si>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</si>
  <si>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</si>
  <si>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</si>
  <si>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</si>
  <si>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</si>
  <si>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</si>
  <si>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</si>
  <si>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</si>
  <si>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</si>
  <si>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</si>
  <si>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</si>
  <si>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</si>
  <si>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</si>
  <si>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</si>
  <si>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</si>
  <si>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</si>
  <si>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</si>
  <si>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</si>
  <si>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</si>
  <si>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</si>
  <si>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</si>
  <si>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</si>
  <si>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</si>
  <si>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</si>
  <si>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</si>
  <si>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</si>
  <si>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</si>
  <si>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</si>
  <si>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</si>
  <si>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</si>
  <si>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</si>
  <si>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</si>
  <si>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</si>
  <si>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</si>
  <si>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</si>
  <si>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</si>
  <si>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</si>
  <si>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</si>
  <si>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</si>
  <si>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</si>
  <si>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</si>
  <si>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</si>
  <si>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</si>
  <si>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</si>
  <si>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</si>
  <si>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</si>
  <si>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</si>
  <si>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</si>
  <si>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</si>
  <si>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</si>
  <si>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</si>
  <si>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</si>
  <si>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</si>
  <si>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</si>
  <si>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</si>
  <si>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</si>
  <si>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</si>
  <si>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</si>
  <si>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</si>
  <si>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</si>
  <si>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</si>
  <si>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</si>
  <si>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</si>
  <si>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</si>
  <si>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</si>
  <si>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</si>
  <si>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</si>
  <si>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</si>
  <si>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</si>
  <si>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</si>
  <si>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</si>
  <si>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</si>
  <si>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</si>
  <si>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</si>
  <si>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</si>
  <si>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</si>
  <si>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</si>
  <si>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</si>
  <si>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</si>
  <si>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</si>
  <si>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</si>
  <si>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</si>
  <si>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</si>
  <si>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</si>
  <si>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</si>
  <si>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</si>
  <si>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</si>
  <si>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</si>
  <si>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</si>
  <si>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</si>
  <si>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</si>
  <si>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</si>
  <si>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</si>
  <si>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</si>
  <si>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</si>
  <si>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</si>
  <si>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</si>
  <si>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</si>
  <si>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</si>
  <si>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</si>
  <si>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</si>
  <si>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</si>
  <si>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</si>
  <si>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</si>
  <si>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</si>
  <si>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</si>
  <si>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</si>
  <si>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</si>
  <si>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</si>
  <si>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</si>
  <si>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</si>
  <si>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</si>
  <si>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</si>
  <si>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</si>
  <si>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</si>
  <si>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</si>
  <si>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</si>
  <si>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</si>
  <si>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</si>
  <si>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</si>
  <si>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</si>
  <si>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</si>
  <si>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</si>
  <si>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</si>
  <si>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</si>
  <si>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</si>
  <si>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</si>
  <si>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</si>
  <si>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</si>
  <si>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</si>
  <si>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</si>
  <si>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</si>
  <si>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</si>
  <si>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</si>
  <si>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</si>
  <si>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</si>
  <si>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</si>
  <si>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</si>
  <si>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</si>
  <si>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</si>
  <si>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</si>
  <si>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</si>
  <si>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</si>
  <si>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</si>
  <si>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</si>
  <si>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</si>
  <si>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</si>
  <si>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</si>
  <si>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</si>
  <si>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</si>
  <si>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</si>
  <si>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</si>
  <si>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</si>
  <si>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</si>
  <si>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</si>
  <si>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</si>
  <si>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</si>
  <si>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</si>
  <si>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</si>
  <si>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</si>
  <si>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</si>
  <si>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</si>
  <si>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</si>
  <si>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</si>
  <si>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</si>
  <si>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</si>
  <si>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</si>
  <si>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</si>
  <si>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</si>
  <si>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</si>
  <si>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</si>
  <si>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</si>
  <si>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</si>
  <si>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</si>
  <si>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</si>
  <si>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</si>
  <si>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</si>
  <si>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</si>
  <si>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</si>
  <si>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</si>
  <si>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</si>
  <si>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</si>
  <si>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</si>
  <si>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</si>
  <si>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</si>
  <si>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</si>
  <si>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</si>
  <si>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</si>
  <si>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</si>
  <si>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</si>
  <si>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</si>
  <si>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</si>
  <si>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</si>
  <si>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</si>
  <si>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</si>
  <si>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</si>
  <si>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</si>
  <si>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</si>
  <si>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</si>
  <si>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</si>
  <si>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</si>
  <si>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</si>
  <si>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</si>
  <si>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</si>
  <si>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</si>
  <si>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</si>
  <si>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</si>
  <si>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</si>
  <si>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</si>
  <si>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</si>
  <si>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</si>
  <si>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</si>
  <si>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</si>
  <si>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</si>
  <si>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</si>
  <si>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</si>
  <si>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</si>
  <si>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</si>
  <si>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</si>
  <si>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</si>
  <si>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</si>
  <si>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</si>
  <si>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</si>
  <si>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</si>
  <si>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</si>
  <si>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</si>
  <si>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</si>
  <si>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</si>
  <si>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</si>
  <si>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</si>
  <si>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</si>
  <si>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</si>
  <si>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</si>
  <si>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</si>
  <si>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</si>
  <si>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</si>
  <si>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</si>
  <si>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</si>
  <si>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</si>
  <si>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</si>
  <si>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</si>
  <si>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</si>
  <si>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</si>
  <si>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</si>
  <si>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</si>
  <si>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</si>
  <si>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</si>
  <si>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</si>
  <si>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</si>
  <si>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</si>
  <si>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</si>
  <si>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</si>
  <si>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</si>
  <si>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</si>
  <si>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</si>
  <si>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</si>
  <si>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</si>
  <si>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</si>
  <si>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</si>
  <si>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</si>
  <si>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</si>
  <si>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</si>
  <si>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</si>
  <si>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</si>
  <si>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</si>
  <si>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</si>
  <si>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</si>
  <si>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</si>
  <si>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</si>
  <si>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</si>
  <si>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</si>
  <si>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</si>
  <si>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</si>
  <si>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</si>
  <si>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</si>
  <si>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</si>
  <si>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</si>
  <si>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</si>
  <si>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</si>
  <si>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</si>
  <si>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</si>
  <si>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</si>
  <si>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</si>
  <si>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</si>
  <si>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</si>
  <si>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</si>
  <si>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</si>
  <si>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</si>
  <si>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</si>
  <si>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</si>
  <si>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</si>
  <si>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</si>
  <si>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</si>
  <si>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</si>
  <si>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</si>
  <si>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</si>
  <si>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</si>
  <si>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</si>
  <si>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</si>
  <si>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</si>
  <si>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</si>
  <si>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</si>
  <si>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</si>
  <si>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</si>
  <si>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</si>
  <si>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</si>
  <si>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</si>
  <si>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</si>
  <si>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</si>
  <si>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</si>
  <si>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</si>
  <si>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</si>
  <si>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</si>
  <si>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</si>
  <si>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</si>
  <si>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</si>
  <si>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</si>
  <si>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</si>
  <si>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</si>
  <si>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</si>
  <si>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</si>
  <si>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</si>
  <si>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</si>
  <si>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</si>
  <si>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</si>
  <si>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</si>
  <si>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</si>
  <si>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</si>
  <si>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</si>
  <si>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</si>
  <si>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</si>
  <si>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</si>
  <si>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</si>
  <si>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</si>
  <si>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</si>
  <si>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</si>
  <si>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</si>
  <si>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</si>
  <si>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</si>
  <si>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</si>
  <si>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</si>
  <si>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</si>
  <si>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</si>
  <si>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</si>
  <si>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</si>
  <si>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</si>
  <si>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</si>
  <si>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</si>
  <si>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</si>
  <si>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</si>
  <si>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</si>
  <si>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</si>
  <si>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</si>
  <si>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</si>
  <si>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</si>
  <si>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</si>
  <si>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</si>
  <si>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</si>
  <si>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</si>
  <si>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</si>
  <si>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</si>
  <si>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</si>
  <si>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</si>
  <si>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</si>
  <si>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</si>
  <si>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</si>
  <si>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</si>
  <si>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</si>
  <si>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</si>
  <si>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</si>
  <si>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</si>
  <si>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</si>
  <si>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</si>
  <si>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</si>
  <si>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</si>
  <si>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</si>
  <si>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</si>
  <si>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</si>
  <si>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</si>
  <si>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</si>
  <si>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</si>
  <si>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</si>
  <si>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</si>
  <si>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</si>
  <si>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</si>
  <si>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</si>
  <si>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</si>
  <si>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</si>
  <si>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</si>
  <si>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</si>
  <si>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</si>
  <si>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</si>
  <si>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</si>
  <si>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</si>
  <si>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</si>
  <si>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</si>
  <si>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</si>
  <si>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</si>
  <si>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</si>
  <si>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</si>
  <si>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</si>
  <si>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</si>
  <si>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</si>
  <si>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</si>
  <si>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</si>
  <si>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</si>
  <si>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</si>
  <si>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</si>
  <si>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</si>
  <si>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</si>
  <si>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</si>
  <si>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</si>
  <si>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</si>
  <si>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</si>
  <si>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</si>
  <si>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</si>
  <si>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</si>
  <si>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</si>
  <si>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</si>
  <si>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</si>
  <si>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</si>
  <si>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</si>
  <si>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</si>
  <si>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</si>
  <si>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</si>
  <si>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</si>
  <si>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</si>
  <si>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</si>
  <si>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</si>
  <si>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</si>
  <si>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</si>
  <si>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</si>
  <si>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</si>
  <si>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</si>
  <si>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万元</t>
  </si>
  <si>
    <t>楼面单价</t>
  </si>
  <si>
    <t>商业</t>
  </si>
  <si>
    <t>无租约</t>
  </si>
  <si>
    <t>否</t>
  </si>
  <si>
    <t>利息：取LPR加浮动点数</t>
  </si>
  <si>
    <t>钢混</t>
  </si>
  <si>
    <t>非生产用房</t>
  </si>
  <si>
    <t>是</t>
  </si>
  <si>
    <t>押一</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</si>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</sst>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9980;&#27700;&#35199;&#22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E33">
            <v>363</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XX预评估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受您的委托，我公司对XX房地产进行了预评估。</v>
      </c>
    </row>
    <row r="7" spans="1:2">
      <c r="A7" s="1139" t="s">
        <v>862</v>
      </c>
      <c r="B7" s="1126" t="str">
        <f>'预评函-1'!A6</f>
        <v>估价对象为XX房地产，为XX所有。根据《》[]，估价对象建筑面积为177.57平方米。根据《》[]，估价对象（分摊）出让国有建设用地使用权面积为平方米。估价对象用途为。</v>
      </c>
    </row>
    <row r="8" spans="1:2">
      <c r="A8" s="1139" t="s">
        <v>863</v>
      </c>
      <c r="B8" s="1126"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2022年8月29日</v>
      </c>
    </row>
    <row r="10" spans="1:2">
      <c r="A10" s="1139" t="s">
        <v>865</v>
      </c>
      <c r="B10" s="1126" t="str">
        <f>'预评函-1'!A13</f>
        <v>本次估价的“房地产价值”是指在正常市场情况下，在价值时点2022年8月29日，估价对象规划用途为，假定未设立法定优先受偿款下的房地产市场价值。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XX房地产</v>
      </c>
    </row>
    <row r="18" spans="1:2">
      <c r="A18" s="1139" t="s">
        <v>873</v>
      </c>
      <c r="B18" s="1126">
        <f>'预评函-2（1）'!C6</f>
        <v>177.57</v>
      </c>
    </row>
    <row r="19" spans="1:2">
      <c r="A19" s="1139" t="s">
        <v>874</v>
      </c>
      <c r="B19" s="1126">
        <f ca="1">'预评函-2（1）'!D7</f>
        <v>650</v>
      </c>
    </row>
    <row r="20" spans="1:2">
      <c r="A20" s="1139" t="s">
        <v>912</v>
      </c>
      <c r="B20" s="1126" t="str">
        <f>'预评函-2（1）'!C7</f>
        <v>总价（万元）</v>
      </c>
    </row>
    <row r="21" spans="1:2">
      <c r="A21" s="1139" t="s">
        <v>875</v>
      </c>
      <c r="B21" s="1126">
        <f ca="1">'预评函-2（1）'!D9</f>
        <v>36590</v>
      </c>
    </row>
    <row r="22" spans="1:2">
      <c r="A22" s="1139" t="s">
        <v>876</v>
      </c>
      <c r="B22" s="1126" t="str">
        <f ca="1">'预评函-2（1）'!D8</f>
        <v>陆佰伍拾万元整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650</v>
      </c>
    </row>
    <row r="30" spans="1:2">
      <c r="A30" s="1139" t="s">
        <v>882</v>
      </c>
      <c r="B30" s="1126" t="str">
        <f ca="1">'预评函-2（1）'!D16</f>
        <v>陆佰伍拾万元整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572</v>
      </c>
    </row>
    <row r="38" spans="1:2">
      <c r="A38" s="1139" t="s">
        <v>890</v>
      </c>
      <c r="B38" s="1126">
        <f ca="1">'预评函-2（2）'!E4</f>
        <v>32199</v>
      </c>
    </row>
    <row r="39" spans="1:2">
      <c r="A39" s="1139" t="s">
        <v>891</v>
      </c>
      <c r="B39" s="1126" t="str">
        <f ca="1">'预评函-2（2）'!D5</f>
        <v>伍佰柒拾贰万元整</v>
      </c>
    </row>
    <row r="40" spans="1:2">
      <c r="A40" s="1139" t="s">
        <v>892</v>
      </c>
      <c r="B40" s="1126">
        <f ca="1">'预评函-2（2）'!F4</f>
        <v>78</v>
      </c>
    </row>
    <row r="41" spans="1:2">
      <c r="A41" s="1139" t="s">
        <v>893</v>
      </c>
      <c r="B41" s="1126">
        <f ca="1">'预评函-2（2）'!G4</f>
        <v>4391</v>
      </c>
    </row>
    <row r="42" spans="1:2" s="1136" customFormat="1" ht="15.75" thickBot="1">
      <c r="A42" s="1140" t="s">
        <v>894</v>
      </c>
      <c r="B42" s="1128" t="str">
        <f ca="1">'预评函-2（2）'!F5</f>
        <v>柒拾捌万元整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36590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27" sqref="I2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XX预评估</v>
      </c>
      <c r="C1" s="781"/>
      <c r="D1" s="781"/>
      <c r="E1" s="781"/>
      <c r="F1" s="1354" t="s">
        <v>1289</v>
      </c>
      <c r="G1" s="1120"/>
      <c r="I1" s="2837" t="str">
        <f>IF(B6="北京市","北京市",C6)&amp;IF(E12="房屋所有权证",B29,E29)&amp;"房地产"</f>
        <v>XX房地产</v>
      </c>
      <c r="J1" s="758"/>
      <c r="K1" s="2839"/>
      <c r="L1" s="2839"/>
      <c r="M1" s="2839"/>
      <c r="N1" s="758"/>
      <c r="O1" s="758"/>
      <c r="P1" s="758"/>
      <c r="Q1" s="758"/>
    </row>
    <row r="2" spans="1:17" ht="13.5" thickTop="1">
      <c r="A2" s="1355" t="s">
        <v>1290</v>
      </c>
      <c r="B2" s="2510"/>
      <c r="C2" s="2809" t="s">
        <v>1291</v>
      </c>
      <c r="D2" s="2510">
        <v>44802</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t="s">
        <v>3030</v>
      </c>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c r="C7" s="1453" t="str">
        <f>IF(B7="自然人","姓名","名称")</f>
        <v>名称</v>
      </c>
      <c r="D7" s="1366" t="s">
        <v>2479</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2586</v>
      </c>
      <c r="B12" s="2817" t="s">
        <v>1310</v>
      </c>
      <c r="C12" s="766">
        <v>177.57</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2585</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44802</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3031</v>
      </c>
      <c r="C3" s="1613"/>
      <c r="D3" s="3412"/>
      <c r="E3" s="2557" t="s">
        <v>3035</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3032</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177.57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3033</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54459</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26.45</v>
      </c>
      <c r="C13" s="2885"/>
      <c r="D13" s="2851" t="s">
        <v>1397</v>
      </c>
      <c r="E13" s="2571">
        <f>成本法!C10</f>
        <v>35514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0.84499999999999997</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710280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ROUND(1-(2022-2011)/60,2)</f>
        <v>0.82</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2011</v>
      </c>
      <c r="C27" s="1613"/>
      <c r="D27" s="3074" t="s">
        <v>3036</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3034</v>
      </c>
      <c r="D29" s="2853" t="s">
        <v>1423</v>
      </c>
      <c r="E29" s="2872">
        <f>E30+E31</f>
        <v>5.6000000000000001E-2</v>
      </c>
      <c r="F29" s="1238"/>
      <c r="G29" s="2887"/>
      <c r="H29" s="2887"/>
      <c r="K29" s="1613"/>
      <c r="N29" s="1613"/>
    </row>
    <row r="30" spans="1:41" ht="14.25">
      <c r="A30" s="2848" t="str">
        <f>IF(B29="租赁期内按合同租金","合同租金","市场租金")</f>
        <v>市场租金</v>
      </c>
      <c r="B30" s="2588">
        <v>8</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26.45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v>0</v>
      </c>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12</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87</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f>F45</f>
        <v>12</v>
      </c>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0.01</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177.57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44802</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650</v>
      </c>
      <c r="C5" s="2499">
        <f ca="1">ROUND(B5*10000/$B$1,0)</f>
        <v>36605</v>
      </c>
      <c r="D5" s="2499" t="e">
        <f ca="1">ROUND(B5*10000/$B$2,0)</f>
        <v>#DIV/0!</v>
      </c>
      <c r="E5" s="1562"/>
      <c r="F5" s="2500"/>
      <c r="G5" s="2500"/>
    </row>
    <row r="6" spans="1:9" ht="16.5">
      <c r="A6" s="2499" t="s">
        <v>981</v>
      </c>
      <c r="B6" s="2499">
        <f ca="1">SUM(G14:G23)</f>
        <v>650</v>
      </c>
      <c r="C6" s="2499">
        <f t="shared" ref="C6:C8" ca="1" si="0">ROUND(B6*10000/$B$1,0)</f>
        <v>36605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177.57</v>
      </c>
      <c r="C14" s="2835">
        <f>项目基本情况!C13</f>
        <v>0</v>
      </c>
      <c r="D14" s="2835">
        <f ca="1">IF('数据-取费表'!B3="万元",IF(A14="估价对象1（结果表）",结果表!H121,'结果表 (1修多)'!H125),IF(A14="估价对象1（结果表）",结果表!H121,'结果表 (1修多)'!H125)/10000)</f>
        <v>650</v>
      </c>
      <c r="E14" s="2835">
        <f ca="1">ROUND(D14*10000/B14,0)</f>
        <v>36605</v>
      </c>
      <c r="F14" s="2835" t="e">
        <f ca="1">ROUND(D14*10000/C14,0)</f>
        <v>#DIV/0!</v>
      </c>
      <c r="G14" s="2835">
        <f ca="1">IF('数据-取费表'!B3="万元",IF(A14="估价对象1（结果表）",结果表!D125,'结果表 (1修多)'!D129),IF(A14="估价对象1（结果表）",结果表!D125,'结果表 (1修多)'!D129)/10000)</f>
        <v>650</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K24" sqref="K24"/>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XX预评估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3043</v>
      </c>
      <c r="D4" s="2632" t="s">
        <v>3044</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5</v>
      </c>
      <c r="D14" s="3472">
        <v>5</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68" t="s">
        <v>2575</v>
      </c>
      <c r="F18" s="3469"/>
      <c r="G18" s="3469"/>
      <c r="H18" s="3469"/>
      <c r="I18" s="3469"/>
      <c r="J18" s="2765"/>
    </row>
    <row r="19" spans="1:36" ht="15">
      <c r="A19" s="2638" t="s">
        <v>1494</v>
      </c>
      <c r="B19" s="2639" t="s">
        <v>1495</v>
      </c>
      <c r="C19" s="2640">
        <f ca="1">SUMIF(INDIRECT("'"&amp;C4&amp;"'"&amp;"!A:A"),结果表!B19,INDIRECT("'"&amp;C4&amp;"'"&amp;"!B:B"))</f>
        <v>599</v>
      </c>
      <c r="D19" s="2641">
        <f ca="1">SUMIF(INDIRECT("'"&amp;D4&amp;"'"&amp;"!A:A"),结果表!B19,INDIRECT("'"&amp;D4&amp;"'"&amp;"!B:B"))</f>
        <v>701</v>
      </c>
      <c r="E19" s="2638" t="s">
        <v>1496</v>
      </c>
      <c r="F19" s="2639" t="s">
        <v>1495</v>
      </c>
      <c r="G19" s="2642">
        <f ca="1">ROUND(C19*$C$18+D19*$D$18,0)</f>
        <v>650</v>
      </c>
      <c r="H19" s="2643" t="str">
        <f>'数据-取费表'!B3</f>
        <v>万元</v>
      </c>
      <c r="I19" s="2691"/>
      <c r="J19" s="2766"/>
    </row>
    <row r="20" spans="1:36" ht="15">
      <c r="A20" s="2644"/>
      <c r="B20" s="1622" t="s">
        <v>1497</v>
      </c>
      <c r="C20" s="1847">
        <f ca="1">SUMIF(INDIRECT("'"&amp;C4&amp;"'"&amp;"!A:A"),结果表!B20,INDIRECT("'"&amp;C4&amp;"'"&amp;"!B:B"))</f>
        <v>33730</v>
      </c>
      <c r="D20" s="1850">
        <f ca="1">SUMIF(INDIRECT("'"&amp;D4&amp;"'"&amp;"!A:A"),结果表!B20,INDIRECT("'"&amp;D4&amp;"'"&amp;"!B:B"))</f>
        <v>39450</v>
      </c>
      <c r="E20" s="2644"/>
      <c r="F20" s="1622" t="s">
        <v>1497</v>
      </c>
      <c r="G20" s="2021">
        <f ca="1">ROUND(C20*$C$18+D20*$D$18,0)</f>
        <v>36590</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0.1702838063439065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36590</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32199</v>
      </c>
      <c r="D34" s="2668">
        <f ca="1">IF(D33="自定义",ROUND(C34/C32,3),1-D35)</f>
        <v>0.88</v>
      </c>
      <c r="E34" s="1363" t="s">
        <v>1510</v>
      </c>
      <c r="F34" s="2669">
        <v>2000</v>
      </c>
      <c r="G34" s="905"/>
      <c r="H34" s="905"/>
      <c r="I34" s="905"/>
      <c r="J34" s="2765"/>
    </row>
    <row r="35" spans="1:17" ht="15.75" thickBot="1">
      <c r="A35" s="1395"/>
      <c r="B35" s="2670" t="s">
        <v>1511</v>
      </c>
      <c r="C35" s="2671">
        <f ca="1">IF(D33="自定义",F35,ROUND(C32*D35,0))</f>
        <v>4391</v>
      </c>
      <c r="D35" s="2672">
        <f ca="1">IF(D33="自定义",ROUND(C35/C32,3),IF(D33="成本法成本比率",成本法!C56,IF(D33="收益法收益比率",收益法!J38,收益法!J41)))</f>
        <v>0.12</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65" t="s">
        <v>1524</v>
      </c>
      <c r="B45" s="3466"/>
      <c r="C45" s="3425"/>
      <c r="D45" s="246">
        <f ca="1">ROUND(I102*F45,0)</f>
        <v>650</v>
      </c>
      <c r="E45" s="1470" t="s">
        <v>1525</v>
      </c>
      <c r="F45" s="2479">
        <v>1</v>
      </c>
      <c r="G45" s="2480" t="s">
        <v>1526</v>
      </c>
      <c r="H45" s="905"/>
      <c r="I45" s="905"/>
      <c r="J45" s="2765"/>
      <c r="K45" s="3519" t="s">
        <v>2504</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2505</v>
      </c>
      <c r="M46" s="3520"/>
      <c r="N46" s="3521" t="str">
        <f>项目基本情况!B1</f>
        <v>XX预评估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2506</v>
      </c>
      <c r="M47" s="3520"/>
      <c r="N47" s="3522">
        <f>'数据-取费表'!B2</f>
        <v>44802</v>
      </c>
      <c r="O47" s="3522"/>
      <c r="P47" s="3522"/>
      <c r="Q47" s="1236"/>
    </row>
    <row r="48" spans="1:17" ht="25.5">
      <c r="A48" s="3464" t="s">
        <v>1536</v>
      </c>
      <c r="B48" s="3418"/>
      <c r="C48" s="3418"/>
      <c r="D48" s="12">
        <f ca="1">IF(H48="情况1",0,IF(H48="情况2",D52,IF(H48="情况3",D53,IF(H48="情况4",D54))))</f>
        <v>35</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2507</v>
      </c>
      <c r="M48" s="3520"/>
      <c r="N48" s="3521">
        <f ca="1">I102</f>
        <v>650</v>
      </c>
      <c r="O48" s="3521"/>
      <c r="P48" s="3521"/>
      <c r="Q48" s="1236"/>
    </row>
    <row r="49" spans="1:17" ht="25.5" customHeight="1">
      <c r="A49" s="2019" t="s">
        <v>1540</v>
      </c>
      <c r="B49" s="3457" t="s">
        <v>1541</v>
      </c>
      <c r="C49" s="3457"/>
      <c r="D49" s="2486">
        <v>0</v>
      </c>
      <c r="E49" s="261" t="s">
        <v>1542</v>
      </c>
      <c r="F49" s="2487" t="s">
        <v>48</v>
      </c>
      <c r="G49" s="3514"/>
      <c r="H49" s="2488" t="s">
        <v>2581</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2500</v>
      </c>
      <c r="I50" s="2489"/>
      <c r="J50" s="2773"/>
      <c r="K50" s="3520" t="s">
        <v>2508</v>
      </c>
      <c r="L50" s="3520"/>
      <c r="M50" s="3520"/>
      <c r="N50" s="3520"/>
      <c r="O50" s="3520"/>
      <c r="P50" s="3520"/>
      <c r="Q50" s="1236"/>
    </row>
    <row r="51" spans="1:17" ht="20.45" customHeight="1">
      <c r="A51" s="2492"/>
      <c r="B51" s="3457" t="s">
        <v>1545</v>
      </c>
      <c r="C51" s="3457"/>
      <c r="D51" s="1028"/>
      <c r="E51" s="264"/>
      <c r="F51" s="2487"/>
      <c r="G51" s="3516"/>
      <c r="H51" s="2491" t="s">
        <v>2501</v>
      </c>
      <c r="I51" s="2489"/>
      <c r="J51" s="2773"/>
      <c r="K51" s="2455" t="s">
        <v>2509</v>
      </c>
      <c r="L51" s="3520" t="s">
        <v>2510</v>
      </c>
      <c r="M51" s="3520"/>
      <c r="N51" s="2455" t="s">
        <v>2511</v>
      </c>
      <c r="O51" s="2455" t="s">
        <v>2512</v>
      </c>
      <c r="P51" s="2455" t="s">
        <v>2513</v>
      </c>
      <c r="Q51" s="1236"/>
    </row>
    <row r="52" spans="1:17" ht="24" customHeight="1">
      <c r="A52" s="2010" t="s">
        <v>1551</v>
      </c>
      <c r="B52" s="3457" t="s">
        <v>1552</v>
      </c>
      <c r="C52" s="3457"/>
      <c r="D52" s="1028">
        <f ca="1">ROUND(D45*'数据-取费表'!E29/(1+'数据-取费表'!F30),0)</f>
        <v>35</v>
      </c>
      <c r="E52" s="2020" t="s">
        <v>1553</v>
      </c>
      <c r="F52" s="2493">
        <f>'数据-取费表'!E29</f>
        <v>5.6000000000000001E-2</v>
      </c>
      <c r="G52" s="2494"/>
      <c r="H52" s="905"/>
      <c r="I52" s="2898"/>
      <c r="J52" s="2773"/>
      <c r="K52" s="2454">
        <v>1</v>
      </c>
      <c r="L52" s="3487" t="s">
        <v>2514</v>
      </c>
      <c r="M52" s="3487"/>
      <c r="N52" s="2456">
        <f ca="1">D48</f>
        <v>35</v>
      </c>
      <c r="O52" s="2454" t="str">
        <f>E48</f>
        <v>销售额×税（费）率</v>
      </c>
      <c r="P52" s="2457">
        <f>F48</f>
        <v>5.6000000000000001E-2</v>
      </c>
      <c r="Q52" s="1236"/>
    </row>
    <row r="53" spans="1:17" ht="12" customHeight="1">
      <c r="A53" s="2010" t="s">
        <v>1555</v>
      </c>
      <c r="B53" s="3419" t="s">
        <v>2592</v>
      </c>
      <c r="C53" s="3458"/>
      <c r="D53" s="1028">
        <f ca="1">ROUND(D45*'数据-取费表'!E29/(1+'数据-取费表'!F30),0)</f>
        <v>35</v>
      </c>
      <c r="E53" s="2020" t="s">
        <v>1553</v>
      </c>
      <c r="F53" s="2493">
        <f>'数据-取费表'!E29</f>
        <v>5.6000000000000001E-2</v>
      </c>
      <c r="G53" s="2494"/>
      <c r="H53" s="905"/>
      <c r="I53" s="2898"/>
      <c r="J53" s="2773"/>
      <c r="K53" s="2454">
        <v>2</v>
      </c>
      <c r="L53" s="3487" t="s">
        <v>2515</v>
      </c>
      <c r="M53" s="3487"/>
      <c r="N53" s="2456">
        <f t="shared" ref="N53:P54" si="1">D55</f>
        <v>0</v>
      </c>
      <c r="O53" s="2454" t="str">
        <f t="shared" si="1"/>
        <v>销售额×税（费）率</v>
      </c>
      <c r="P53" s="2457" t="str">
        <f t="shared" si="1"/>
        <v>免征</v>
      </c>
      <c r="Q53" s="1236"/>
    </row>
    <row r="54" spans="1:17" ht="12" customHeight="1">
      <c r="A54" s="2010" t="s">
        <v>1557</v>
      </c>
      <c r="B54" s="3419" t="s">
        <v>2593</v>
      </c>
      <c r="C54" s="3458"/>
      <c r="D54" s="1028">
        <f ca="1">C68</f>
        <v>35</v>
      </c>
      <c r="E54" s="264" t="s">
        <v>1558</v>
      </c>
      <c r="F54" s="2493">
        <f>'数据-取费表'!E29</f>
        <v>5.6000000000000001E-2</v>
      </c>
      <c r="G54" s="2494"/>
      <c r="H54" s="2899"/>
      <c r="I54" s="2898"/>
      <c r="J54" s="2773"/>
      <c r="K54" s="2454">
        <v>3</v>
      </c>
      <c r="L54" s="3487" t="s">
        <v>2516</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2497</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2517</v>
      </c>
      <c r="M57" s="2462" t="s">
        <v>2518</v>
      </c>
      <c r="N57" s="2463"/>
      <c r="O57" s="2464">
        <f ca="1">SUMIF(N52:N56,"&lt;9e307")</f>
        <v>35</v>
      </c>
      <c r="P57" s="2465"/>
      <c r="Q57" s="1234" t="e">
        <f ca="1">O57/N49</f>
        <v>#VALUE!</v>
      </c>
    </row>
    <row r="58" spans="1:17" ht="24.75">
      <c r="A58" s="2010" t="s">
        <v>1551</v>
      </c>
      <c r="B58" s="3419" t="s">
        <v>1569</v>
      </c>
      <c r="C58" s="3457"/>
      <c r="D58" s="12">
        <f ca="1">IF(H58="转让取得",C81,C97)</f>
        <v>368</v>
      </c>
      <c r="E58" s="2020" t="s">
        <v>1564</v>
      </c>
      <c r="F58" s="235" t="s">
        <v>48</v>
      </c>
      <c r="G58" s="2494"/>
      <c r="H58" s="2496" t="s">
        <v>1570</v>
      </c>
      <c r="I58" s="2900"/>
      <c r="J58" s="2773"/>
      <c r="K58" s="3487"/>
      <c r="L58" s="3487"/>
      <c r="M58" s="2462" t="s">
        <v>2519</v>
      </c>
      <c r="N58" s="2466"/>
      <c r="O58" s="2467" t="str">
        <f ca="1">IF(H19="元",NUMBERSTRING(INT(O57),2)&amp;"元整",NUMBERSTRING(INT(O57*10000),2)&amp;"元整")</f>
        <v>叁拾伍万元整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85">
        <f>K57+1</f>
        <v>5</v>
      </c>
      <c r="L59" s="3487"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2519</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2521</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619</v>
      </c>
      <c r="D63" s="47"/>
      <c r="E63" s="48"/>
      <c r="F63" s="2901"/>
      <c r="G63" s="2901"/>
      <c r="H63" s="2903"/>
      <c r="I63" s="31"/>
      <c r="K63" s="3503"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650</v>
      </c>
      <c r="D64" s="50" t="s">
        <v>41</v>
      </c>
      <c r="E64" s="52"/>
      <c r="F64" s="2901"/>
      <c r="G64" s="2901"/>
      <c r="H64" s="2903"/>
      <c r="I64" s="31"/>
      <c r="K64" s="3503"/>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03"/>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03"/>
      <c r="L66" s="2476" t="s">
        <v>2527</v>
      </c>
      <c r="M66" s="2476" t="e">
        <f>N49*0.5%</f>
        <v>#VALUE!</v>
      </c>
      <c r="N66" s="2477" t="e">
        <f>IF(M66&gt;0.5,0.5,ROUND(M66,0))</f>
        <v>#VALUE!</v>
      </c>
      <c r="O66" s="2475" t="s">
        <v>2528</v>
      </c>
      <c r="P66" s="2475"/>
      <c r="Q66" s="1236"/>
    </row>
    <row r="67" spans="1:36" ht="12.75">
      <c r="A67" s="53" t="s">
        <v>42</v>
      </c>
      <c r="B67" s="54" t="s">
        <v>1591</v>
      </c>
      <c r="C67" s="2708">
        <f ca="1">C63-C66</f>
        <v>619</v>
      </c>
      <c r="D67" s="50" t="s">
        <v>41</v>
      </c>
      <c r="E67" s="52"/>
      <c r="F67" s="2901"/>
      <c r="G67" s="2901"/>
      <c r="H67" s="2903"/>
      <c r="I67" s="31"/>
      <c r="K67" s="3503"/>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35</v>
      </c>
      <c r="D68" s="2170">
        <f>'数据-取费表'!E29</f>
        <v>5.6000000000000001E-2</v>
      </c>
      <c r="E68" s="57"/>
      <c r="F68" s="2901"/>
      <c r="G68" s="2901"/>
      <c r="H68" s="2903"/>
      <c r="I68" s="31"/>
      <c r="K68" s="3503"/>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619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615</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153.75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368</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619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2492</v>
      </c>
      <c r="H90" s="3512"/>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615</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153.75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368</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2536</v>
      </c>
      <c r="G100" s="3423"/>
      <c r="H100" s="3422" t="s">
        <v>2537</v>
      </c>
      <c r="I100" s="3421"/>
      <c r="J100" s="2780"/>
    </row>
    <row r="101" spans="1:36" ht="12.75">
      <c r="A101" s="3490" t="s">
        <v>2569</v>
      </c>
      <c r="B101" s="2235" t="str">
        <f>IF(H19="元","总价（元）","总价（万元）")</f>
        <v>总价（万元）</v>
      </c>
      <c r="C101" s="1235">
        <f ca="1">C19</f>
        <v>599</v>
      </c>
      <c r="D101" s="2727">
        <f ca="1">D19</f>
        <v>701</v>
      </c>
      <c r="E101" s="1389"/>
      <c r="F101" s="3422" t="str">
        <f>项目基本情况!I1</f>
        <v>XX房地产</v>
      </c>
      <c r="G101" s="3423"/>
      <c r="H101" s="3420">
        <f>项目基本情况!C12</f>
        <v>177.57</v>
      </c>
      <c r="I101" s="3421"/>
      <c r="J101" s="2780"/>
    </row>
    <row r="102" spans="1:36" ht="12.75">
      <c r="A102" s="3490"/>
      <c r="B102" s="2235" t="s">
        <v>2570</v>
      </c>
      <c r="C102" s="2728">
        <f ca="1">C20</f>
        <v>33730</v>
      </c>
      <c r="D102" s="2729">
        <f ca="1">D20</f>
        <v>39450</v>
      </c>
      <c r="E102" s="1389"/>
      <c r="F102" s="3432" t="s">
        <v>2566</v>
      </c>
      <c r="G102" s="3433"/>
      <c r="H102" s="2737" t="str">
        <f>C106</f>
        <v>总价（万元）</v>
      </c>
      <c r="I102" s="2738">
        <f ca="1">H121</f>
        <v>650</v>
      </c>
      <c r="J102" s="2780"/>
    </row>
    <row r="103" spans="1:36" ht="12.75">
      <c r="A103" s="3490" t="s">
        <v>2571</v>
      </c>
      <c r="B103" s="2173" t="str">
        <f>B101</f>
        <v>总价（万元）</v>
      </c>
      <c r="C103" s="2732">
        <f ca="1">H121</f>
        <v>650</v>
      </c>
      <c r="D103" s="2730"/>
      <c r="E103" s="1389"/>
      <c r="F103" s="3432"/>
      <c r="G103" s="3433"/>
      <c r="H103" s="2737" t="s">
        <v>2539</v>
      </c>
      <c r="I103" s="52">
        <f ca="1">I121</f>
        <v>36590</v>
      </c>
      <c r="J103" s="2764"/>
    </row>
    <row r="104" spans="1:36" ht="13.5" thickBot="1">
      <c r="A104" s="3491"/>
      <c r="B104" s="2734" t="s">
        <v>2570</v>
      </c>
      <c r="C104" s="2735">
        <f ca="1">I121</f>
        <v>36590</v>
      </c>
      <c r="D104" s="2736"/>
      <c r="E104" s="1389"/>
      <c r="F104" s="3432"/>
      <c r="G104" s="3433"/>
      <c r="H104" s="3492"/>
      <c r="I104" s="3493"/>
      <c r="J104" s="2781"/>
    </row>
    <row r="105" spans="1:36" ht="15">
      <c r="A105" s="3498" t="s">
        <v>1633</v>
      </c>
      <c r="B105" s="3499"/>
      <c r="C105" s="3499"/>
      <c r="D105" s="3500"/>
      <c r="E105" s="1389"/>
      <c r="F105" s="3496" t="s">
        <v>2540</v>
      </c>
      <c r="G105" s="3497"/>
      <c r="H105" s="2739" t="str">
        <f>C108</f>
        <v>总额（万元）</v>
      </c>
      <c r="I105" s="2738">
        <f>SUMIF(I106:I108,"&lt;9E307")</f>
        <v>0</v>
      </c>
      <c r="J105" s="2780"/>
    </row>
    <row r="106" spans="1:36" ht="14.25">
      <c r="A106" s="3432" t="s">
        <v>2563</v>
      </c>
      <c r="B106" s="3433"/>
      <c r="C106" s="2737" t="str">
        <f>B101</f>
        <v>总价（万元）</v>
      </c>
      <c r="D106" s="2738">
        <f ca="1">H121</f>
        <v>650</v>
      </c>
      <c r="E106" s="1389"/>
      <c r="F106" s="3434" t="s">
        <v>2541</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2564</v>
      </c>
      <c r="D107" s="52">
        <f ca="1">I121</f>
        <v>36590</v>
      </c>
      <c r="E107" s="1389"/>
      <c r="F107" s="3434" t="s">
        <v>2542</v>
      </c>
      <c r="G107" s="3435"/>
      <c r="H107" s="2739" t="str">
        <f>C110</f>
        <v>总额（万元）</v>
      </c>
      <c r="I107" s="52">
        <f>C37</f>
        <v>0</v>
      </c>
      <c r="J107" s="2764"/>
    </row>
    <row r="108" spans="1:36" ht="12.75">
      <c r="A108" s="3439" t="s">
        <v>2540</v>
      </c>
      <c r="B108" s="3440"/>
      <c r="C108" s="2739" t="str">
        <f>IF(H19="元","总额（元）","总额（万元）")</f>
        <v>总额（万元）</v>
      </c>
      <c r="D108" s="2738">
        <f>IF(D36="正常操作",I106+I107+I108,I107+I108)</f>
        <v>0</v>
      </c>
      <c r="E108" s="1389"/>
      <c r="F108" s="3434" t="s">
        <v>2567</v>
      </c>
      <c r="G108" s="3435"/>
      <c r="H108" s="2739" t="str">
        <f>C111</f>
        <v>总额（万元）</v>
      </c>
      <c r="I108" s="52">
        <f>C38</f>
        <v>0</v>
      </c>
      <c r="J108" s="2764"/>
    </row>
    <row r="109" spans="1:36" ht="12.75">
      <c r="A109" s="3434" t="s">
        <v>2541</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2565</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650</v>
      </c>
      <c r="J110" s="2780"/>
    </row>
    <row r="111" spans="1:36" ht="12.75">
      <c r="A111" s="3434" t="s">
        <v>2544</v>
      </c>
      <c r="B111" s="3435"/>
      <c r="C111" s="2739" t="str">
        <f>C108</f>
        <v>总额（万元）</v>
      </c>
      <c r="D111" s="52">
        <f>C38</f>
        <v>0</v>
      </c>
      <c r="E111" s="1389"/>
      <c r="F111" s="3523"/>
      <c r="G111" s="3524"/>
      <c r="H111" s="2737" t="s">
        <v>2539</v>
      </c>
      <c r="I111" s="2741">
        <f ca="1">D113</f>
        <v>36590</v>
      </c>
      <c r="J111" s="2783"/>
    </row>
    <row r="112" spans="1:36" ht="26.25" customHeight="1">
      <c r="A112" s="3432" t="str">
        <f>IF(项目基本情况!F5="已注销","——","3.房地产抵押价值")</f>
        <v>3.房地产抵押价值</v>
      </c>
      <c r="B112" s="3433"/>
      <c r="C112" s="2737" t="str">
        <f>B101</f>
        <v>总价（万元）</v>
      </c>
      <c r="D112" s="2738">
        <f ca="1">IF(A112="——","——",D106-D108)</f>
        <v>650</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2532</v>
      </c>
      <c r="D113" s="52">
        <f ca="1">ROUND(IF(D112=D106,D107,IF(H19="元",D112/项目基本情况!C12,D112*10000/项目基本情况!C12)),0)</f>
        <v>36590</v>
      </c>
      <c r="E113" s="1389"/>
      <c r="F113" s="3523"/>
      <c r="G113" s="3524"/>
      <c r="H113" s="2737" t="s">
        <v>2568</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2532</v>
      </c>
      <c r="D115" s="52" t="str">
        <f>IF(A114="——","——",ROUND(IF(D114=D106,D107,IF(H19="元",D114/项目基本情况!C12,D114*10000/项目基本情况!C12)),0))</f>
        <v>——</v>
      </c>
      <c r="E115" s="1389"/>
      <c r="F115" s="3426"/>
      <c r="G115" s="3427"/>
      <c r="H115" s="2742" t="s">
        <v>2532</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2532</v>
      </c>
      <c r="D117" s="2726" t="str">
        <f ca="1">IF(D116=D112,D113,IF(A116="——","——",O61))</f>
        <v>——</v>
      </c>
      <c r="E117" s="1389"/>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2550</v>
      </c>
      <c r="B119" s="3443" t="s">
        <v>2560</v>
      </c>
      <c r="C119" s="3443" t="s">
        <v>2561</v>
      </c>
      <c r="D119" s="3505" t="s">
        <v>2552</v>
      </c>
      <c r="E119" s="3506"/>
      <c r="F119" s="3418" t="s">
        <v>2562</v>
      </c>
      <c r="G119" s="3418"/>
      <c r="H119" s="3418" t="s">
        <v>2553</v>
      </c>
      <c r="I119" s="3504"/>
      <c r="J119" s="2764"/>
    </row>
    <row r="120" spans="1:16" ht="12.75">
      <c r="A120" s="3417"/>
      <c r="B120" s="3444"/>
      <c r="C120" s="3444"/>
      <c r="D120" s="2020" t="s">
        <v>2554</v>
      </c>
      <c r="E120" s="2020" t="s">
        <v>2559</v>
      </c>
      <c r="F120" s="2020" t="s">
        <v>2554</v>
      </c>
      <c r="G120" s="2020" t="s">
        <v>2555</v>
      </c>
      <c r="H120" s="2020" t="s">
        <v>2554</v>
      </c>
      <c r="I120" s="52" t="s">
        <v>2555</v>
      </c>
      <c r="J120" s="2764"/>
    </row>
    <row r="121" spans="1:16" ht="12.75">
      <c r="A121" s="2010" t="str">
        <f>项目基本情况!I1</f>
        <v>XX房地产</v>
      </c>
      <c r="B121" s="2020">
        <f>项目基本情况!C12</f>
        <v>177.57</v>
      </c>
      <c r="C121" s="2020">
        <f>项目基本情况!C13</f>
        <v>0</v>
      </c>
      <c r="D121" s="2020">
        <f ca="1">ROUND(IF(B32="总价",C34,IF('数据-取费表'!B3="万元",E121*B121/10000,E121*B121)),0)</f>
        <v>572</v>
      </c>
      <c r="E121" s="2020">
        <f ca="1">ROUND(IF(B32="楼面单价",C34,IF(H19="元",D121/B121,D121*10000/B121)),0)</f>
        <v>32199</v>
      </c>
      <c r="F121" s="2020">
        <f ca="1">ROUND(IF(B32="总价",C35,IF('数据-取费表'!B3="万元",G121*B121/10000,G121*B121)),0)</f>
        <v>78</v>
      </c>
      <c r="G121" s="2020">
        <f ca="1">ROUND(IF(B32="楼面单价",C35,IF(H19="元",F121/B121,F121*10000/B121)),0)</f>
        <v>4391</v>
      </c>
      <c r="H121" s="2020">
        <f ca="1">ROUND(IF(B32="总价",C32,IF('数据-取费表'!B3="万元",I121*B121/10000,I121*B121)),0)</f>
        <v>650</v>
      </c>
      <c r="I121" s="52">
        <f ca="1">ROUND(IF(B32="楼面单价",C32,IF(H19="元",H121/B121,H121*10000/B121)),0)</f>
        <v>36590</v>
      </c>
      <c r="J121" s="2764"/>
    </row>
    <row r="122" spans="1:16" ht="12.75">
      <c r="A122" s="3417" t="s">
        <v>2556</v>
      </c>
      <c r="B122" s="3418"/>
      <c r="C122" s="3418"/>
      <c r="D122" s="3445" t="str">
        <f ca="1">IF(H19="元",NUMBERSTRING(INT(D121),2)&amp;"元整",NUMBERSTRING(INT(D121*10000),2)&amp;"元整")</f>
        <v>伍佰柒拾贰万元整</v>
      </c>
      <c r="E122" s="3488"/>
      <c r="F122" s="3445" t="str">
        <f ca="1">IF(H19="元",NUMBERSTRING(INT(F121),2)&amp;"元整",NUMBERSTRING(INT(F121*10000),2)&amp;"元整")</f>
        <v>柒拾捌万元整</v>
      </c>
      <c r="G122" s="3488"/>
      <c r="H122" s="3445" t="str">
        <f ca="1">IF(H19="元",NUMBERSTRING(INT(H121),2)&amp;"元整",NUMBERSTRING(INT(H121*10000),2)&amp;"元整")</f>
        <v>陆佰伍拾万元整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2556</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650</v>
      </c>
      <c r="E125" s="3428"/>
      <c r="F125" s="3428"/>
      <c r="G125" s="3428"/>
      <c r="H125" s="3428"/>
      <c r="I125" s="3421"/>
      <c r="J125" s="2780"/>
    </row>
    <row r="126" spans="1:16" ht="12.75">
      <c r="A126" s="3417" t="s">
        <v>2556</v>
      </c>
      <c r="B126" s="3418"/>
      <c r="C126" s="3418"/>
      <c r="D126" s="3429">
        <f ca="1">I111</f>
        <v>36590</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2556</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2556</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2575</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44802</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2499</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2500</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2501</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2592</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2593</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2493</v>
      </c>
      <c r="H92" s="3539"/>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2535</v>
      </c>
      <c r="G101" s="3535"/>
      <c r="H101" s="3535"/>
      <c r="I101" s="3536"/>
      <c r="J101" s="2800"/>
    </row>
    <row r="102" spans="1:36" ht="15">
      <c r="A102" s="3510" t="s">
        <v>1632</v>
      </c>
      <c r="B102" s="3511"/>
      <c r="C102" s="2723">
        <f>C4</f>
        <v>0</v>
      </c>
      <c r="D102" s="2724">
        <f>D4</f>
        <v>0</v>
      </c>
      <c r="E102" s="1389"/>
      <c r="F102" s="3422" t="s">
        <v>2536</v>
      </c>
      <c r="G102" s="3423"/>
      <c r="H102" s="3428" t="s">
        <v>2537</v>
      </c>
      <c r="I102" s="3421"/>
      <c r="J102" s="2780"/>
    </row>
    <row r="103" spans="1:36" ht="12.75">
      <c r="A103" s="3531" t="s">
        <v>2531</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2532</v>
      </c>
      <c r="C104" s="2728" t="e">
        <f ca="1">C20</f>
        <v>#REF!</v>
      </c>
      <c r="D104" s="2729" t="e">
        <f ca="1">D20</f>
        <v>#REF!</v>
      </c>
      <c r="E104" s="1389"/>
      <c r="F104" s="3432" t="s">
        <v>2538</v>
      </c>
      <c r="G104" s="3433"/>
      <c r="H104" s="2737" t="str">
        <f>C110</f>
        <v>总价（万元）</v>
      </c>
      <c r="I104" s="2738">
        <f>H125</f>
        <v>0</v>
      </c>
      <c r="J104" s="2780"/>
    </row>
    <row r="105" spans="1:36" ht="12.75">
      <c r="A105" s="3531" t="s">
        <v>2533</v>
      </c>
      <c r="B105" s="2173" t="str">
        <f>B103</f>
        <v>总价（万元）</v>
      </c>
      <c r="C105" s="12" t="e">
        <f ca="1">ROUND(IF('数据-取费表'!B4="总价",G19,IF(H19="元",G20*'数据-取费表'!E5,G20*'数据-取费表'!E5/10000)),0)</f>
        <v>#REF!</v>
      </c>
      <c r="D105" s="2730"/>
      <c r="E105" s="1389"/>
      <c r="F105" s="3432"/>
      <c r="G105" s="3433"/>
      <c r="H105" s="2737" t="s">
        <v>2539</v>
      </c>
      <c r="I105" s="52" t="e">
        <f>I125</f>
        <v>#DIV/0!</v>
      </c>
      <c r="J105" s="2764"/>
    </row>
    <row r="106" spans="1:36" ht="12.75">
      <c r="A106" s="3531"/>
      <c r="B106" s="2235" t="s">
        <v>2532</v>
      </c>
      <c r="C106" s="1409" t="e">
        <f ca="1">ROUND(IF('数据-取费表'!B4="楼面单价",G20,IF(H19="元",G19/'数据-取费表'!E5,G19*10000/'数据-取费表'!E5)),0)</f>
        <v>#REF!</v>
      </c>
      <c r="D106" s="2730"/>
      <c r="E106" s="1389"/>
      <c r="F106" s="3432"/>
      <c r="G106" s="3433"/>
      <c r="H106" s="3492"/>
      <c r="I106" s="3493"/>
      <c r="J106" s="2781"/>
    </row>
    <row r="107" spans="1:36" ht="12.75">
      <c r="A107" s="3525" t="s">
        <v>2534</v>
      </c>
      <c r="B107" s="2731" t="str">
        <f>B103</f>
        <v>总价（万元）</v>
      </c>
      <c r="C107" s="2732">
        <f>H125</f>
        <v>0</v>
      </c>
      <c r="D107" s="2733"/>
      <c r="E107" s="1389"/>
      <c r="F107" s="3496" t="s">
        <v>2540</v>
      </c>
      <c r="G107" s="3497"/>
      <c r="H107" s="2739" t="str">
        <f>C112</f>
        <v>总额（万元）</v>
      </c>
      <c r="I107" s="2738">
        <f>SUMIF(I108:I110,"&lt;9E307")</f>
        <v>0</v>
      </c>
      <c r="J107" s="2780"/>
    </row>
    <row r="108" spans="1:36" ht="15" thickBot="1">
      <c r="A108" s="3491"/>
      <c r="B108" s="2734" t="s">
        <v>2532</v>
      </c>
      <c r="C108" s="2735" t="e">
        <f>I125</f>
        <v>#DIV/0!</v>
      </c>
      <c r="D108" s="2736"/>
      <c r="E108" s="1389"/>
      <c r="F108" s="3434" t="s">
        <v>2541</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本次评估不存在XX房地产。</v>
      </c>
      <c r="M108" s="1389"/>
      <c r="N108" s="1389"/>
      <c r="O108" s="1389"/>
      <c r="P108" s="1389"/>
      <c r="Q108" s="1389"/>
    </row>
    <row r="109" spans="1:36" ht="15">
      <c r="A109" s="3528" t="s">
        <v>1633</v>
      </c>
      <c r="B109" s="3529"/>
      <c r="C109" s="3529"/>
      <c r="D109" s="3530"/>
      <c r="E109" s="1389"/>
      <c r="F109" s="3434" t="s">
        <v>2542</v>
      </c>
      <c r="G109" s="3435"/>
      <c r="H109" s="2739" t="str">
        <f>C114</f>
        <v>总额（万元）</v>
      </c>
      <c r="I109" s="52">
        <f>C39</f>
        <v>0</v>
      </c>
      <c r="J109" s="2764"/>
    </row>
    <row r="110" spans="1:36" ht="12.75">
      <c r="A110" s="3432" t="s">
        <v>2545</v>
      </c>
      <c r="B110" s="3433"/>
      <c r="C110" s="2737" t="str">
        <f>B103</f>
        <v>总价（万元）</v>
      </c>
      <c r="D110" s="2738">
        <f>H125</f>
        <v>0</v>
      </c>
      <c r="E110" s="1389"/>
      <c r="F110" s="3434" t="s">
        <v>2543</v>
      </c>
      <c r="G110" s="3435"/>
      <c r="H110" s="2739" t="str">
        <f>C115</f>
        <v>总额（万元）</v>
      </c>
      <c r="I110" s="52">
        <f>C40</f>
        <v>0</v>
      </c>
      <c r="J110" s="2764"/>
    </row>
    <row r="111" spans="1:36" ht="12.75">
      <c r="A111" s="3432"/>
      <c r="B111" s="3433"/>
      <c r="C111" s="2737" t="s">
        <v>2546</v>
      </c>
      <c r="D111" s="52" t="e">
        <f>I125</f>
        <v>#DIV/0!</v>
      </c>
      <c r="E111" s="1389"/>
      <c r="F111" s="3432"/>
      <c r="G111" s="3433"/>
      <c r="H111" s="3494"/>
      <c r="I111" s="3495"/>
      <c r="J111" s="2782"/>
    </row>
    <row r="112" spans="1:36" ht="28.5" customHeight="1">
      <c r="A112" s="3439" t="s">
        <v>2540</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2547</v>
      </c>
      <c r="B113" s="3435"/>
      <c r="C113" s="2739" t="str">
        <f>C112</f>
        <v>总额（万元）</v>
      </c>
      <c r="D113" s="52">
        <f>IF(D38="同一抵押权人同一抵押物续贷",C38&amp;"（未扣减，详见特别提示）",C38)</f>
        <v>0</v>
      </c>
      <c r="E113" s="1389"/>
      <c r="F113" s="3523"/>
      <c r="G113" s="3524"/>
      <c r="H113" s="2737" t="s">
        <v>2539</v>
      </c>
      <c r="I113" s="2741" t="e">
        <f>D117</f>
        <v>#DIV/0!</v>
      </c>
      <c r="J113" s="2783"/>
    </row>
    <row r="114" spans="1:27" ht="12.75">
      <c r="A114" s="3434" t="s">
        <v>2548</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2549</v>
      </c>
      <c r="B115" s="3435"/>
      <c r="C115" s="2739" t="str">
        <f>C112</f>
        <v>总额（万元）</v>
      </c>
      <c r="D115" s="52">
        <f>C40</f>
        <v>0</v>
      </c>
      <c r="E115" s="1389"/>
      <c r="F115" s="3523"/>
      <c r="G115" s="3524"/>
      <c r="H115" s="2737" t="s">
        <v>2539</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2546</v>
      </c>
      <c r="D117" s="52" t="e">
        <f>ROUND(IF(D116=D110,D111,IF(H19="元",D116/B125,D116*10000/B125)),0)</f>
        <v>#DIV/0!</v>
      </c>
      <c r="E117" s="1389"/>
      <c r="F117" s="3426"/>
      <c r="G117" s="3427"/>
      <c r="H117" s="2742" t="s">
        <v>2539</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2546</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2550</v>
      </c>
      <c r="B123" s="3443" t="s">
        <v>2551</v>
      </c>
      <c r="C123" s="3443" t="s">
        <v>2557</v>
      </c>
      <c r="D123" s="3505" t="s">
        <v>2552</v>
      </c>
      <c r="E123" s="3506"/>
      <c r="F123" s="3418" t="s">
        <v>2558</v>
      </c>
      <c r="G123" s="3418"/>
      <c r="H123" s="3418" t="s">
        <v>2553</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XX房地产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2556</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2556</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2556</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2556</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2556</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8" sqref="C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599</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33730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3776229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[2]基准地价修正!$E$33*10000</f>
        <v>3630000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110715</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35514</v>
      </c>
      <c r="D8" s="1099"/>
      <c r="E8" s="115"/>
      <c r="F8" s="1098"/>
      <c r="G8" s="1446" t="s">
        <v>3041</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35514</v>
      </c>
      <c r="D10" s="1101">
        <f>IF('数据-取费表'!B10&lt;&gt;"住宅",IF(B1="仅计算典型户型",'数据-取费表'!E5,'数据-取费表'!B5),0)</f>
        <v>177.57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177.57</v>
      </c>
      <c r="E19" s="111">
        <f>'数据-取费表'!E15</f>
        <v>200</v>
      </c>
      <c r="F19" s="112"/>
      <c r="G19" s="1446" t="s">
        <v>3042</v>
      </c>
    </row>
    <row r="20" spans="1:123" s="91" customFormat="1" ht="13.5" customHeight="1">
      <c r="A20" s="120" t="s">
        <v>1702</v>
      </c>
      <c r="B20" s="89" t="s">
        <v>1703</v>
      </c>
      <c r="C20" s="99">
        <f>ROUND((C5+C19)*F20,0)</f>
        <v>75525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323065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319931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3134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577763</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577763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5149618</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777756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710280</v>
      </c>
      <c r="D34" s="1096"/>
      <c r="E34" s="115"/>
      <c r="F34" s="1107" t="str">
        <f>IF('数据-取费表'!B26=0,"",'数据-取费表'!E20)</f>
        <v/>
      </c>
      <c r="G34" s="95"/>
    </row>
    <row r="35" spans="1:123" ht="13.5" customHeight="1">
      <c r="A35" s="92" t="s">
        <v>1685</v>
      </c>
      <c r="B35" s="93" t="s">
        <v>1734</v>
      </c>
      <c r="C35" s="115">
        <f>ROUND(C34*F35,0)</f>
        <v>21308</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35514</v>
      </c>
      <c r="D37" s="1096">
        <f>IF(B1="仅计算典型户型",'数据-取费表'!E5,'数据-取费表'!B5)</f>
        <v>177.57</v>
      </c>
      <c r="E37" s="115">
        <f>'数据-取费表'!E23</f>
        <v>200</v>
      </c>
      <c r="F37" s="1108"/>
      <c r="G37" s="124" t="s">
        <v>1739</v>
      </c>
    </row>
    <row r="38" spans="1:123" ht="13.5" customHeight="1">
      <c r="A38" s="92" t="s">
        <v>1740</v>
      </c>
      <c r="B38" s="93" t="s">
        <v>1741</v>
      </c>
      <c r="C38" s="115">
        <f>ROUND(C34*F38,0)</f>
        <v>10654</v>
      </c>
      <c r="D38" s="115"/>
      <c r="E38" s="115"/>
      <c r="F38" s="1108">
        <f>'数据-取费表'!E24</f>
        <v>1.4999999999999999E-2</v>
      </c>
      <c r="G38" s="95" t="s">
        <v>1735</v>
      </c>
    </row>
    <row r="39" spans="1:123" s="91" customFormat="1" ht="13.5" customHeight="1">
      <c r="A39" s="120" t="s">
        <v>1700</v>
      </c>
      <c r="B39" s="89" t="s">
        <v>1703</v>
      </c>
      <c r="C39" s="99">
        <f>ROUND(C33*F20,0)</f>
        <v>15555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32923</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32277</v>
      </c>
      <c r="D42" s="104"/>
      <c r="E42" s="104"/>
      <c r="F42" s="105"/>
      <c r="G42" s="3554" t="s">
        <v>1745</v>
      </c>
    </row>
    <row r="43" spans="1:123" ht="13.5" customHeight="1">
      <c r="A43" s="92" t="s">
        <v>1685</v>
      </c>
      <c r="B43" s="93" t="s">
        <v>1714</v>
      </c>
      <c r="C43" s="104">
        <f ca="1">ROUND(IF('数据-取费表'!B24&lt;=1,C39*F22*'数据-取费表'!B23/2,C39*(POWER((1+F22),'数据-取费表'!B23/2)-1)),0)</f>
        <v>646</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118997</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118997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1024197</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839842</v>
      </c>
      <c r="D51" s="99"/>
      <c r="E51" s="99"/>
      <c r="F51" s="126"/>
      <c r="G51" s="100" t="s">
        <v>1759</v>
      </c>
    </row>
    <row r="52" spans="1:123" s="88" customFormat="1" ht="16.5" thickBot="1">
      <c r="A52" s="127" t="s">
        <v>1760</v>
      </c>
      <c r="B52" s="128"/>
      <c r="C52" s="129">
        <f ca="1">C31+C51</f>
        <v>5989460</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0.14000000000000001</v>
      </c>
    </row>
    <row r="57" spans="1:123">
      <c r="B57" s="135" t="s">
        <v>1763</v>
      </c>
      <c r="C57" s="137">
        <f ca="1">1-C56</f>
        <v>0.86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-35514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-35514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-710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-5434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-5434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35202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E14" sqref="E1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701</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39450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467237</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466654</v>
      </c>
      <c r="D6" s="36" t="s">
        <v>2460</v>
      </c>
      <c r="E6" s="235" t="s">
        <v>1776</v>
      </c>
      <c r="F6" s="236">
        <f>'数据-取费表'!B30</f>
        <v>8</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177.57</v>
      </c>
      <c r="G7" s="909"/>
      <c r="H7" s="237"/>
      <c r="I7" s="238"/>
      <c r="J7" s="239"/>
      <c r="K7" s="240"/>
      <c r="L7" s="235" t="s">
        <v>1777</v>
      </c>
      <c r="M7" s="236">
        <f>IF('数据-取费表'!B42="",IF(D1="仅计算典型户型",'数据-取费表'!E5,'数据-取费表'!B5),'数据-取费表'!B42)</f>
        <v>177.57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583</v>
      </c>
      <c r="D10" s="1450" t="s">
        <v>2465</v>
      </c>
      <c r="E10" s="246" t="s">
        <v>1783</v>
      </c>
      <c r="F10" s="1451" t="s">
        <v>3040</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1784</v>
      </c>
      <c r="C11" s="1020"/>
      <c r="D11" s="240"/>
      <c r="E11" s="246" t="s">
        <v>1785</v>
      </c>
      <c r="F11" s="247">
        <f ca="1">'数据-取费表'!B31</f>
        <v>1.4999999999999999E-2</v>
      </c>
      <c r="G11" s="910"/>
      <c r="H11" s="241"/>
      <c r="I11" s="1452" t="s">
        <v>1786</v>
      </c>
      <c r="J11" s="1020"/>
      <c r="K11" s="240"/>
      <c r="L11" s="246" t="s">
        <v>1785</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1787</v>
      </c>
      <c r="B12" s="1453" t="s">
        <v>1788</v>
      </c>
      <c r="C12" s="1026"/>
      <c r="D12" s="1454"/>
      <c r="E12" s="1032"/>
      <c r="F12" s="1027"/>
      <c r="G12" s="909"/>
      <c r="H12" s="1025" t="s">
        <v>1787</v>
      </c>
      <c r="I12" s="1453" t="s">
        <v>1788</v>
      </c>
      <c r="J12" s="1026"/>
      <c r="K12" s="1042"/>
      <c r="L12" s="1032"/>
      <c r="M12" s="1043"/>
    </row>
    <row r="13" spans="1:37" s="257" customFormat="1" ht="18" customHeight="1" thickTop="1">
      <c r="A13" s="1021">
        <v>2</v>
      </c>
      <c r="B13" s="1022" t="s">
        <v>1789</v>
      </c>
      <c r="C13" s="243">
        <f ca="1">ROUND(C29*F13,0)</f>
        <v>839842</v>
      </c>
      <c r="D13" s="1023" t="s">
        <v>1790</v>
      </c>
      <c r="E13" s="1023" t="s">
        <v>1791</v>
      </c>
      <c r="F13" s="1024">
        <f>'数据-取费表'!E20</f>
        <v>0.82</v>
      </c>
      <c r="G13" s="910"/>
      <c r="H13" s="1021">
        <v>2</v>
      </c>
      <c r="I13" s="1022" t="s">
        <v>1789</v>
      </c>
      <c r="J13" s="1017">
        <f ca="1">ROUND(J14*J15,0)</f>
        <v>0</v>
      </c>
      <c r="K13" s="1028" t="s">
        <v>1790</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1792</v>
      </c>
      <c r="B14" s="235" t="s">
        <v>1793</v>
      </c>
      <c r="C14" s="254">
        <f>IF(D1="仅计算典型户型",'数据-取费表'!F18,'数据-取费表'!E18)</f>
        <v>710280</v>
      </c>
      <c r="D14" s="1256" t="s">
        <v>1794</v>
      </c>
      <c r="E14" s="1257"/>
      <c r="F14" s="757"/>
      <c r="G14" s="910"/>
      <c r="H14" s="253" t="s">
        <v>1774</v>
      </c>
      <c r="I14" s="235" t="s">
        <v>1795</v>
      </c>
      <c r="J14" s="13">
        <f ca="1">C29</f>
        <v>1024197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1796</v>
      </c>
      <c r="B15" s="235" t="s">
        <v>1797</v>
      </c>
      <c r="C15" s="13">
        <f>ROUND(C14*F15,0)</f>
        <v>21308</v>
      </c>
      <c r="D15" s="255" t="s">
        <v>1798</v>
      </c>
      <c r="E15" s="255" t="s">
        <v>1799</v>
      </c>
      <c r="F15" s="256">
        <f>'数据-取费表'!E21</f>
        <v>0.03</v>
      </c>
      <c r="G15" s="909"/>
      <c r="H15" s="1031" t="s">
        <v>1800</v>
      </c>
      <c r="I15" s="1032" t="s">
        <v>1801</v>
      </c>
      <c r="J15" s="1044">
        <f>'数据-取费表'!B40</f>
        <v>0</v>
      </c>
      <c r="K15" s="1045"/>
      <c r="L15" s="1046"/>
      <c r="M15" s="1047"/>
    </row>
    <row r="16" spans="1:37" s="257" customFormat="1" ht="18" customHeight="1" thickTop="1">
      <c r="A16" s="253" t="s">
        <v>1802</v>
      </c>
      <c r="B16" s="235" t="s">
        <v>1803</v>
      </c>
      <c r="C16" s="13">
        <f>ROUND(C14*F16,0)</f>
        <v>0</v>
      </c>
      <c r="D16" s="235" t="s">
        <v>1798</v>
      </c>
      <c r="E16" s="235" t="s">
        <v>1799</v>
      </c>
      <c r="F16" s="258">
        <f>IF('数据-取费表'!B10="住宅",'数据-取费表'!E22,0)</f>
        <v>0</v>
      </c>
      <c r="G16" s="910"/>
      <c r="H16" s="1021" t="s">
        <v>14</v>
      </c>
      <c r="I16" s="1022" t="s">
        <v>1804</v>
      </c>
      <c r="J16" s="243">
        <f ca="1">ROUND(J17+J22+J23+J24,0)</f>
        <v>18845</v>
      </c>
      <c r="K16" s="1028" t="s">
        <v>1805</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1806</v>
      </c>
      <c r="B17" s="235" t="s">
        <v>1807</v>
      </c>
      <c r="C17" s="13">
        <f>ROUND(F17*IF(D1="仅计算典型户型",'数据-取费表'!E5,'数据-取费表'!B5),0)</f>
        <v>35514</v>
      </c>
      <c r="D17" s="235" t="s">
        <v>1808</v>
      </c>
      <c r="E17" s="235" t="s">
        <v>1809</v>
      </c>
      <c r="F17" s="15">
        <f>'数据-取费表'!E23</f>
        <v>200</v>
      </c>
      <c r="G17" s="910"/>
      <c r="H17" s="253" t="s">
        <v>1810</v>
      </c>
      <c r="I17" s="235" t="s">
        <v>1811</v>
      </c>
      <c r="J17" s="2745">
        <f ca="1">ROUND(IF(AND(项目基本情况!B7="自然人",项目基本情况!B6="北京市"),J6*M17/(1+'数据-取费表'!F30),J18+J19+J20),0)</f>
        <v>8603</v>
      </c>
      <c r="K17" s="1256" t="s">
        <v>1812</v>
      </c>
      <c r="L17" s="1259" t="s">
        <v>1813</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1814</v>
      </c>
      <c r="B18" s="235" t="s">
        <v>1815</v>
      </c>
      <c r="C18" s="13">
        <f>ROUND(C14*F18,0)</f>
        <v>10654</v>
      </c>
      <c r="D18" s="235" t="s">
        <v>1798</v>
      </c>
      <c r="E18" s="235" t="s">
        <v>1799</v>
      </c>
      <c r="F18" s="258">
        <f>'数据-取费表'!E24</f>
        <v>1.4999999999999999E-2</v>
      </c>
      <c r="G18" s="909"/>
      <c r="H18" s="253" t="s">
        <v>1816</v>
      </c>
      <c r="I18" s="235" t="s">
        <v>1817</v>
      </c>
      <c r="J18" s="13">
        <f>IF(项目基本情况!B7="自然人","——",ROUND(J6*M18/(1+'数据-取费表'!F30),0))</f>
        <v>0</v>
      </c>
      <c r="K18" s="1259" t="s">
        <v>2486</v>
      </c>
      <c r="L18" s="235" t="s">
        <v>1799</v>
      </c>
      <c r="M18" s="258">
        <f>'数据-取费表'!E29</f>
        <v>5.6000000000000001E-2</v>
      </c>
    </row>
    <row r="19" spans="1:37" s="257" customFormat="1" ht="18" customHeight="1">
      <c r="A19" s="253" t="s">
        <v>1810</v>
      </c>
      <c r="B19" s="235" t="s">
        <v>1818</v>
      </c>
      <c r="C19" s="13">
        <f>SUM(C14:C18)</f>
        <v>777756</v>
      </c>
      <c r="D19" s="33" t="s">
        <v>1819</v>
      </c>
      <c r="E19" s="1261"/>
      <c r="F19" s="15"/>
      <c r="G19" s="910"/>
      <c r="H19" s="253" t="s">
        <v>1796</v>
      </c>
      <c r="I19" s="235" t="s">
        <v>1820</v>
      </c>
      <c r="J19" s="13">
        <f ca="1">IF(项目基本情况!B7="自然人","——",IF(K19="按租金收入计税",ROUND(J6*M19/(1+'数据-取费表'!F30),0),ROUND(C29*M19*0.7,0)))</f>
        <v>8603</v>
      </c>
      <c r="K19" s="1364"/>
      <c r="L19" s="235" t="s">
        <v>1799</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15555</v>
      </c>
      <c r="D20" s="259" t="s">
        <v>1823</v>
      </c>
      <c r="E20" s="235" t="s">
        <v>1824</v>
      </c>
      <c r="F20" s="258">
        <f>'数据-取费表'!E25</f>
        <v>0.02</v>
      </c>
      <c r="G20" s="910"/>
      <c r="H20" s="253" t="s">
        <v>1802</v>
      </c>
      <c r="I20" s="36" t="s">
        <v>1825</v>
      </c>
      <c r="J20" s="14">
        <f>IF(项目基本情况!B7="自然人","——",ROUND(M20*M21,0))</f>
        <v>0</v>
      </c>
      <c r="K20" s="261" t="s">
        <v>1826</v>
      </c>
      <c r="L20" s="235" t="s">
        <v>1827</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1800</v>
      </c>
      <c r="I22" s="235" t="s">
        <v>1835</v>
      </c>
      <c r="J22" s="13">
        <f ca="1">ROUND(J14*M22,0)</f>
        <v>10242</v>
      </c>
      <c r="K22" s="1259" t="s">
        <v>1836</v>
      </c>
      <c r="L22" s="235" t="s">
        <v>1799</v>
      </c>
      <c r="M22" s="265">
        <f>'数据-取费表'!B45</f>
        <v>0.01</v>
      </c>
    </row>
    <row r="23" spans="1:37" ht="18" customHeight="1">
      <c r="A23" s="253" t="s">
        <v>1816</v>
      </c>
      <c r="B23" s="235" t="s">
        <v>1837</v>
      </c>
      <c r="C23" s="13">
        <f ca="1">IF('数据-取费表'!B24&lt;=1,ROUND(C19*F24*F23/2,0)+ROUND(C20*F24*F23/2,0),ROUND(C19*(POWER((1+F24),F23/2)-1),0)+ROUND(C20*(POWER((1+F24),F23/2)-1),0))</f>
        <v>32923</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0</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4.1499999999999995E-2</v>
      </c>
      <c r="G24" s="910"/>
      <c r="H24" s="1031" t="s">
        <v>1833</v>
      </c>
      <c r="I24" s="1032" t="s">
        <v>1822</v>
      </c>
      <c r="J24" s="1033">
        <f ca="1">ROUND(J5*M24,0)</f>
        <v>0</v>
      </c>
      <c r="K24" s="1034" t="s">
        <v>1845</v>
      </c>
      <c r="L24" s="1032" t="s">
        <v>1841</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-18845</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1792</v>
      </c>
      <c r="B26" s="235" t="s">
        <v>1851</v>
      </c>
      <c r="C26" s="13">
        <f>ROUND((C19+C20)*F26,0)</f>
        <v>118997</v>
      </c>
      <c r="D26" s="259" t="s">
        <v>1852</v>
      </c>
      <c r="E26" s="246" t="s">
        <v>1853</v>
      </c>
      <c r="F26" s="245">
        <f>'数据-取费表'!E28</f>
        <v>0.15</v>
      </c>
      <c r="G26" s="652"/>
      <c r="H26" s="232" t="s">
        <v>23</v>
      </c>
      <c r="I26" s="233" t="s">
        <v>1854</v>
      </c>
      <c r="J26" s="234">
        <f ca="1">IF(J5&lt;&gt;0,ROUND(J25*(1-((1+M28)/(1+M26))^M27)/(M26-M28),0),0)</f>
        <v>0</v>
      </c>
      <c r="K26" s="261" t="s">
        <v>1855</v>
      </c>
      <c r="L26" s="235" t="s">
        <v>1856</v>
      </c>
      <c r="M26" s="245">
        <f>'数据-取费表'!B16</f>
        <v>5.5E-2</v>
      </c>
    </row>
    <row r="27" spans="1:37" ht="18" customHeight="1">
      <c r="A27" s="253" t="s">
        <v>1857</v>
      </c>
      <c r="B27" s="235" t="s">
        <v>1858</v>
      </c>
      <c r="C27" s="13">
        <f>ROUND(F21*F26,4)</f>
        <v>3.0000000000000001E-3</v>
      </c>
      <c r="D27" s="259" t="s">
        <v>1859</v>
      </c>
      <c r="E27" s="255"/>
      <c r="F27" s="256"/>
      <c r="G27" s="652"/>
      <c r="H27" s="237"/>
      <c r="I27" s="238"/>
      <c r="J27" s="239"/>
      <c r="K27" s="269" t="s">
        <v>1860</v>
      </c>
      <c r="L27" s="235" t="s">
        <v>1861</v>
      </c>
      <c r="M27" s="270" t="str">
        <f>'数据-取费表'!B41</f>
        <v>——</v>
      </c>
    </row>
    <row r="28" spans="1:37" ht="18" customHeight="1">
      <c r="A28" s="253" t="s">
        <v>1862</v>
      </c>
      <c r="B28" s="235" t="s">
        <v>1863</v>
      </c>
      <c r="C28" s="13">
        <f>ROUND(F28/(1+'数据-取费表'!F30),4)</f>
        <v>5.33E-2</v>
      </c>
      <c r="D28" s="259" t="s">
        <v>1864</v>
      </c>
      <c r="E28" s="235" t="s">
        <v>1824</v>
      </c>
      <c r="F28" s="258">
        <f>'数据-取费表'!E29</f>
        <v>5.6000000000000001E-2</v>
      </c>
      <c r="G28" s="652"/>
      <c r="H28" s="241"/>
      <c r="I28" s="242"/>
      <c r="J28" s="243"/>
      <c r="K28" s="264"/>
      <c r="L28" s="235" t="s">
        <v>1865</v>
      </c>
      <c r="M28" s="245">
        <f>'数据-取费表'!B38</f>
        <v>0</v>
      </c>
    </row>
    <row r="29" spans="1:37" ht="18" customHeight="1" thickBot="1">
      <c r="A29" s="1031" t="s">
        <v>1866</v>
      </c>
      <c r="B29" s="1032" t="s">
        <v>1867</v>
      </c>
      <c r="C29" s="1033">
        <f ca="1">ROUND((C19+C20+C23+C26)/(1-F21-C24-C27-C28),0)</f>
        <v>1024197</v>
      </c>
      <c r="D29" s="1034"/>
      <c r="E29" s="1032"/>
      <c r="F29" s="1035"/>
      <c r="G29" s="652"/>
      <c r="H29" s="271" t="s">
        <v>24</v>
      </c>
      <c r="I29" s="272" t="s">
        <v>1868</v>
      </c>
      <c r="J29" s="273">
        <f ca="1">ROUND(J26/(1+F40)^F41,0)</f>
        <v>0</v>
      </c>
      <c r="K29" s="274" t="s">
        <v>1869</v>
      </c>
      <c r="L29" s="275"/>
      <c r="M29" s="276">
        <f>IF(D1="仅计算典型户型",'数据-取费表'!E5,'数据-取费表'!B5)</f>
        <v>177.57</v>
      </c>
    </row>
    <row r="30" spans="1:37" ht="18" customHeight="1" thickTop="1">
      <c r="A30" s="1021" t="s">
        <v>14</v>
      </c>
      <c r="B30" s="1022" t="s">
        <v>1870</v>
      </c>
      <c r="C30" s="243">
        <f ca="1">ROUND(C31+C36+C37+C38,0)</f>
        <v>94394</v>
      </c>
      <c r="D30" s="1028" t="s">
        <v>1871</v>
      </c>
      <c r="E30" s="1029"/>
      <c r="F30" s="1030"/>
      <c r="G30" s="652"/>
      <c r="H30" s="889"/>
      <c r="I30" s="890"/>
      <c r="J30" s="891"/>
      <c r="K30" s="892"/>
      <c r="L30" s="893"/>
      <c r="M30" s="894"/>
    </row>
    <row r="31" spans="1:37" ht="18" customHeight="1">
      <c r="A31" s="253" t="s">
        <v>1774</v>
      </c>
      <c r="B31" s="235" t="s">
        <v>1811</v>
      </c>
      <c r="C31" s="2745">
        <f>ROUND(IF(AND(项目基本情况!B7="自然人",项目基本情况!B6="北京市"),C6*F31/(1+'数据-取费表'!F30),C32+C33+C34),0)</f>
        <v>78220</v>
      </c>
      <c r="D31" s="1256" t="s">
        <v>1872</v>
      </c>
      <c r="E31" s="1259" t="s">
        <v>1873</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1792</v>
      </c>
      <c r="B32" s="235" t="s">
        <v>1874</v>
      </c>
      <c r="C32" s="13">
        <f>IF(项目基本情况!B7="自然人","——",ROUND(C6*F32/(1+'数据-取费表'!F30),0))</f>
        <v>24888</v>
      </c>
      <c r="D32" s="1259" t="s">
        <v>2485</v>
      </c>
      <c r="E32" s="235" t="s">
        <v>1824</v>
      </c>
      <c r="F32" s="267">
        <f>'数据-取费表'!E29</f>
        <v>5.6000000000000001E-2</v>
      </c>
      <c r="G32" s="652"/>
      <c r="H32" s="895"/>
      <c r="I32" s="896"/>
      <c r="J32" s="897"/>
      <c r="K32" s="898"/>
      <c r="L32" s="899"/>
      <c r="M32" s="900"/>
    </row>
    <row r="33" spans="1:18" ht="18" customHeight="1">
      <c r="A33" s="253" t="s">
        <v>1796</v>
      </c>
      <c r="B33" s="235" t="s">
        <v>1820</v>
      </c>
      <c r="C33" s="13">
        <f>IF(项目基本情况!B7="自然人","——",IF(D33="按租金收入计税",ROUND(C6*F33/(1+'数据-取费表'!F30),0),IF(D33="按房产原值计税",ROUND(C29*F33*0.7,0),'数据-取费表'!B44)))</f>
        <v>53332</v>
      </c>
      <c r="D33" s="1364" t="s">
        <v>2643</v>
      </c>
      <c r="E33" s="235" t="s">
        <v>1799</v>
      </c>
      <c r="F33" s="258">
        <f>IF(D33="按票据","——",IF(D33="按租金收入计税",'数据-取费表'!E39,'数据-取费表'!E38))</f>
        <v>0.12</v>
      </c>
      <c r="G33" s="652"/>
      <c r="H33" s="901"/>
      <c r="I33" s="278" t="s">
        <v>1876</v>
      </c>
      <c r="J33" s="279"/>
      <c r="K33" s="902"/>
      <c r="L33" s="901"/>
      <c r="M33" s="901"/>
    </row>
    <row r="34" spans="1:18" ht="18" customHeight="1">
      <c r="A34" s="1015" t="s">
        <v>1802</v>
      </c>
      <c r="B34" s="36" t="s">
        <v>1825</v>
      </c>
      <c r="C34" s="14">
        <f>IF(项目基本情况!B7="自然人","——",ROUND(F34*F35,0))</f>
        <v>0</v>
      </c>
      <c r="D34" s="261" t="s">
        <v>1826</v>
      </c>
      <c r="E34" s="235" t="s">
        <v>1827</v>
      </c>
      <c r="F34" s="262">
        <f>'数据-取费表'!E40</f>
        <v>12</v>
      </c>
      <c r="G34" s="652"/>
      <c r="H34" s="889"/>
      <c r="I34" s="280" t="s">
        <v>1877</v>
      </c>
      <c r="J34" s="281">
        <f ca="1">ROUND(C13*J35,0)</f>
        <v>67187</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0.08</v>
      </c>
      <c r="K35" s="902"/>
      <c r="L35" s="901"/>
      <c r="M35" s="901"/>
    </row>
    <row r="36" spans="1:18" ht="18" customHeight="1">
      <c r="A36" s="1018" t="s">
        <v>1781</v>
      </c>
      <c r="B36" s="235" t="s">
        <v>1879</v>
      </c>
      <c r="C36" s="13">
        <f ca="1">ROUND(C29*F36,0)</f>
        <v>10242</v>
      </c>
      <c r="D36" s="1259" t="s">
        <v>1880</v>
      </c>
      <c r="E36" s="235" t="s">
        <v>1824</v>
      </c>
      <c r="F36" s="265">
        <f>'数据-取费表'!B45</f>
        <v>0.01</v>
      </c>
      <c r="G36" s="652"/>
      <c r="H36" s="901"/>
      <c r="I36" s="284" t="s">
        <v>1881</v>
      </c>
      <c r="J36" s="285"/>
      <c r="K36" s="905"/>
      <c r="L36" s="901"/>
      <c r="M36" s="901"/>
    </row>
    <row r="37" spans="1:18" ht="18" customHeight="1">
      <c r="A37" s="253" t="s">
        <v>1828</v>
      </c>
      <c r="B37" s="235" t="s">
        <v>1839</v>
      </c>
      <c r="C37" s="13">
        <f ca="1">ROUND(C13*F37,0)</f>
        <v>1260</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4672</v>
      </c>
      <c r="D38" s="1034" t="s">
        <v>1845</v>
      </c>
      <c r="E38" s="1032" t="s">
        <v>1841</v>
      </c>
      <c r="F38" s="1027">
        <f>'数据-取费表'!B47</f>
        <v>0.01</v>
      </c>
      <c r="G38" s="652"/>
      <c r="H38" s="901"/>
      <c r="I38" s="280" t="s">
        <v>1883</v>
      </c>
      <c r="J38" s="136">
        <f ca="1">ROUND(J34/C39,3)</f>
        <v>0.18</v>
      </c>
      <c r="K38" s="906"/>
      <c r="L38" s="901"/>
      <c r="M38" s="901"/>
    </row>
    <row r="39" spans="1:18" ht="18" customHeight="1" thickTop="1">
      <c r="A39" s="1021" t="s">
        <v>22</v>
      </c>
      <c r="B39" s="1036" t="s">
        <v>1884</v>
      </c>
      <c r="C39" s="243">
        <f ca="1">C5-C30</f>
        <v>372843</v>
      </c>
      <c r="D39" s="1037" t="s">
        <v>1885</v>
      </c>
      <c r="E39" s="1038"/>
      <c r="F39" s="1039"/>
      <c r="G39" s="652"/>
      <c r="H39" s="901"/>
      <c r="I39" s="280" t="s">
        <v>1886</v>
      </c>
      <c r="J39" s="136">
        <f ca="1">1-J38</f>
        <v>0.82000000000000006</v>
      </c>
      <c r="K39" s="906"/>
      <c r="L39" s="901"/>
      <c r="M39" s="901"/>
    </row>
    <row r="40" spans="1:18" s="652" customFormat="1" ht="18" customHeight="1">
      <c r="A40" s="232" t="s">
        <v>23</v>
      </c>
      <c r="B40" s="233" t="s">
        <v>1887</v>
      </c>
      <c r="C40" s="234">
        <f ca="1">ROUND(C39*(1-((1+F42)/(1+F40))^F41)/(F40-F42),0)</f>
        <v>7005058</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26.45</v>
      </c>
      <c r="H41" s="908"/>
      <c r="I41" s="135" t="s">
        <v>1762</v>
      </c>
      <c r="J41" s="136">
        <f ca="1">ROUND(C13/C40,3)</f>
        <v>0.12</v>
      </c>
      <c r="K41" s="905"/>
      <c r="L41" s="908"/>
      <c r="M41" s="908"/>
      <c r="Q41" s="656"/>
    </row>
    <row r="42" spans="1:18" s="652" customFormat="1" ht="18" customHeight="1">
      <c r="A42" s="241"/>
      <c r="B42" s="242"/>
      <c r="C42" s="243"/>
      <c r="D42" s="264"/>
      <c r="E42" s="235" t="s">
        <v>1865</v>
      </c>
      <c r="F42" s="245">
        <f>'数据-取费表'!B32</f>
        <v>0.03</v>
      </c>
      <c r="H42" s="908"/>
      <c r="I42" s="135" t="s">
        <v>1763</v>
      </c>
      <c r="J42" s="137">
        <f ca="1">1-J41</f>
        <v>0.88</v>
      </c>
      <c r="K42" s="905"/>
      <c r="L42" s="908"/>
      <c r="M42" s="908"/>
      <c r="Q42" s="656"/>
    </row>
    <row r="43" spans="1:18" s="652" customFormat="1" ht="18" customHeight="1" thickBot="1">
      <c r="A43" s="271" t="s">
        <v>24</v>
      </c>
      <c r="B43" s="272" t="s">
        <v>1890</v>
      </c>
      <c r="C43" s="273">
        <f ca="1">ROUND(C40/F43,0)</f>
        <v>39450</v>
      </c>
      <c r="D43" s="274" t="s">
        <v>1891</v>
      </c>
      <c r="E43" s="275" t="s">
        <v>1892</v>
      </c>
      <c r="F43" s="276">
        <f>IF(D1="仅计算典型户型",'数据-取费表'!E5,'数据-取费表'!B5)</f>
        <v>177.57</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7005058</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-835</v>
      </c>
      <c r="D47" s="1456" t="str">
        <f>C2</f>
        <v>万元</v>
      </c>
      <c r="E47" s="649"/>
      <c r="F47" s="649"/>
      <c r="I47" s="1457" t="s">
        <v>1903</v>
      </c>
      <c r="J47" s="981"/>
      <c r="K47" s="982"/>
      <c r="L47" s="995" t="str">
        <f>IF(M48="住宅",0,IF(L49&gt;J52,L61,J61))</f>
        <v>0</v>
      </c>
      <c r="O47" s="1009" t="s">
        <v>769</v>
      </c>
      <c r="P47" s="1006" t="s">
        <v>1904</v>
      </c>
      <c r="Q47" s="1007">
        <f ca="1">C29</f>
        <v>1024197</v>
      </c>
      <c r="R47" s="1008" t="s">
        <v>1899</v>
      </c>
    </row>
    <row r="48" spans="1:18" s="652" customFormat="1" ht="15.75" thickBot="1">
      <c r="A48" s="228" t="s">
        <v>1905</v>
      </c>
      <c r="B48" s="229" t="s">
        <v>1906</v>
      </c>
      <c r="C48" s="229" t="s">
        <v>1907</v>
      </c>
      <c r="D48" s="229" t="s">
        <v>1908</v>
      </c>
      <c r="E48" s="944" t="s">
        <v>1909</v>
      </c>
      <c r="F48" s="945"/>
      <c r="I48" s="1458" t="s">
        <v>1910</v>
      </c>
      <c r="J48" s="1459" t="s">
        <v>3037</v>
      </c>
      <c r="K48" s="1460" t="s">
        <v>1911</v>
      </c>
      <c r="L48" s="983">
        <f>'数据-取费表'!B11</f>
        <v>40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0</v>
      </c>
      <c r="D49" s="1058"/>
      <c r="E49" s="44"/>
      <c r="F49" s="15"/>
      <c r="I49" s="1461" t="s">
        <v>1914</v>
      </c>
      <c r="J49" s="1462" t="s">
        <v>3038</v>
      </c>
      <c r="K49" s="1463" t="s">
        <v>1915</v>
      </c>
      <c r="L49" s="821">
        <f>'数据-取费表'!B13</f>
        <v>26.45</v>
      </c>
      <c r="O49" s="1009" t="s">
        <v>771</v>
      </c>
      <c r="P49" s="1006" t="s">
        <v>1916</v>
      </c>
      <c r="Q49" s="1010">
        <f>J53</f>
        <v>0</v>
      </c>
      <c r="R49" s="1008"/>
    </row>
    <row r="50" spans="1:18" s="652" customFormat="1" ht="15.75" thickBot="1">
      <c r="A50" s="260" t="s">
        <v>1774</v>
      </c>
      <c r="B50" s="1370" t="s">
        <v>1917</v>
      </c>
      <c r="C50" s="234">
        <f>ROUND(F50*F52*F51*(1-F53),0)</f>
        <v>0</v>
      </c>
      <c r="D50" s="42" t="s">
        <v>2461</v>
      </c>
      <c r="E50" s="1464" t="s">
        <v>1918</v>
      </c>
      <c r="F50" s="946"/>
      <c r="I50" s="1461" t="s">
        <v>1919</v>
      </c>
      <c r="J50" s="821">
        <f>'数据-取费表'!B27</f>
        <v>2011</v>
      </c>
      <c r="K50" s="1465" t="s">
        <v>1920</v>
      </c>
      <c r="L50" s="984"/>
      <c r="O50" s="1009" t="s">
        <v>772</v>
      </c>
      <c r="P50" s="1006" t="s">
        <v>1921</v>
      </c>
      <c r="Q50" s="1007">
        <f>J54</f>
        <v>26.45</v>
      </c>
      <c r="R50" s="1008" t="s">
        <v>1922</v>
      </c>
    </row>
    <row r="51" spans="1:18" s="652" customFormat="1" ht="15.75" thickBot="1">
      <c r="A51" s="237"/>
      <c r="B51" s="238"/>
      <c r="C51" s="239"/>
      <c r="D51" s="240"/>
      <c r="E51" s="255" t="s">
        <v>1777</v>
      </c>
      <c r="F51" s="943">
        <f>F7</f>
        <v>177.57</v>
      </c>
      <c r="I51" s="1461" t="s">
        <v>1923</v>
      </c>
      <c r="J51" s="985">
        <f>SUMPRODUCT((I64:I66=J48)*(J63:L63=J49)*(J64:L66))</f>
        <v>60</v>
      </c>
      <c r="K51" s="1465" t="s">
        <v>1924</v>
      </c>
      <c r="L51" s="984"/>
      <c r="O51" s="1005" t="s">
        <v>773</v>
      </c>
      <c r="P51" s="1006" t="str">
        <f>IF(C2="元","收益价值(元)","收益价值(万元)")</f>
        <v>收益价值(万元)</v>
      </c>
      <c r="Q51" s="1007">
        <f ca="1">ROUND(IF(C2="元",Q45+Q46,(Q45+Q46)/10000),0)</f>
        <v>701</v>
      </c>
      <c r="R51" s="1008" t="s">
        <v>774</v>
      </c>
    </row>
    <row r="52" spans="1:18" s="652" customFormat="1" ht="16.5" thickBot="1">
      <c r="A52" s="237"/>
      <c r="B52" s="238"/>
      <c r="C52" s="239"/>
      <c r="D52" s="240"/>
      <c r="E52" s="235" t="s">
        <v>1779</v>
      </c>
      <c r="F52" s="236">
        <f>F8</f>
        <v>365</v>
      </c>
      <c r="I52" s="1466" t="s">
        <v>1925</v>
      </c>
      <c r="J52" s="986">
        <f>IF(J50="",J51,J50+J51-YEAR('数据-取费表'!B2))</f>
        <v>49</v>
      </c>
      <c r="K52" s="1467" t="s">
        <v>1926</v>
      </c>
      <c r="L52" s="987">
        <f ca="1">ROUND(-PV('数据-取费表'!B15,J52,(C40-C13*J35)),0)</f>
        <v>126052241</v>
      </c>
      <c r="O52" s="999" t="s">
        <v>1927</v>
      </c>
      <c r="P52" s="1000"/>
      <c r="Q52" s="996"/>
      <c r="R52" s="1000"/>
    </row>
    <row r="53" spans="1:18" s="652" customFormat="1" ht="15.75" thickBot="1">
      <c r="A53" s="241"/>
      <c r="B53" s="242"/>
      <c r="C53" s="243"/>
      <c r="D53" s="244"/>
      <c r="E53" s="235" t="s">
        <v>1780</v>
      </c>
      <c r="F53" s="994"/>
      <c r="I53" s="1468" t="s">
        <v>1928</v>
      </c>
      <c r="J53" s="988"/>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26.45</v>
      </c>
      <c r="K54" s="3557" t="s">
        <v>2459</v>
      </c>
      <c r="L54" s="3558"/>
      <c r="O54" s="1005" t="s">
        <v>767</v>
      </c>
      <c r="P54" s="1006" t="s">
        <v>1898</v>
      </c>
      <c r="Q54" s="1007">
        <f ca="1">C40+J29</f>
        <v>7005058</v>
      </c>
      <c r="R54" s="1008" t="s">
        <v>1899</v>
      </c>
    </row>
    <row r="55" spans="1:18" s="652" customFormat="1" ht="20.25" thickBot="1">
      <c r="A55" s="1015"/>
      <c r="B55" s="1469" t="s">
        <v>1786</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1787</v>
      </c>
      <c r="B56" s="1453" t="s">
        <v>1788</v>
      </c>
      <c r="C56" s="1026"/>
      <c r="D56" s="1042"/>
      <c r="E56" s="1472"/>
      <c r="F56" s="1081"/>
      <c r="I56" s="1473" t="s">
        <v>1932</v>
      </c>
      <c r="J56" s="1248" t="e">
        <f>ROUND(IF(J48="钢混",J58/J51,1-(1-2%)*(J51-J58)/J51),3)</f>
        <v>#VALUE!</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1789</v>
      </c>
      <c r="C57" s="1080">
        <f ca="1">C13</f>
        <v>839842</v>
      </c>
      <c r="D57" s="941"/>
      <c r="E57" s="942"/>
      <c r="F57" s="949"/>
      <c r="I57" s="1475" t="s">
        <v>1935</v>
      </c>
      <c r="J57" s="993" t="s">
        <v>3039</v>
      </c>
      <c r="K57" s="1461" t="s">
        <v>1936</v>
      </c>
      <c r="L57" s="821" t="str">
        <f>IF(L49&lt;J52,"——",L49-J52)</f>
        <v>——</v>
      </c>
      <c r="O57" s="1009" t="s">
        <v>770</v>
      </c>
      <c r="P57" s="1006" t="s">
        <v>1937</v>
      </c>
      <c r="Q57" s="1010">
        <f>L53</f>
        <v>0</v>
      </c>
      <c r="R57" s="1008"/>
    </row>
    <row r="58" spans="1:18" s="652" customFormat="1" ht="29.25" thickBot="1">
      <c r="A58" s="948"/>
      <c r="B58" s="235" t="s">
        <v>1867</v>
      </c>
      <c r="C58" s="104">
        <f ca="1">C29</f>
        <v>1024197</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97535</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1811</v>
      </c>
      <c r="C60" s="2745">
        <f ca="1">ROUND(IF(AND(项目基本情况!B7="自然人",项目基本情况!B6="北京市"),C50*F60/(1+'数据-取费表'!F30),C61+C62+C63),0)</f>
        <v>86033</v>
      </c>
      <c r="D60" s="1256" t="s">
        <v>1872</v>
      </c>
      <c r="E60" s="1259" t="s">
        <v>1873</v>
      </c>
      <c r="F60" s="2744">
        <f>IF(项目基本情况!B7="企业","——",IF('数据-取费表'!B10="住宅",IF(F50*F51*F52/12/(1+'数据-取费表'!F30)&gt;100000,4%,2.5%),IF(F50*F51*F52/12/(1+'数据-取费表'!F30)&gt;100000,12%,7%)))</f>
        <v>7.0000000000000007E-2</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701</v>
      </c>
      <c r="R60" s="1008" t="s">
        <v>774</v>
      </c>
    </row>
    <row r="61" spans="1:18" s="652" customFormat="1" ht="16.5" thickBot="1">
      <c r="A61" s="253" t="s">
        <v>16</v>
      </c>
      <c r="B61" s="235" t="s">
        <v>1874</v>
      </c>
      <c r="C61" s="13">
        <f ca="1">IF(项目基本情况!B7="自然人","——",ROUND(C49*F61/(1+'数据-取费表'!F30),0))</f>
        <v>0</v>
      </c>
      <c r="D61" s="1259" t="s">
        <v>1875</v>
      </c>
      <c r="E61" s="235" t="s">
        <v>1824</v>
      </c>
      <c r="F61" s="267">
        <f t="shared" ref="F61:F67" si="0">F32</f>
        <v>5.6000000000000001E-2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f ca="1">IF(项目基本情况!B7="自然人","——",IF(D62="按租金收入计税",ROUND(C50*F62/(1+'数据-取费表'!F30),0),IF(D62="按房产原值计税",ROUND(C58*F62*0.7,0),'数据-取费表'!B44)))</f>
        <v>86033</v>
      </c>
      <c r="D62" s="1364" t="s">
        <v>1821</v>
      </c>
      <c r="E62" s="235" t="s">
        <v>1824</v>
      </c>
      <c r="F62" s="258">
        <f t="shared" si="0"/>
        <v>0.12</v>
      </c>
      <c r="O62" s="1001" t="s">
        <v>1894</v>
      </c>
      <c r="P62" s="1002" t="s">
        <v>1895</v>
      </c>
      <c r="Q62" s="1003" t="s">
        <v>1896</v>
      </c>
      <c r="R62" s="1004" t="s">
        <v>1897</v>
      </c>
    </row>
    <row r="63" spans="1:18" s="652" customFormat="1" ht="15.75" thickBot="1">
      <c r="A63" s="260" t="s">
        <v>18</v>
      </c>
      <c r="B63" s="36" t="s">
        <v>1950</v>
      </c>
      <c r="C63" s="14">
        <f>IF(项目基本情况!B7="自然人","——",ROUND(F63*F64,0))</f>
        <v>0</v>
      </c>
      <c r="D63" s="261" t="s">
        <v>1951</v>
      </c>
      <c r="E63" s="235" t="s">
        <v>1952</v>
      </c>
      <c r="F63" s="262">
        <f t="shared" si="0"/>
        <v>12</v>
      </c>
      <c r="I63" s="1479" t="s">
        <v>1953</v>
      </c>
      <c r="J63" s="1251" t="s">
        <v>1954</v>
      </c>
      <c r="K63" s="1251" t="s">
        <v>1955</v>
      </c>
      <c r="L63" s="1251" t="s">
        <v>1956</v>
      </c>
      <c r="M63" s="1250" t="s">
        <v>1957</v>
      </c>
      <c r="O63" s="1005" t="s">
        <v>767</v>
      </c>
      <c r="P63" s="1006" t="s">
        <v>1898</v>
      </c>
      <c r="Q63" s="1007">
        <f ca="1">C40+J29</f>
        <v>7005058</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10242</v>
      </c>
      <c r="D65" s="1259" t="s">
        <v>1880</v>
      </c>
      <c r="E65" s="235" t="s">
        <v>1824</v>
      </c>
      <c r="F65" s="265">
        <f t="shared" si="0"/>
        <v>0.01</v>
      </c>
      <c r="I65" s="1479" t="s">
        <v>1960</v>
      </c>
      <c r="J65" s="1251">
        <v>50</v>
      </c>
      <c r="K65" s="1251">
        <v>35</v>
      </c>
      <c r="L65" s="1251">
        <v>60</v>
      </c>
      <c r="M65" s="1250">
        <v>0</v>
      </c>
      <c r="O65" s="1009" t="s">
        <v>769</v>
      </c>
      <c r="P65" s="1006" t="s">
        <v>1934</v>
      </c>
      <c r="Q65" s="1011">
        <f ca="1">L52</f>
        <v>126052241</v>
      </c>
      <c r="R65" s="1012" t="s">
        <v>1961</v>
      </c>
    </row>
    <row r="66" spans="1:18" s="652" customFormat="1" ht="20.25" thickBot="1">
      <c r="A66" s="253" t="s">
        <v>20</v>
      </c>
      <c r="B66" s="235" t="s">
        <v>1839</v>
      </c>
      <c r="C66" s="13">
        <f ca="1">ROUND(C57*F66,0)</f>
        <v>1260</v>
      </c>
      <c r="D66" s="1259" t="s">
        <v>1840</v>
      </c>
      <c r="E66" s="235" t="s">
        <v>1841</v>
      </c>
      <c r="F66" s="266">
        <f t="shared" si="0"/>
        <v>1.5E-3</v>
      </c>
      <c r="I66" s="1479" t="s">
        <v>1962</v>
      </c>
      <c r="J66" s="1251">
        <v>40</v>
      </c>
      <c r="K66" s="1251">
        <v>30</v>
      </c>
      <c r="L66" s="1251">
        <v>50</v>
      </c>
      <c r="M66" s="1249">
        <v>0.02</v>
      </c>
      <c r="O66" s="1009" t="s">
        <v>770</v>
      </c>
      <c r="P66" s="1013" t="s">
        <v>1963</v>
      </c>
      <c r="Q66" s="1007">
        <f ca="1">ROUND(Q67-Q68*Q69,0)</f>
        <v>305656</v>
      </c>
      <c r="R66" s="1008"/>
    </row>
    <row r="67" spans="1:18" s="652" customFormat="1" ht="15.75" thickBot="1">
      <c r="A67" s="253" t="s">
        <v>21</v>
      </c>
      <c r="B67" s="235" t="s">
        <v>1822</v>
      </c>
      <c r="C67" s="13">
        <f ca="1">ROUND(C49*F67,0)</f>
        <v>0</v>
      </c>
      <c r="D67" s="1259" t="s">
        <v>1845</v>
      </c>
      <c r="E67" s="235" t="s">
        <v>1841</v>
      </c>
      <c r="F67" s="245">
        <f t="shared" si="0"/>
        <v>0.01</v>
      </c>
      <c r="O67" s="1009" t="s">
        <v>775</v>
      </c>
      <c r="P67" s="1013" t="s">
        <v>1964</v>
      </c>
      <c r="Q67" s="1007">
        <f ca="1">C39</f>
        <v>372843</v>
      </c>
      <c r="R67" s="1008" t="s">
        <v>1899</v>
      </c>
    </row>
    <row r="68" spans="1:18" ht="15.75" thickBot="1">
      <c r="A68" s="248" t="s">
        <v>22</v>
      </c>
      <c r="B68" s="41" t="s">
        <v>1849</v>
      </c>
      <c r="C68" s="250">
        <f ca="1">C49-C59</f>
        <v>-97535</v>
      </c>
      <c r="D68" s="1256" t="s">
        <v>1850</v>
      </c>
      <c r="E68" s="1258"/>
      <c r="F68" s="268"/>
      <c r="H68" s="652"/>
      <c r="I68" s="652"/>
      <c r="J68" s="652"/>
      <c r="K68" s="652"/>
      <c r="L68" s="652"/>
      <c r="M68" s="652"/>
      <c r="O68" s="1009" t="s">
        <v>776</v>
      </c>
      <c r="P68" s="1013" t="s">
        <v>1965</v>
      </c>
      <c r="Q68" s="1007">
        <f ca="1">C13</f>
        <v>839842</v>
      </c>
      <c r="R68" s="1008" t="s">
        <v>1899</v>
      </c>
    </row>
    <row r="69" spans="1:18" ht="15.75" thickBot="1">
      <c r="A69" s="232" t="s">
        <v>23</v>
      </c>
      <c r="B69" s="233" t="s">
        <v>1887</v>
      </c>
      <c r="C69" s="234">
        <f ca="1">ROUND(C68*(1-((1+F71)/(1+F69))^F70)/(F69-F71),0)</f>
        <v>-1343065</v>
      </c>
      <c r="D69" s="261" t="s">
        <v>1855</v>
      </c>
      <c r="E69" s="235" t="s">
        <v>1856</v>
      </c>
      <c r="F69" s="245">
        <f>F40</f>
        <v>5.5E-2</v>
      </c>
      <c r="H69" s="652"/>
      <c r="I69" s="652"/>
      <c r="J69" s="652"/>
      <c r="K69" s="652"/>
      <c r="L69" s="652"/>
      <c r="M69" s="652"/>
      <c r="O69" s="1009" t="s">
        <v>777</v>
      </c>
      <c r="P69" s="1013" t="s">
        <v>1966</v>
      </c>
      <c r="Q69" s="1010">
        <f>J35</f>
        <v>0.08</v>
      </c>
      <c r="R69" s="1008"/>
    </row>
    <row r="70" spans="1:18" ht="15.75" thickBot="1">
      <c r="A70" s="237"/>
      <c r="B70" s="238"/>
      <c r="C70" s="239"/>
      <c r="D70" s="269" t="s">
        <v>1889</v>
      </c>
      <c r="E70" s="235" t="s">
        <v>1861</v>
      </c>
      <c r="F70" s="270">
        <f>F41</f>
        <v>26.45</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c r="H71" s="652"/>
      <c r="M71" s="652"/>
      <c r="O71" s="1009" t="s">
        <v>772</v>
      </c>
      <c r="P71" s="1006" t="s">
        <v>1940</v>
      </c>
      <c r="Q71" s="1007" t="e">
        <f>L59</f>
        <v>#DIV/0!</v>
      </c>
      <c r="R71" s="1008" t="s">
        <v>1941</v>
      </c>
    </row>
    <row r="72" spans="1:18" ht="15.75" thickBot="1">
      <c r="A72" s="271" t="s">
        <v>24</v>
      </c>
      <c r="B72" s="272" t="s">
        <v>1890</v>
      </c>
      <c r="C72" s="273">
        <f ca="1">ROUND(C69/F72,0)</f>
        <v>-7564</v>
      </c>
      <c r="D72" s="274" t="s">
        <v>1891</v>
      </c>
      <c r="E72" s="275" t="s">
        <v>1892</v>
      </c>
      <c r="F72" s="276">
        <f>F43</f>
        <v>177.57</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收益价值(万元)</v>
      </c>
      <c r="Q73" s="1007">
        <f ca="1">ROUND(IF(C2="元",Q63+Q64,(Q63+Q64)/10000),0)</f>
        <v>701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XX预评估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59" t="s">
        <v>2652</v>
      </c>
      <c r="K2" s="3560"/>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61" t="s">
        <v>2662</v>
      </c>
      <c r="K3" s="3562"/>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61" t="s">
        <v>2664</v>
      </c>
      <c r="K4" s="3562"/>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63" t="s">
        <v>2668</v>
      </c>
      <c r="B6" s="3564"/>
      <c r="C6" s="3565"/>
      <c r="D6" s="3154"/>
      <c r="E6" s="3098"/>
      <c r="F6" s="3099"/>
      <c r="G6" s="3199"/>
      <c r="H6" s="3185"/>
      <c r="I6" s="3186"/>
      <c r="J6" s="3566">
        <v>1</v>
      </c>
      <c r="K6" s="3567"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66"/>
      <c r="K7" s="3568"/>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70" t="s">
        <v>2681</v>
      </c>
      <c r="C8" s="3571"/>
      <c r="D8" s="3108" t="s">
        <v>2682</v>
      </c>
      <c r="E8" s="3109" t="s">
        <v>2683</v>
      </c>
      <c r="F8" s="3092" t="s">
        <v>2684</v>
      </c>
      <c r="G8" s="3262" t="s">
        <v>2792</v>
      </c>
      <c r="H8" s="3185"/>
      <c r="I8" s="3186"/>
      <c r="J8" s="3566"/>
      <c r="K8" s="3568"/>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70" t="s">
        <v>2686</v>
      </c>
      <c r="C9" s="3571"/>
      <c r="D9" s="3108">
        <f>ROUND(D6*E9,0)</f>
        <v>0</v>
      </c>
      <c r="E9" s="3155"/>
      <c r="F9" s="3110" t="s">
        <v>2687</v>
      </c>
      <c r="G9" s="3208" t="s">
        <v>2790</v>
      </c>
      <c r="H9" s="3185"/>
      <c r="I9" s="3186"/>
      <c r="J9" s="3566"/>
      <c r="K9" s="3568"/>
      <c r="L9" s="3203" t="s">
        <v>2780</v>
      </c>
      <c r="M9" s="3204"/>
      <c r="N9" s="3204"/>
      <c r="O9" s="3205"/>
      <c r="P9" s="3205"/>
      <c r="Q9" s="3206">
        <v>365</v>
      </c>
      <c r="R9" s="3207">
        <f t="shared" si="0"/>
        <v>0</v>
      </c>
      <c r="S9" s="3183"/>
      <c r="T9" s="3183"/>
      <c r="U9" s="3183"/>
      <c r="V9" s="3186"/>
      <c r="W9" s="3185"/>
    </row>
    <row r="10" spans="1:23" s="3091" customFormat="1" ht="13.15" customHeight="1">
      <c r="A10" s="3107">
        <v>2</v>
      </c>
      <c r="B10" s="3570" t="s">
        <v>2688</v>
      </c>
      <c r="C10" s="3571"/>
      <c r="D10" s="3108">
        <f>ROUND(D6*E10,0)</f>
        <v>0</v>
      </c>
      <c r="E10" s="3155"/>
      <c r="F10" s="3110" t="s">
        <v>2689</v>
      </c>
      <c r="G10" s="3208" t="s">
        <v>2791</v>
      </c>
      <c r="H10" s="3185"/>
      <c r="I10" s="3186"/>
      <c r="J10" s="3566"/>
      <c r="K10" s="3568"/>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70" t="s">
        <v>2690</v>
      </c>
      <c r="C11" s="3571"/>
      <c r="D11" s="3108">
        <f>D12+D14+D15+D16</f>
        <v>0</v>
      </c>
      <c r="E11" s="3111" t="e">
        <f>D11/D6</f>
        <v>#DIV/0!</v>
      </c>
      <c r="F11" s="3092"/>
      <c r="G11" s="3208"/>
      <c r="H11" s="3185"/>
      <c r="I11" s="3186"/>
      <c r="J11" s="3566"/>
      <c r="K11" s="3568"/>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72" t="s">
        <v>2692</v>
      </c>
      <c r="C12" s="3573"/>
      <c r="D12" s="3113">
        <f>ROUND(D13*1.2%*(1-30%),0)</f>
        <v>0</v>
      </c>
      <c r="E12" s="3114">
        <v>1.2E-2</v>
      </c>
      <c r="F12" s="3092" t="s">
        <v>2693</v>
      </c>
      <c r="G12" s="3208"/>
      <c r="H12" s="3185"/>
      <c r="I12" s="3186"/>
      <c r="J12" s="3566"/>
      <c r="K12" s="3568"/>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66"/>
      <c r="K13" s="3568"/>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72" t="s">
        <v>2696</v>
      </c>
      <c r="C14" s="3573"/>
      <c r="D14" s="3113">
        <f>ROUND(E14*B5/10000,0)</f>
        <v>0</v>
      </c>
      <c r="E14" s="3157"/>
      <c r="F14" s="3092" t="s">
        <v>2697</v>
      </c>
      <c r="G14" s="3208"/>
      <c r="H14" s="3185"/>
      <c r="I14" s="3186"/>
      <c r="J14" s="3566"/>
      <c r="K14" s="3569"/>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72" t="s">
        <v>2700</v>
      </c>
      <c r="C15" s="3573"/>
      <c r="D15" s="3113">
        <f>ROUND(D6*E15,0)</f>
        <v>0</v>
      </c>
      <c r="E15" s="3114">
        <v>5.5E-2</v>
      </c>
      <c r="F15" s="3092" t="s">
        <v>2701</v>
      </c>
      <c r="G15" s="3208"/>
      <c r="H15" s="3185"/>
      <c r="I15" s="3186"/>
      <c r="J15" s="3566">
        <v>2</v>
      </c>
      <c r="K15" s="3567"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72" t="s">
        <v>2711</v>
      </c>
      <c r="C16" s="3573"/>
      <c r="D16" s="3158">
        <f>D6*E16</f>
        <v>0</v>
      </c>
      <c r="E16" s="3159"/>
      <c r="F16" s="3110" t="s">
        <v>2712</v>
      </c>
      <c r="G16" s="3208"/>
      <c r="H16" s="3185"/>
      <c r="I16" s="3186"/>
      <c r="J16" s="3566"/>
      <c r="K16" s="3568"/>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2713</v>
      </c>
      <c r="C17" s="3575"/>
      <c r="D17" s="3119">
        <f>ROUND(D6*E17,0)</f>
        <v>0</v>
      </c>
      <c r="E17" s="3160"/>
      <c r="F17" s="3120" t="s">
        <v>2714</v>
      </c>
      <c r="G17" s="3261">
        <v>0.1</v>
      </c>
      <c r="H17" s="3185"/>
      <c r="I17" s="3186"/>
      <c r="J17" s="3566"/>
      <c r="K17" s="3568"/>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66"/>
      <c r="K18" s="3568"/>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66"/>
      <c r="K19" s="3569"/>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66"/>
      <c r="K21" s="3568"/>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66"/>
      <c r="K22" s="3568"/>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66"/>
      <c r="K23" s="3568"/>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66"/>
      <c r="K24" s="3569"/>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76">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59" t="s">
        <v>2750</v>
      </c>
      <c r="K32" s="3560"/>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61" t="s">
        <v>2754</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61" t="s">
        <v>2756</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66">
        <v>1</v>
      </c>
      <c r="K36" s="3567"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66"/>
      <c r="K40" s="3569"/>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581" t="s">
        <v>1972</v>
      </c>
      <c r="D4" s="3582"/>
      <c r="E4" s="3582"/>
      <c r="F4" s="3582"/>
      <c r="G4" s="3582"/>
      <c r="H4" s="3582"/>
      <c r="I4" s="3582"/>
      <c r="J4" s="3582"/>
      <c r="K4" s="3582"/>
      <c r="L4" s="3582"/>
      <c r="M4" s="3582"/>
      <c r="N4" s="3582"/>
      <c r="O4" s="3582"/>
      <c r="P4" s="3582"/>
      <c r="Q4" s="3582"/>
      <c r="R4" s="3582"/>
      <c r="S4" s="3583"/>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6"/>
      <c r="W24" s="2907" t="s">
        <v>1989</v>
      </c>
      <c r="X24" s="2173" t="s">
        <v>1990</v>
      </c>
      <c r="Y24" s="2906"/>
      <c r="Z24" s="2908" t="s">
        <v>1989</v>
      </c>
    </row>
    <row r="25" spans="1:45">
      <c r="A25" s="250" t="s">
        <v>1991</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177.57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2005</v>
      </c>
      <c r="B4" s="1592"/>
      <c r="C4" s="3617" t="s">
        <v>2006</v>
      </c>
      <c r="D4" s="3618"/>
      <c r="E4" s="3619" t="s">
        <v>2007</v>
      </c>
      <c r="F4" s="3620"/>
      <c r="G4" s="3617" t="s">
        <v>2008</v>
      </c>
      <c r="H4" s="3618"/>
      <c r="I4" s="3617" t="s">
        <v>2009</v>
      </c>
      <c r="J4" s="3618"/>
      <c r="K4" s="1593" t="s">
        <v>2010</v>
      </c>
      <c r="L4" s="2915"/>
      <c r="M4" s="2916"/>
      <c r="N4" s="2916"/>
      <c r="O4" s="2916"/>
      <c r="P4" s="3621" t="s">
        <v>2011</v>
      </c>
      <c r="Q4" s="3622"/>
      <c r="R4" s="3606" t="s">
        <v>2007</v>
      </c>
      <c r="S4" s="3607"/>
      <c r="T4" s="3606" t="s">
        <v>2008</v>
      </c>
      <c r="U4" s="3607"/>
      <c r="V4" s="3627" t="s">
        <v>2009</v>
      </c>
      <c r="W4" s="3627"/>
      <c r="X4" s="1594"/>
      <c r="Y4" s="3606" t="s">
        <v>2011</v>
      </c>
      <c r="Z4" s="3607"/>
      <c r="AA4" s="3614" t="s">
        <v>2007</v>
      </c>
      <c r="AB4" s="3614" t="s">
        <v>2008</v>
      </c>
      <c r="AC4" s="3614" t="s">
        <v>2009</v>
      </c>
    </row>
    <row r="5" spans="1:29" ht="15">
      <c r="A5" s="1596"/>
      <c r="B5" s="1597"/>
      <c r="C5" s="3602" t="s">
        <v>2012</v>
      </c>
      <c r="D5" s="3603"/>
      <c r="E5" s="3628" t="s">
        <v>2013</v>
      </c>
      <c r="F5" s="3629"/>
      <c r="G5" s="3602" t="s">
        <v>2014</v>
      </c>
      <c r="H5" s="3603"/>
      <c r="I5" s="3602" t="s">
        <v>2015</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2016</v>
      </c>
      <c r="D6" s="3601"/>
      <c r="E6" s="3630" t="s">
        <v>2016</v>
      </c>
      <c r="F6" s="3631"/>
      <c r="G6" s="3600" t="s">
        <v>2016</v>
      </c>
      <c r="H6" s="3601"/>
      <c r="I6" s="3600" t="s">
        <v>2016</v>
      </c>
      <c r="J6" s="3601"/>
      <c r="K6" s="1598" t="s">
        <v>2017</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2018</v>
      </c>
      <c r="B7" s="1602"/>
      <c r="C7" s="1603">
        <f>'数据-取费表'!B2</f>
        <v>44802</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2019</v>
      </c>
      <c r="Q7" s="3612"/>
      <c r="R7" s="1609" t="s">
        <v>34</v>
      </c>
      <c r="S7" s="1610">
        <f t="shared" ref="S7:S15" si="0">F7</f>
        <v>0</v>
      </c>
      <c r="T7" s="1609" t="s">
        <v>34</v>
      </c>
      <c r="U7" s="1610">
        <f t="shared" ref="U7:U15" si="1">H7</f>
        <v>0</v>
      </c>
      <c r="V7" s="1609" t="s">
        <v>34</v>
      </c>
      <c r="W7" s="1610">
        <f t="shared" ref="W7:W15" si="2">J7</f>
        <v>0</v>
      </c>
      <c r="X7" s="1611"/>
      <c r="Y7" s="3604" t="s">
        <v>2019</v>
      </c>
      <c r="Z7" s="3605"/>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2022</v>
      </c>
      <c r="Q8" s="3605"/>
      <c r="R8" s="1609" t="s">
        <v>34</v>
      </c>
      <c r="S8" s="1610">
        <f t="shared" si="0"/>
        <v>0</v>
      </c>
      <c r="T8" s="1609" t="s">
        <v>34</v>
      </c>
      <c r="U8" s="1610">
        <f t="shared" si="1"/>
        <v>0</v>
      </c>
      <c r="V8" s="1609" t="s">
        <v>34</v>
      </c>
      <c r="W8" s="1610">
        <f t="shared" si="2"/>
        <v>0</v>
      </c>
      <c r="X8" s="1611"/>
      <c r="Y8" s="3604" t="s">
        <v>2022</v>
      </c>
      <c r="Z8" s="3605"/>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2025</v>
      </c>
      <c r="Q9" s="1563" t="str">
        <f t="shared" ref="Q9:Q15" si="6">B9</f>
        <v>用途</v>
      </c>
      <c r="R9" s="1609" t="s">
        <v>25</v>
      </c>
      <c r="S9" s="1610">
        <f t="shared" si="0"/>
        <v>100</v>
      </c>
      <c r="T9" s="1609" t="s">
        <v>25</v>
      </c>
      <c r="U9" s="1610">
        <f t="shared" si="1"/>
        <v>100</v>
      </c>
      <c r="V9" s="1609" t="s">
        <v>25</v>
      </c>
      <c r="W9" s="1610">
        <f t="shared" si="2"/>
        <v>100</v>
      </c>
      <c r="X9" s="1611"/>
      <c r="Y9" s="3450"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2030</v>
      </c>
      <c r="Q15" s="1544" t="str">
        <f t="shared" si="6"/>
        <v>居住社区成熟度</v>
      </c>
      <c r="R15" s="1654" t="s">
        <v>28</v>
      </c>
      <c r="S15" s="1655">
        <f t="shared" si="0"/>
        <v>100</v>
      </c>
      <c r="T15" s="1654" t="s">
        <v>28</v>
      </c>
      <c r="U15" s="1655">
        <f t="shared" si="1"/>
        <v>100</v>
      </c>
      <c r="V15" s="1654" t="s">
        <v>28</v>
      </c>
      <c r="W15" s="1655">
        <f t="shared" si="2"/>
        <v>100</v>
      </c>
      <c r="X15" s="1594"/>
      <c r="Y15" s="3593"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2036</v>
      </c>
      <c r="Q32" s="1544" t="str">
        <f t="shared" si="11"/>
        <v>建筑类型</v>
      </c>
      <c r="R32" s="1654" t="s">
        <v>28</v>
      </c>
      <c r="S32" s="1655">
        <f t="shared" si="12"/>
        <v>100</v>
      </c>
      <c r="T32" s="1654" t="s">
        <v>28</v>
      </c>
      <c r="U32" s="1655">
        <f t="shared" si="13"/>
        <v>100</v>
      </c>
      <c r="V32" s="1654" t="s">
        <v>28</v>
      </c>
      <c r="W32" s="1655">
        <f t="shared" si="14"/>
        <v>100</v>
      </c>
      <c r="X32" s="1594"/>
      <c r="Y32" s="3598"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2036</v>
      </c>
      <c r="Q38" s="1544" t="str">
        <f t="shared" si="11"/>
        <v>物业管理</v>
      </c>
      <c r="R38" s="1654" t="s">
        <v>28</v>
      </c>
      <c r="S38" s="1655">
        <f t="shared" si="12"/>
        <v>100</v>
      </c>
      <c r="T38" s="1654" t="s">
        <v>28</v>
      </c>
      <c r="U38" s="1655">
        <f t="shared" si="13"/>
        <v>100</v>
      </c>
      <c r="V38" s="1654" t="s">
        <v>28</v>
      </c>
      <c r="W38" s="1655">
        <f t="shared" si="14"/>
        <v>100</v>
      </c>
      <c r="X38" s="1594"/>
      <c r="Y38" s="3598"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2004</v>
      </c>
      <c r="D3" s="1588">
        <f>IF(C1="仅计算典型户型",'数据-取费表'!E5,'数据-取费表'!B5)</f>
        <v>177.57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2005</v>
      </c>
      <c r="B4" s="1592"/>
      <c r="C4" s="3617" t="s">
        <v>2006</v>
      </c>
      <c r="D4" s="3618"/>
      <c r="E4" s="3619" t="s">
        <v>2007</v>
      </c>
      <c r="F4" s="3620"/>
      <c r="G4" s="3617" t="s">
        <v>2008</v>
      </c>
      <c r="H4" s="3618"/>
      <c r="I4" s="3617" t="s">
        <v>2009</v>
      </c>
      <c r="J4" s="3618"/>
      <c r="K4" s="1894" t="s">
        <v>2010</v>
      </c>
      <c r="L4" s="2915"/>
      <c r="M4" s="2916"/>
      <c r="N4" s="2916"/>
      <c r="O4" s="2916"/>
      <c r="P4" s="3621" t="s">
        <v>2011</v>
      </c>
      <c r="Q4" s="3622"/>
      <c r="R4" s="3606" t="s">
        <v>2007</v>
      </c>
      <c r="S4" s="3607"/>
      <c r="T4" s="3606" t="s">
        <v>2008</v>
      </c>
      <c r="U4" s="3607"/>
      <c r="V4" s="3627" t="s">
        <v>2009</v>
      </c>
      <c r="W4" s="3627"/>
      <c r="X4" s="2003"/>
      <c r="Y4" s="3606" t="s">
        <v>2011</v>
      </c>
      <c r="Z4" s="3607"/>
      <c r="AA4" s="3614" t="s">
        <v>2007</v>
      </c>
      <c r="AB4" s="3627" t="s">
        <v>2008</v>
      </c>
      <c r="AC4" s="3614" t="s">
        <v>2009</v>
      </c>
    </row>
    <row r="5" spans="1:29" ht="15">
      <c r="A5" s="1596"/>
      <c r="B5" s="1597"/>
      <c r="C5" s="3602" t="s">
        <v>2012</v>
      </c>
      <c r="D5" s="3603"/>
      <c r="E5" s="3628" t="s">
        <v>2013</v>
      </c>
      <c r="F5" s="3629"/>
      <c r="G5" s="3602" t="s">
        <v>2014</v>
      </c>
      <c r="H5" s="3603"/>
      <c r="I5" s="3602" t="s">
        <v>2015</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2016</v>
      </c>
      <c r="D6" s="3601"/>
      <c r="E6" s="3630" t="s">
        <v>2016</v>
      </c>
      <c r="F6" s="3631"/>
      <c r="G6" s="3600" t="s">
        <v>2016</v>
      </c>
      <c r="H6" s="3601"/>
      <c r="I6" s="3600" t="s">
        <v>2016</v>
      </c>
      <c r="J6" s="3601"/>
      <c r="K6" s="1894" t="s">
        <v>2017</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2018</v>
      </c>
      <c r="B7" s="1602"/>
      <c r="C7" s="1603">
        <f>'数据-取费表'!B2</f>
        <v>44802</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2019</v>
      </c>
      <c r="Q7" s="3612"/>
      <c r="R7" s="1609" t="s">
        <v>25</v>
      </c>
      <c r="S7" s="1610">
        <f t="shared" ref="S7:S15" si="0">F7</f>
        <v>0</v>
      </c>
      <c r="T7" s="1609" t="s">
        <v>25</v>
      </c>
      <c r="U7" s="1610">
        <f t="shared" ref="U7:U15" si="1">H7</f>
        <v>0</v>
      </c>
      <c r="V7" s="1609" t="s">
        <v>25</v>
      </c>
      <c r="W7" s="1610">
        <f t="shared" ref="W7:W15" si="2">J7</f>
        <v>0</v>
      </c>
      <c r="X7" s="1611"/>
      <c r="Y7" s="3604" t="s">
        <v>2019</v>
      </c>
      <c r="Z7" s="3605"/>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2022</v>
      </c>
      <c r="Q8" s="3605"/>
      <c r="R8" s="1609" t="s">
        <v>25</v>
      </c>
      <c r="S8" s="1610">
        <f t="shared" si="0"/>
        <v>0</v>
      </c>
      <c r="T8" s="1609" t="s">
        <v>25</v>
      </c>
      <c r="U8" s="1610">
        <f t="shared" si="1"/>
        <v>0</v>
      </c>
      <c r="V8" s="1609" t="s">
        <v>25</v>
      </c>
      <c r="W8" s="1610">
        <f t="shared" si="2"/>
        <v>0</v>
      </c>
      <c r="X8" s="1611"/>
      <c r="Y8" s="3604" t="s">
        <v>2022</v>
      </c>
      <c r="Z8" s="3605"/>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2025</v>
      </c>
      <c r="Q9" s="1994" t="str">
        <f t="shared" ref="Q9:Q15" si="6">B9</f>
        <v>用途</v>
      </c>
      <c r="R9" s="1609" t="s">
        <v>25</v>
      </c>
      <c r="S9" s="1610">
        <f t="shared" si="0"/>
        <v>100</v>
      </c>
      <c r="T9" s="1609" t="s">
        <v>25</v>
      </c>
      <c r="U9" s="1610">
        <f t="shared" si="1"/>
        <v>100</v>
      </c>
      <c r="V9" s="1609" t="s">
        <v>25</v>
      </c>
      <c r="W9" s="1610">
        <f t="shared" si="2"/>
        <v>100</v>
      </c>
      <c r="X9" s="1611"/>
      <c r="Y9" s="3450"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2030</v>
      </c>
      <c r="Q15" s="2000" t="str">
        <f t="shared" si="6"/>
        <v>商业繁华度</v>
      </c>
      <c r="R15" s="1654" t="s">
        <v>25</v>
      </c>
      <c r="S15" s="1655">
        <f t="shared" si="0"/>
        <v>100</v>
      </c>
      <c r="T15" s="1654" t="s">
        <v>25</v>
      </c>
      <c r="U15" s="1655">
        <f t="shared" si="1"/>
        <v>100</v>
      </c>
      <c r="V15" s="1654" t="s">
        <v>25</v>
      </c>
      <c r="W15" s="1655">
        <f t="shared" si="2"/>
        <v>100</v>
      </c>
      <c r="X15" s="2003"/>
      <c r="Y15" s="3593"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2036</v>
      </c>
      <c r="Q32" s="2000" t="str">
        <f t="shared" si="11"/>
        <v>商业类型</v>
      </c>
      <c r="R32" s="1654" t="s">
        <v>25</v>
      </c>
      <c r="S32" s="1655">
        <f t="shared" si="12"/>
        <v>100</v>
      </c>
      <c r="T32" s="1654" t="s">
        <v>25</v>
      </c>
      <c r="U32" s="1655">
        <f t="shared" si="13"/>
        <v>100</v>
      </c>
      <c r="V32" s="1654" t="s">
        <v>25</v>
      </c>
      <c r="W32" s="1655">
        <f t="shared" si="14"/>
        <v>100</v>
      </c>
      <c r="X32" s="2003"/>
      <c r="Y32" s="3598"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2036</v>
      </c>
      <c r="Q38" s="2000" t="str">
        <f t="shared" si="11"/>
        <v>业态</v>
      </c>
      <c r="R38" s="1654" t="s">
        <v>25</v>
      </c>
      <c r="S38" s="1655">
        <f t="shared" si="12"/>
        <v>100</v>
      </c>
      <c r="T38" s="1654" t="s">
        <v>25</v>
      </c>
      <c r="U38" s="1655">
        <f t="shared" si="13"/>
        <v>100</v>
      </c>
      <c r="V38" s="1654" t="s">
        <v>25</v>
      </c>
      <c r="W38" s="1655">
        <f t="shared" si="14"/>
        <v>100</v>
      </c>
      <c r="X38" s="2003"/>
      <c r="Y38" s="3598"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2024</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2034</v>
      </c>
      <c r="B100" s="1776" t="s">
        <v>2138</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2085</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2087</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2139</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2092</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c r="D1" s="1566"/>
      <c r="E1" s="1569"/>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2004</v>
      </c>
      <c r="D3" s="1588">
        <f>IF(C1="仅计算典型户型",'数据-取费表'!E5,'数据-取费表'!B5)</f>
        <v>177.57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2005</v>
      </c>
      <c r="B4" s="1592"/>
      <c r="C4" s="3617" t="s">
        <v>2006</v>
      </c>
      <c r="D4" s="3618"/>
      <c r="E4" s="3619" t="s">
        <v>2007</v>
      </c>
      <c r="F4" s="3620"/>
      <c r="G4" s="3617" t="s">
        <v>2008</v>
      </c>
      <c r="H4" s="3618"/>
      <c r="I4" s="3617" t="s">
        <v>2009</v>
      </c>
      <c r="J4" s="3618"/>
      <c r="K4" s="1894" t="s">
        <v>2010</v>
      </c>
      <c r="L4" s="2915"/>
      <c r="M4" s="2916"/>
      <c r="N4" s="2916"/>
      <c r="O4" s="2916"/>
      <c r="P4" s="3621" t="s">
        <v>2011</v>
      </c>
      <c r="Q4" s="3622"/>
      <c r="R4" s="3606" t="s">
        <v>2007</v>
      </c>
      <c r="S4" s="3607"/>
      <c r="T4" s="3606" t="s">
        <v>2008</v>
      </c>
      <c r="U4" s="3607"/>
      <c r="V4" s="3627" t="s">
        <v>2009</v>
      </c>
      <c r="W4" s="3627"/>
      <c r="X4" s="2003"/>
      <c r="Y4" s="3606" t="s">
        <v>2011</v>
      </c>
      <c r="Z4" s="3607"/>
      <c r="AA4" s="3614" t="s">
        <v>2007</v>
      </c>
      <c r="AB4" s="3614" t="s">
        <v>2008</v>
      </c>
      <c r="AC4" s="3614" t="s">
        <v>2009</v>
      </c>
    </row>
    <row r="5" spans="1:29" ht="15">
      <c r="A5" s="1596"/>
      <c r="B5" s="1597"/>
      <c r="C5" s="3602" t="s">
        <v>2012</v>
      </c>
      <c r="D5" s="3603"/>
      <c r="E5" s="3628" t="s">
        <v>2013</v>
      </c>
      <c r="F5" s="3629"/>
      <c r="G5" s="3602" t="s">
        <v>2014</v>
      </c>
      <c r="H5" s="3603"/>
      <c r="I5" s="3602" t="s">
        <v>2015</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2016</v>
      </c>
      <c r="D6" s="3601"/>
      <c r="E6" s="3630" t="s">
        <v>2016</v>
      </c>
      <c r="F6" s="3631"/>
      <c r="G6" s="3600" t="s">
        <v>2016</v>
      </c>
      <c r="H6" s="3601"/>
      <c r="I6" s="3600" t="s">
        <v>2016</v>
      </c>
      <c r="J6" s="3601"/>
      <c r="K6" s="1894" t="s">
        <v>2017</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2018</v>
      </c>
      <c r="B7" s="1602"/>
      <c r="C7" s="1603">
        <f>'数据-取费表'!B2</f>
        <v>44802</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2019</v>
      </c>
      <c r="Q7" s="3612"/>
      <c r="R7" s="1609" t="s">
        <v>25</v>
      </c>
      <c r="S7" s="1610">
        <f t="shared" ref="S7:S15" si="0">F7</f>
        <v>0</v>
      </c>
      <c r="T7" s="1609" t="s">
        <v>25</v>
      </c>
      <c r="U7" s="1610">
        <f t="shared" ref="U7:U15" si="1">H7</f>
        <v>0</v>
      </c>
      <c r="V7" s="1609" t="s">
        <v>25</v>
      </c>
      <c r="W7" s="1610">
        <f t="shared" ref="W7:W15" si="2">J7</f>
        <v>0</v>
      </c>
      <c r="X7" s="1611"/>
      <c r="Y7" s="3604" t="s">
        <v>2019</v>
      </c>
      <c r="Z7" s="3605"/>
      <c r="AA7" s="1612" t="e">
        <f>D7/F7</f>
        <v>#DIV/0!</v>
      </c>
      <c r="AB7" s="1612" t="e">
        <f>D7/H7</f>
        <v>#DIV/0!</v>
      </c>
      <c r="AC7" s="1612" t="e">
        <f>D7/J7</f>
        <v>#DIV/0!</v>
      </c>
    </row>
    <row r="8" spans="1:29" s="1613" customFormat="1" ht="15.75" thickBot="1">
      <c r="A8" s="1601" t="s">
        <v>2020</v>
      </c>
      <c r="B8" s="1602"/>
      <c r="C8" s="1614" t="s">
        <v>2021</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2022</v>
      </c>
      <c r="Q8" s="3605"/>
      <c r="R8" s="1609" t="s">
        <v>25</v>
      </c>
      <c r="S8" s="1610">
        <f t="shared" si="0"/>
        <v>0</v>
      </c>
      <c r="T8" s="1609" t="s">
        <v>25</v>
      </c>
      <c r="U8" s="1610">
        <f t="shared" si="1"/>
        <v>0</v>
      </c>
      <c r="V8" s="1609" t="s">
        <v>25</v>
      </c>
      <c r="W8" s="1610">
        <f t="shared" si="2"/>
        <v>0</v>
      </c>
      <c r="X8" s="1611"/>
      <c r="Y8" s="3604" t="s">
        <v>2022</v>
      </c>
      <c r="Z8" s="3605"/>
      <c r="AA8" s="1612" t="e">
        <f t="shared" ref="AA8:AA47" si="3">D8/F8</f>
        <v>#DIV/0!</v>
      </c>
      <c r="AB8" s="1612" t="e">
        <f t="shared" ref="AB8:AB47" si="4">D8/H8</f>
        <v>#DIV/0!</v>
      </c>
      <c r="AC8" s="1612" t="e">
        <f t="shared" ref="AC8:AC47" si="5">D8/J8</f>
        <v>#DIV/0!</v>
      </c>
    </row>
    <row r="9" spans="1:29" s="1613" customFormat="1">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2025</v>
      </c>
      <c r="Q9" s="2833" t="str">
        <f t="shared" ref="Q9:Q15" si="6">B9</f>
        <v>用途</v>
      </c>
      <c r="R9" s="1609" t="s">
        <v>25</v>
      </c>
      <c r="S9" s="1610">
        <f t="shared" si="0"/>
        <v>100</v>
      </c>
      <c r="T9" s="1609" t="s">
        <v>25</v>
      </c>
      <c r="U9" s="1610">
        <f t="shared" si="1"/>
        <v>100</v>
      </c>
      <c r="V9" s="1609" t="s">
        <v>25</v>
      </c>
      <c r="W9" s="1610">
        <f t="shared" si="2"/>
        <v>100</v>
      </c>
      <c r="X9" s="1611"/>
      <c r="Y9" s="3450"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2030</v>
      </c>
      <c r="Q15" s="2834" t="str">
        <f t="shared" si="6"/>
        <v>办公集聚程度</v>
      </c>
      <c r="R15" s="1654" t="s">
        <v>25</v>
      </c>
      <c r="S15" s="1655">
        <f t="shared" si="0"/>
        <v>100</v>
      </c>
      <c r="T15" s="1654" t="s">
        <v>25</v>
      </c>
      <c r="U15" s="1655">
        <f t="shared" si="1"/>
        <v>100</v>
      </c>
      <c r="V15" s="1654" t="s">
        <v>25</v>
      </c>
      <c r="W15" s="1655">
        <f t="shared" si="2"/>
        <v>100</v>
      </c>
      <c r="X15" s="2003"/>
      <c r="Y15" s="3593" t="s">
        <v>2030</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2036</v>
      </c>
      <c r="Q33" s="2834" t="str">
        <f t="shared" si="11"/>
        <v>建筑类型</v>
      </c>
      <c r="R33" s="1654" t="s">
        <v>25</v>
      </c>
      <c r="S33" s="1655">
        <f t="shared" si="12"/>
        <v>100</v>
      </c>
      <c r="T33" s="1654" t="s">
        <v>25</v>
      </c>
      <c r="U33" s="1655">
        <f t="shared" si="13"/>
        <v>100</v>
      </c>
      <c r="V33" s="1654" t="s">
        <v>25</v>
      </c>
      <c r="W33" s="1655">
        <f t="shared" si="14"/>
        <v>100</v>
      </c>
      <c r="X33" s="2003"/>
      <c r="Y33" s="3598"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2036</v>
      </c>
      <c r="Q39" s="2834" t="str">
        <f t="shared" si="11"/>
        <v>物业管理</v>
      </c>
      <c r="R39" s="1654" t="s">
        <v>25</v>
      </c>
      <c r="S39" s="1655">
        <f t="shared" si="12"/>
        <v>100</v>
      </c>
      <c r="T39" s="1654" t="s">
        <v>25</v>
      </c>
      <c r="U39" s="1655">
        <f t="shared" si="13"/>
        <v>100</v>
      </c>
      <c r="V39" s="1654" t="s">
        <v>25</v>
      </c>
      <c r="W39" s="1655">
        <f t="shared" si="14"/>
        <v>100</v>
      </c>
      <c r="X39" s="2003"/>
      <c r="Y39" s="3598"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2048</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2131</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2018</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2024</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2028</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2034</v>
      </c>
      <c r="B101" s="1776" t="s">
        <v>2083</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2085</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2087</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2089</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2090</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2159</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177.57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6" t="s">
        <v>2006</v>
      </c>
      <c r="D4" s="3657"/>
      <c r="E4" s="3658" t="s">
        <v>2007</v>
      </c>
      <c r="F4" s="3659"/>
      <c r="G4" s="3656" t="s">
        <v>2008</v>
      </c>
      <c r="H4" s="3657"/>
      <c r="I4" s="3656" t="s">
        <v>2009</v>
      </c>
      <c r="J4" s="3657"/>
      <c r="K4" s="496" t="s">
        <v>2010</v>
      </c>
      <c r="L4" s="2943"/>
      <c r="M4" s="2944"/>
      <c r="N4" s="2944"/>
      <c r="O4" s="2944"/>
      <c r="P4" s="3660" t="s">
        <v>2011</v>
      </c>
      <c r="Q4" s="3661"/>
      <c r="R4" s="3643" t="s">
        <v>2007</v>
      </c>
      <c r="S4" s="3644"/>
      <c r="T4" s="3643" t="s">
        <v>2008</v>
      </c>
      <c r="U4" s="3644"/>
      <c r="V4" s="3666" t="s">
        <v>2009</v>
      </c>
      <c r="W4" s="3666"/>
      <c r="X4" s="1263"/>
      <c r="Y4" s="3643" t="s">
        <v>2011</v>
      </c>
      <c r="Z4" s="3644"/>
      <c r="AA4" s="3653" t="s">
        <v>2007</v>
      </c>
      <c r="AB4" s="3654" t="s">
        <v>2008</v>
      </c>
      <c r="AC4" s="3653" t="s">
        <v>2009</v>
      </c>
    </row>
    <row r="5" spans="1:29" ht="15">
      <c r="A5" s="297"/>
      <c r="B5" s="298"/>
      <c r="C5" s="3669" t="s">
        <v>2012</v>
      </c>
      <c r="D5" s="3670"/>
      <c r="E5" s="3667" t="s">
        <v>2013</v>
      </c>
      <c r="F5" s="3668"/>
      <c r="G5" s="3669" t="s">
        <v>2014</v>
      </c>
      <c r="H5" s="3670"/>
      <c r="I5" s="3669" t="s">
        <v>2015</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2016</v>
      </c>
      <c r="D6" s="3672"/>
      <c r="E6" s="3673" t="s">
        <v>2016</v>
      </c>
      <c r="F6" s="3674"/>
      <c r="G6" s="3671" t="s">
        <v>2016</v>
      </c>
      <c r="H6" s="3672"/>
      <c r="I6" s="3671" t="s">
        <v>2016</v>
      </c>
      <c r="J6" s="3672"/>
      <c r="K6" s="496" t="s">
        <v>2017</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2018</v>
      </c>
      <c r="B7" s="302"/>
      <c r="C7" s="303">
        <f>'数据-取费表'!B2</f>
        <v>44802</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2019</v>
      </c>
      <c r="Q7" s="3649"/>
      <c r="R7" s="627" t="s">
        <v>25</v>
      </c>
      <c r="S7" s="628">
        <f t="shared" ref="S7:S15" si="0">F7</f>
        <v>0</v>
      </c>
      <c r="T7" s="627" t="s">
        <v>25</v>
      </c>
      <c r="U7" s="628">
        <f t="shared" ref="U7:U15" si="1">H7</f>
        <v>0</v>
      </c>
      <c r="V7" s="627" t="s">
        <v>25</v>
      </c>
      <c r="W7" s="628">
        <f t="shared" ref="W7:W15" si="2">J7</f>
        <v>0</v>
      </c>
      <c r="X7" s="629"/>
      <c r="Y7" s="3641" t="s">
        <v>2019</v>
      </c>
      <c r="Z7" s="3642"/>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2022</v>
      </c>
      <c r="Q8" s="3642"/>
      <c r="R8" s="627" t="s">
        <v>25</v>
      </c>
      <c r="S8" s="628">
        <f t="shared" si="0"/>
        <v>0</v>
      </c>
      <c r="T8" s="627" t="s">
        <v>25</v>
      </c>
      <c r="U8" s="628">
        <f t="shared" si="1"/>
        <v>0</v>
      </c>
      <c r="V8" s="627" t="s">
        <v>25</v>
      </c>
      <c r="W8" s="628">
        <f t="shared" si="2"/>
        <v>0</v>
      </c>
      <c r="X8" s="629"/>
      <c r="Y8" s="3641" t="s">
        <v>2022</v>
      </c>
      <c r="Z8" s="3642"/>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2025</v>
      </c>
      <c r="Q9" s="1255" t="str">
        <f t="shared" ref="Q9:Q15" si="6">B9</f>
        <v>用途</v>
      </c>
      <c r="R9" s="627" t="s">
        <v>25</v>
      </c>
      <c r="S9" s="628">
        <f t="shared" si="0"/>
        <v>100</v>
      </c>
      <c r="T9" s="627" t="s">
        <v>25</v>
      </c>
      <c r="U9" s="628">
        <f t="shared" si="1"/>
        <v>100</v>
      </c>
      <c r="V9" s="627" t="s">
        <v>25</v>
      </c>
      <c r="W9" s="628">
        <f t="shared" si="2"/>
        <v>100</v>
      </c>
      <c r="X9" s="629"/>
      <c r="Y9" s="3652"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2030</v>
      </c>
      <c r="Q15" s="1262" t="str">
        <f t="shared" si="6"/>
        <v>产业集聚程度</v>
      </c>
      <c r="R15" s="631" t="s">
        <v>25</v>
      </c>
      <c r="S15" s="632">
        <f t="shared" si="0"/>
        <v>100</v>
      </c>
      <c r="T15" s="631" t="s">
        <v>25</v>
      </c>
      <c r="U15" s="632">
        <f t="shared" si="1"/>
        <v>100</v>
      </c>
      <c r="V15" s="631" t="s">
        <v>25</v>
      </c>
      <c r="W15" s="632">
        <f t="shared" si="2"/>
        <v>100</v>
      </c>
      <c r="X15" s="1263"/>
      <c r="Y15" s="3650"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2036</v>
      </c>
      <c r="Q29" s="1262" t="str">
        <f t="shared" si="11"/>
        <v>建筑类型</v>
      </c>
      <c r="R29" s="631" t="s">
        <v>25</v>
      </c>
      <c r="S29" s="632">
        <f t="shared" si="12"/>
        <v>100</v>
      </c>
      <c r="T29" s="631" t="s">
        <v>25</v>
      </c>
      <c r="U29" s="632">
        <f t="shared" si="13"/>
        <v>100</v>
      </c>
      <c r="V29" s="631" t="s">
        <v>25</v>
      </c>
      <c r="W29" s="632">
        <f t="shared" si="14"/>
        <v>100</v>
      </c>
      <c r="X29" s="1263"/>
      <c r="Y29" s="3639"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2036</v>
      </c>
      <c r="Q35" s="1262" t="str">
        <f t="shared" si="11"/>
        <v>市政基础设施</v>
      </c>
      <c r="R35" s="631" t="s">
        <v>25</v>
      </c>
      <c r="S35" s="632">
        <f t="shared" si="12"/>
        <v>100</v>
      </c>
      <c r="T35" s="631" t="s">
        <v>25</v>
      </c>
      <c r="U35" s="632">
        <f t="shared" si="13"/>
        <v>100</v>
      </c>
      <c r="V35" s="631" t="s">
        <v>25</v>
      </c>
      <c r="W35" s="632">
        <f t="shared" si="14"/>
        <v>100</v>
      </c>
      <c r="X35" s="1263"/>
      <c r="Y35" s="3639"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2018</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177.57</v>
      </c>
      <c r="E3" s="797" t="s">
        <v>2166</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6" t="s">
        <v>2006</v>
      </c>
      <c r="D4" s="3657"/>
      <c r="E4" s="3658" t="s">
        <v>2007</v>
      </c>
      <c r="F4" s="3659"/>
      <c r="G4" s="3656" t="s">
        <v>2008</v>
      </c>
      <c r="H4" s="3657"/>
      <c r="I4" s="3656" t="s">
        <v>2009</v>
      </c>
      <c r="J4" s="3657"/>
      <c r="K4" s="496" t="s">
        <v>2010</v>
      </c>
      <c r="L4" s="2943"/>
      <c r="M4" s="2944"/>
      <c r="N4" s="2944"/>
      <c r="O4" s="2944"/>
      <c r="P4" s="3660" t="s">
        <v>2011</v>
      </c>
      <c r="Q4" s="3661"/>
      <c r="R4" s="3643" t="s">
        <v>2007</v>
      </c>
      <c r="S4" s="3644"/>
      <c r="T4" s="3643" t="s">
        <v>2008</v>
      </c>
      <c r="U4" s="3644"/>
      <c r="V4" s="3666" t="s">
        <v>2009</v>
      </c>
      <c r="W4" s="3666"/>
      <c r="X4" s="1263"/>
      <c r="Y4" s="3643" t="s">
        <v>2011</v>
      </c>
      <c r="Z4" s="3644"/>
      <c r="AA4" s="3653" t="s">
        <v>2007</v>
      </c>
      <c r="AB4" s="3654" t="s">
        <v>2008</v>
      </c>
      <c r="AC4" s="3653" t="s">
        <v>2009</v>
      </c>
    </row>
    <row r="5" spans="1:29" ht="15">
      <c r="A5" s="297"/>
      <c r="B5" s="298"/>
      <c r="C5" s="3669" t="s">
        <v>2012</v>
      </c>
      <c r="D5" s="3670"/>
      <c r="E5" s="3667" t="s">
        <v>2013</v>
      </c>
      <c r="F5" s="3668"/>
      <c r="G5" s="3669" t="s">
        <v>2014</v>
      </c>
      <c r="H5" s="3670"/>
      <c r="I5" s="3669" t="s">
        <v>2015</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2016</v>
      </c>
      <c r="D6" s="3672"/>
      <c r="E6" s="3673" t="s">
        <v>2016</v>
      </c>
      <c r="F6" s="3674"/>
      <c r="G6" s="3671" t="s">
        <v>2016</v>
      </c>
      <c r="H6" s="3672"/>
      <c r="I6" s="3671" t="s">
        <v>2016</v>
      </c>
      <c r="J6" s="3672"/>
      <c r="K6" s="496" t="s">
        <v>2017</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2018</v>
      </c>
      <c r="B7" s="302"/>
      <c r="C7" s="303">
        <f>'数据-取费表'!B2</f>
        <v>44802</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2019</v>
      </c>
      <c r="Q7" s="3649"/>
      <c r="R7" s="627" t="s">
        <v>25</v>
      </c>
      <c r="S7" s="628">
        <f t="shared" ref="S7:S14" si="0">F7</f>
        <v>0</v>
      </c>
      <c r="T7" s="627" t="s">
        <v>25</v>
      </c>
      <c r="U7" s="628">
        <f t="shared" ref="U7:U14" si="1">H7</f>
        <v>0</v>
      </c>
      <c r="V7" s="627" t="s">
        <v>25</v>
      </c>
      <c r="W7" s="628">
        <f t="shared" ref="W7:W14" si="2">J7</f>
        <v>0</v>
      </c>
      <c r="X7" s="629"/>
      <c r="Y7" s="3641" t="s">
        <v>2019</v>
      </c>
      <c r="Z7" s="3642"/>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2022</v>
      </c>
      <c r="Q8" s="3642"/>
      <c r="R8" s="627" t="s">
        <v>25</v>
      </c>
      <c r="S8" s="628">
        <f t="shared" si="0"/>
        <v>0</v>
      </c>
      <c r="T8" s="627" t="s">
        <v>25</v>
      </c>
      <c r="U8" s="628">
        <f t="shared" si="1"/>
        <v>0</v>
      </c>
      <c r="V8" s="627" t="s">
        <v>25</v>
      </c>
      <c r="W8" s="628">
        <f t="shared" si="2"/>
        <v>0</v>
      </c>
      <c r="X8" s="629"/>
      <c r="Y8" s="3641" t="s">
        <v>2022</v>
      </c>
      <c r="Z8" s="3642"/>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2025</v>
      </c>
      <c r="Q9" s="1255" t="str">
        <f t="shared" ref="Q9:Q14" si="6">B9</f>
        <v>用途</v>
      </c>
      <c r="R9" s="627" t="s">
        <v>25</v>
      </c>
      <c r="S9" s="628">
        <f t="shared" si="0"/>
        <v>100</v>
      </c>
      <c r="T9" s="627" t="s">
        <v>25</v>
      </c>
      <c r="U9" s="628">
        <f t="shared" si="1"/>
        <v>100</v>
      </c>
      <c r="V9" s="627" t="s">
        <v>25</v>
      </c>
      <c r="W9" s="628">
        <f t="shared" si="2"/>
        <v>100</v>
      </c>
      <c r="X9" s="629"/>
      <c r="Y9" s="3652"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2030</v>
      </c>
      <c r="Q14" s="1262" t="str">
        <f t="shared" si="6"/>
        <v>交通便捷度</v>
      </c>
      <c r="R14" s="631" t="s">
        <v>25</v>
      </c>
      <c r="S14" s="632">
        <f t="shared" si="0"/>
        <v>100</v>
      </c>
      <c r="T14" s="631" t="s">
        <v>25</v>
      </c>
      <c r="U14" s="632">
        <f t="shared" si="1"/>
        <v>100</v>
      </c>
      <c r="V14" s="631" t="s">
        <v>25</v>
      </c>
      <c r="W14" s="632">
        <f t="shared" si="2"/>
        <v>100</v>
      </c>
      <c r="X14" s="1263"/>
      <c r="Y14" s="3650"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2036</v>
      </c>
      <c r="Q32" s="1262" t="str">
        <f t="shared" si="11"/>
        <v>车位类型</v>
      </c>
      <c r="R32" s="631" t="s">
        <v>25</v>
      </c>
      <c r="S32" s="632">
        <f t="shared" si="12"/>
        <v>100</v>
      </c>
      <c r="T32" s="631" t="s">
        <v>25</v>
      </c>
      <c r="U32" s="632">
        <f t="shared" si="13"/>
        <v>100</v>
      </c>
      <c r="V32" s="631" t="s">
        <v>25</v>
      </c>
      <c r="W32" s="632">
        <f t="shared" si="14"/>
        <v>100</v>
      </c>
      <c r="X32" s="1263"/>
      <c r="Y32" s="3639"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177.57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6" t="s">
        <v>2006</v>
      </c>
      <c r="D4" s="3657"/>
      <c r="E4" s="3658" t="s">
        <v>2007</v>
      </c>
      <c r="F4" s="3659"/>
      <c r="G4" s="3656" t="s">
        <v>2008</v>
      </c>
      <c r="H4" s="3657"/>
      <c r="I4" s="3656" t="s">
        <v>2009</v>
      </c>
      <c r="J4" s="3657"/>
      <c r="K4" s="496" t="s">
        <v>2010</v>
      </c>
      <c r="L4" s="2943"/>
      <c r="M4" s="2944"/>
      <c r="N4" s="2944"/>
      <c r="O4" s="2944"/>
      <c r="P4" s="3660" t="s">
        <v>2011</v>
      </c>
      <c r="Q4" s="3661"/>
      <c r="R4" s="3643" t="s">
        <v>2007</v>
      </c>
      <c r="S4" s="3644"/>
      <c r="T4" s="3643" t="s">
        <v>2008</v>
      </c>
      <c r="U4" s="3644"/>
      <c r="V4" s="3666" t="s">
        <v>2009</v>
      </c>
      <c r="W4" s="3666"/>
      <c r="X4" s="1263"/>
      <c r="Y4" s="3643" t="s">
        <v>2011</v>
      </c>
      <c r="Z4" s="3644"/>
      <c r="AA4" s="3653" t="s">
        <v>2007</v>
      </c>
      <c r="AB4" s="3654" t="s">
        <v>2008</v>
      </c>
      <c r="AC4" s="3653" t="s">
        <v>2009</v>
      </c>
    </row>
    <row r="5" spans="1:29" ht="15">
      <c r="A5" s="297"/>
      <c r="B5" s="298"/>
      <c r="C5" s="3669" t="s">
        <v>2012</v>
      </c>
      <c r="D5" s="3670"/>
      <c r="E5" s="3667" t="s">
        <v>2013</v>
      </c>
      <c r="F5" s="3668"/>
      <c r="G5" s="3669" t="s">
        <v>2014</v>
      </c>
      <c r="H5" s="3670"/>
      <c r="I5" s="3669" t="s">
        <v>2015</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2016</v>
      </c>
      <c r="D6" s="3672"/>
      <c r="E6" s="3673" t="s">
        <v>2016</v>
      </c>
      <c r="F6" s="3674"/>
      <c r="G6" s="3671" t="s">
        <v>2016</v>
      </c>
      <c r="H6" s="3672"/>
      <c r="I6" s="3671" t="s">
        <v>2016</v>
      </c>
      <c r="J6" s="3672"/>
      <c r="K6" s="496" t="s">
        <v>2017</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2018</v>
      </c>
      <c r="B7" s="302"/>
      <c r="C7" s="303">
        <f>'数据-取费表'!B2</f>
        <v>44802</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2019</v>
      </c>
      <c r="Q7" s="3649"/>
      <c r="R7" s="627" t="s">
        <v>25</v>
      </c>
      <c r="S7" s="628">
        <f t="shared" ref="S7:S14" si="0">F7</f>
        <v>0</v>
      </c>
      <c r="T7" s="627" t="s">
        <v>25</v>
      </c>
      <c r="U7" s="628">
        <f t="shared" ref="U7:U14" si="1">H7</f>
        <v>0</v>
      </c>
      <c r="V7" s="627" t="s">
        <v>25</v>
      </c>
      <c r="W7" s="628">
        <f t="shared" ref="W7:W14" si="2">J7</f>
        <v>0</v>
      </c>
      <c r="X7" s="629"/>
      <c r="Y7" s="3641" t="s">
        <v>2019</v>
      </c>
      <c r="Z7" s="3642"/>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2022</v>
      </c>
      <c r="Q8" s="3642"/>
      <c r="R8" s="627" t="s">
        <v>25</v>
      </c>
      <c r="S8" s="628">
        <f t="shared" si="0"/>
        <v>0</v>
      </c>
      <c r="T8" s="627" t="s">
        <v>25</v>
      </c>
      <c r="U8" s="628">
        <f t="shared" si="1"/>
        <v>0</v>
      </c>
      <c r="V8" s="627" t="s">
        <v>25</v>
      </c>
      <c r="W8" s="628">
        <f t="shared" si="2"/>
        <v>0</v>
      </c>
      <c r="X8" s="629"/>
      <c r="Y8" s="3641" t="s">
        <v>2022</v>
      </c>
      <c r="Z8" s="3642"/>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2025</v>
      </c>
      <c r="Q9" s="1255" t="str">
        <f t="shared" ref="Q9:Q14" si="6">B9</f>
        <v>用途</v>
      </c>
      <c r="R9" s="627" t="s">
        <v>25</v>
      </c>
      <c r="S9" s="628">
        <f t="shared" si="0"/>
        <v>100</v>
      </c>
      <c r="T9" s="627" t="s">
        <v>25</v>
      </c>
      <c r="U9" s="628">
        <f t="shared" si="1"/>
        <v>100</v>
      </c>
      <c r="V9" s="627" t="s">
        <v>25</v>
      </c>
      <c r="W9" s="628">
        <f t="shared" si="2"/>
        <v>100</v>
      </c>
      <c r="X9" s="629"/>
      <c r="Y9" s="3652"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2030</v>
      </c>
      <c r="Q14" s="1262" t="str">
        <f t="shared" si="6"/>
        <v>交通便捷度</v>
      </c>
      <c r="R14" s="631" t="s">
        <v>25</v>
      </c>
      <c r="S14" s="632">
        <f t="shared" si="0"/>
        <v>100</v>
      </c>
      <c r="T14" s="631" t="s">
        <v>25</v>
      </c>
      <c r="U14" s="632">
        <f t="shared" si="1"/>
        <v>100</v>
      </c>
      <c r="V14" s="631" t="s">
        <v>25</v>
      </c>
      <c r="W14" s="632">
        <f t="shared" si="2"/>
        <v>100</v>
      </c>
      <c r="X14" s="1263"/>
      <c r="Y14" s="3650"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2036</v>
      </c>
      <c r="Q32" s="1262">
        <f t="shared" si="11"/>
        <v>111</v>
      </c>
      <c r="R32" s="631" t="s">
        <v>25</v>
      </c>
      <c r="S32" s="632">
        <f t="shared" si="12"/>
        <v>100</v>
      </c>
      <c r="T32" s="631" t="s">
        <v>25</v>
      </c>
      <c r="U32" s="632">
        <f t="shared" si="13"/>
        <v>100</v>
      </c>
      <c r="V32" s="631" t="s">
        <v>25</v>
      </c>
      <c r="W32" s="632">
        <f t="shared" si="14"/>
        <v>100</v>
      </c>
      <c r="X32" s="1263"/>
      <c r="Y32" s="3639"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2018</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2005</v>
      </c>
      <c r="B4" s="1592"/>
      <c r="C4" s="3617" t="s">
        <v>2006</v>
      </c>
      <c r="D4" s="3618"/>
      <c r="E4" s="3619" t="s">
        <v>2007</v>
      </c>
      <c r="F4" s="3620"/>
      <c r="G4" s="3617" t="s">
        <v>2008</v>
      </c>
      <c r="H4" s="3618"/>
      <c r="I4" s="3617" t="s">
        <v>2009</v>
      </c>
      <c r="J4" s="3618"/>
      <c r="K4" s="1894" t="s">
        <v>2010</v>
      </c>
      <c r="L4" s="2915"/>
      <c r="M4" s="2916"/>
      <c r="N4" s="2916"/>
      <c r="O4" s="2916"/>
      <c r="P4" s="3621" t="s">
        <v>2011</v>
      </c>
      <c r="Q4" s="3622"/>
      <c r="R4" s="3606" t="s">
        <v>2007</v>
      </c>
      <c r="S4" s="3607"/>
      <c r="T4" s="3606" t="s">
        <v>2008</v>
      </c>
      <c r="U4" s="3607"/>
      <c r="V4" s="3627" t="s">
        <v>2009</v>
      </c>
      <c r="W4" s="3627"/>
      <c r="X4" s="1594"/>
      <c r="Y4" s="3606" t="s">
        <v>2011</v>
      </c>
      <c r="Z4" s="3607"/>
      <c r="AA4" s="3614" t="s">
        <v>2007</v>
      </c>
      <c r="AB4" s="3615" t="s">
        <v>2008</v>
      </c>
      <c r="AC4" s="3614" t="s">
        <v>2009</v>
      </c>
    </row>
    <row r="5" spans="1:30" ht="15">
      <c r="A5" s="1596"/>
      <c r="B5" s="1597"/>
      <c r="C5" s="3602" t="s">
        <v>2012</v>
      </c>
      <c r="D5" s="3603"/>
      <c r="E5" s="3628" t="s">
        <v>2013</v>
      </c>
      <c r="F5" s="3629"/>
      <c r="G5" s="3602" t="s">
        <v>2014</v>
      </c>
      <c r="H5" s="3603"/>
      <c r="I5" s="3602" t="s">
        <v>2015</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2016</v>
      </c>
      <c r="D6" s="3601"/>
      <c r="E6" s="3630" t="s">
        <v>2016</v>
      </c>
      <c r="F6" s="3631"/>
      <c r="G6" s="3600" t="s">
        <v>2016</v>
      </c>
      <c r="H6" s="3601"/>
      <c r="I6" s="3600" t="s">
        <v>2016</v>
      </c>
      <c r="J6" s="3601"/>
      <c r="K6" s="1894" t="s">
        <v>2017</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2018</v>
      </c>
      <c r="B7" s="1602"/>
      <c r="C7" s="1603">
        <f>'数据-取费表'!B2</f>
        <v>44802</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2019</v>
      </c>
      <c r="Q7" s="3612"/>
      <c r="R7" s="1609" t="s">
        <v>25</v>
      </c>
      <c r="S7" s="1610">
        <f t="shared" ref="S7:S15" si="0">F7</f>
        <v>0</v>
      </c>
      <c r="T7" s="1609" t="s">
        <v>25</v>
      </c>
      <c r="U7" s="1610">
        <f t="shared" ref="U7:U15" si="1">H7</f>
        <v>0</v>
      </c>
      <c r="V7" s="1609" t="s">
        <v>25</v>
      </c>
      <c r="W7" s="1610">
        <f t="shared" ref="W7:W15" si="2">J7</f>
        <v>0</v>
      </c>
      <c r="X7" s="1611"/>
      <c r="Y7" s="3604" t="s">
        <v>2019</v>
      </c>
      <c r="Z7" s="3605"/>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2022</v>
      </c>
      <c r="Q8" s="3605"/>
      <c r="R8" s="1609" t="s">
        <v>25</v>
      </c>
      <c r="S8" s="1610">
        <f t="shared" si="0"/>
        <v>0</v>
      </c>
      <c r="T8" s="1609" t="s">
        <v>25</v>
      </c>
      <c r="U8" s="1610">
        <f t="shared" si="1"/>
        <v>0</v>
      </c>
      <c r="V8" s="1609" t="s">
        <v>25</v>
      </c>
      <c r="W8" s="1610">
        <f t="shared" si="2"/>
        <v>0</v>
      </c>
      <c r="X8" s="1611"/>
      <c r="Y8" s="3604" t="s">
        <v>2022</v>
      </c>
      <c r="Z8" s="3605"/>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2025</v>
      </c>
      <c r="Q9" s="1563" t="str">
        <f t="shared" ref="Q9:Q15" si="6">B9</f>
        <v>用途</v>
      </c>
      <c r="R9" s="1609" t="s">
        <v>25</v>
      </c>
      <c r="S9" s="1610">
        <f t="shared" si="0"/>
        <v>100</v>
      </c>
      <c r="T9" s="1609" t="s">
        <v>25</v>
      </c>
      <c r="U9" s="1610">
        <f t="shared" si="1"/>
        <v>100</v>
      </c>
      <c r="V9" s="1609" t="s">
        <v>25</v>
      </c>
      <c r="W9" s="1610">
        <f t="shared" si="2"/>
        <v>100</v>
      </c>
      <c r="X9" s="1611"/>
      <c r="Y9" s="3450"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118</v>
      </c>
      <c r="G10" s="1686"/>
      <c r="H10" s="1626">
        <f>ROUND(100/'数据-取费表'!B14,0)</f>
        <v>118</v>
      </c>
      <c r="I10" s="1686"/>
      <c r="J10" s="1626">
        <f>ROUND(100/'数据-取费表'!B14,0)</f>
        <v>118</v>
      </c>
      <c r="K10" s="1898"/>
      <c r="L10" s="2917"/>
      <c r="M10" s="2918"/>
      <c r="N10" s="2918"/>
      <c r="O10" s="2963"/>
      <c r="P10" s="3590"/>
      <c r="Q10" s="1563" t="str">
        <f t="shared" si="6"/>
        <v>土地使用年限（年）</v>
      </c>
      <c r="R10" s="1609" t="s">
        <v>25</v>
      </c>
      <c r="S10" s="1610">
        <f t="shared" si="0"/>
        <v>118</v>
      </c>
      <c r="T10" s="1609" t="s">
        <v>25</v>
      </c>
      <c r="U10" s="1610">
        <f t="shared" si="1"/>
        <v>118</v>
      </c>
      <c r="V10" s="1609" t="s">
        <v>25</v>
      </c>
      <c r="W10" s="1610">
        <f t="shared" si="2"/>
        <v>118</v>
      </c>
      <c r="X10" s="1611"/>
      <c r="Y10" s="3450"/>
      <c r="Z10" s="1622" t="str">
        <f t="shared" si="7"/>
        <v>土地使用年限（年）</v>
      </c>
      <c r="AA10" s="1612">
        <f t="shared" si="3"/>
        <v>0.84745762711864403</v>
      </c>
      <c r="AB10" s="1612">
        <f t="shared" si="4"/>
        <v>0.84745762711864403</v>
      </c>
      <c r="AC10" s="1612">
        <f t="shared" si="5"/>
        <v>0.84745762711864403</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2030</v>
      </c>
      <c r="Q15" s="1544" t="str">
        <f t="shared" si="6"/>
        <v>居住社区成熟度</v>
      </c>
      <c r="R15" s="1654" t="s">
        <v>25</v>
      </c>
      <c r="S15" s="1655">
        <f t="shared" si="0"/>
        <v>100</v>
      </c>
      <c r="T15" s="1654" t="s">
        <v>25</v>
      </c>
      <c r="U15" s="1655">
        <f t="shared" si="1"/>
        <v>100</v>
      </c>
      <c r="V15" s="1654" t="s">
        <v>25</v>
      </c>
      <c r="W15" s="1655">
        <f t="shared" si="2"/>
        <v>100</v>
      </c>
      <c r="X15" s="1594"/>
      <c r="Y15" s="3593"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2036</v>
      </c>
      <c r="Q36" s="1544">
        <f t="shared" si="8"/>
        <v>111</v>
      </c>
      <c r="R36" s="1654" t="s">
        <v>25</v>
      </c>
      <c r="S36" s="1655">
        <f t="shared" si="10"/>
        <v>100</v>
      </c>
      <c r="T36" s="1654" t="s">
        <v>25</v>
      </c>
      <c r="U36" s="1655">
        <f t="shared" si="11"/>
        <v>100</v>
      </c>
      <c r="V36" s="1654" t="s">
        <v>25</v>
      </c>
      <c r="W36" s="1655">
        <f t="shared" si="12"/>
        <v>100</v>
      </c>
      <c r="X36" s="1594"/>
      <c r="Y36" s="3598"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2036</v>
      </c>
      <c r="Q42" s="1544" t="str">
        <f t="shared" si="14"/>
        <v>工程地质条件</v>
      </c>
      <c r="R42" s="1654" t="s">
        <v>25</v>
      </c>
      <c r="S42" s="1655">
        <f t="shared" si="10"/>
        <v>100</v>
      </c>
      <c r="T42" s="1654" t="s">
        <v>25</v>
      </c>
      <c r="U42" s="1655">
        <f t="shared" si="11"/>
        <v>100</v>
      </c>
      <c r="V42" s="1654" t="s">
        <v>25</v>
      </c>
      <c r="W42" s="1655">
        <f t="shared" si="12"/>
        <v>100</v>
      </c>
      <c r="X42" s="1594"/>
      <c r="Y42" s="3598"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2024</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2027</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6" t="s">
        <v>2006</v>
      </c>
      <c r="D4" s="3657"/>
      <c r="E4" s="3658" t="s">
        <v>2007</v>
      </c>
      <c r="F4" s="3659"/>
      <c r="G4" s="3656" t="s">
        <v>2008</v>
      </c>
      <c r="H4" s="3657"/>
      <c r="I4" s="3656" t="s">
        <v>2009</v>
      </c>
      <c r="J4" s="3657"/>
      <c r="K4" s="496" t="s">
        <v>2010</v>
      </c>
      <c r="L4" s="2943"/>
      <c r="M4" s="2944"/>
      <c r="N4" s="2944"/>
      <c r="O4" s="2944"/>
      <c r="P4" s="3660" t="s">
        <v>2011</v>
      </c>
      <c r="Q4" s="3661"/>
      <c r="R4" s="3643" t="s">
        <v>2007</v>
      </c>
      <c r="S4" s="3644"/>
      <c r="T4" s="3643" t="s">
        <v>2008</v>
      </c>
      <c r="U4" s="3644"/>
      <c r="V4" s="3666" t="s">
        <v>2009</v>
      </c>
      <c r="W4" s="3666"/>
      <c r="X4" s="1263"/>
      <c r="Y4" s="3643" t="s">
        <v>2011</v>
      </c>
      <c r="Z4" s="3644"/>
      <c r="AA4" s="3653" t="s">
        <v>2007</v>
      </c>
      <c r="AB4" s="3654" t="s">
        <v>2008</v>
      </c>
      <c r="AC4" s="3653" t="s">
        <v>2009</v>
      </c>
    </row>
    <row r="5" spans="1:29" ht="15">
      <c r="A5" s="297"/>
      <c r="B5" s="298"/>
      <c r="C5" s="3669" t="s">
        <v>2012</v>
      </c>
      <c r="D5" s="3670"/>
      <c r="E5" s="3667" t="s">
        <v>2013</v>
      </c>
      <c r="F5" s="3668"/>
      <c r="G5" s="3669" t="s">
        <v>2014</v>
      </c>
      <c r="H5" s="3670"/>
      <c r="I5" s="3669" t="s">
        <v>2015</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2016</v>
      </c>
      <c r="D6" s="3672"/>
      <c r="E6" s="3673" t="s">
        <v>2016</v>
      </c>
      <c r="F6" s="3674"/>
      <c r="G6" s="3671" t="s">
        <v>2016</v>
      </c>
      <c r="H6" s="3672"/>
      <c r="I6" s="3671" t="s">
        <v>2016</v>
      </c>
      <c r="J6" s="3672"/>
      <c r="K6" s="496" t="s">
        <v>2017</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2018</v>
      </c>
      <c r="B7" s="302"/>
      <c r="C7" s="303">
        <f>'数据-取费表'!B2</f>
        <v>44802</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2019</v>
      </c>
      <c r="Q7" s="3649"/>
      <c r="R7" s="627" t="s">
        <v>25</v>
      </c>
      <c r="S7" s="628">
        <f t="shared" ref="S7:S15" si="0">F7</f>
        <v>0</v>
      </c>
      <c r="T7" s="627" t="s">
        <v>25</v>
      </c>
      <c r="U7" s="628">
        <f t="shared" ref="U7:U15" si="1">H7</f>
        <v>0</v>
      </c>
      <c r="V7" s="627" t="s">
        <v>25</v>
      </c>
      <c r="W7" s="628">
        <f t="shared" ref="W7:W15" si="2">J7</f>
        <v>0</v>
      </c>
      <c r="X7" s="629"/>
      <c r="Y7" s="3641" t="s">
        <v>2019</v>
      </c>
      <c r="Z7" s="3642"/>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2022</v>
      </c>
      <c r="Q8" s="3642"/>
      <c r="R8" s="627" t="s">
        <v>25</v>
      </c>
      <c r="S8" s="628">
        <f t="shared" si="0"/>
        <v>0</v>
      </c>
      <c r="T8" s="627" t="s">
        <v>25</v>
      </c>
      <c r="U8" s="628">
        <f t="shared" si="1"/>
        <v>0</v>
      </c>
      <c r="V8" s="627" t="s">
        <v>25</v>
      </c>
      <c r="W8" s="628">
        <f t="shared" si="2"/>
        <v>0</v>
      </c>
      <c r="X8" s="629"/>
      <c r="Y8" s="3641" t="s">
        <v>2022</v>
      </c>
      <c r="Z8" s="3642"/>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2025</v>
      </c>
      <c r="Q9" s="1255" t="str">
        <f t="shared" ref="Q9:Q15" si="6">B9</f>
        <v>用途</v>
      </c>
      <c r="R9" s="627" t="s">
        <v>25</v>
      </c>
      <c r="S9" s="628">
        <f t="shared" si="0"/>
        <v>100</v>
      </c>
      <c r="T9" s="627" t="s">
        <v>25</v>
      </c>
      <c r="U9" s="628">
        <f t="shared" si="1"/>
        <v>100</v>
      </c>
      <c r="V9" s="627" t="s">
        <v>25</v>
      </c>
      <c r="W9" s="628">
        <f t="shared" si="2"/>
        <v>100</v>
      </c>
      <c r="X9" s="629"/>
      <c r="Y9" s="3652"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118</v>
      </c>
      <c r="G10" s="322"/>
      <c r="H10" s="29">
        <f>ROUND(100/'数据-取费表'!B14,0)</f>
        <v>118</v>
      </c>
      <c r="I10" s="322"/>
      <c r="J10" s="29">
        <f>ROUND(100/'数据-取费表'!B14,0)</f>
        <v>118</v>
      </c>
      <c r="K10" s="553"/>
      <c r="L10" s="2948"/>
      <c r="M10" s="2949"/>
      <c r="N10" s="2949"/>
      <c r="O10" s="2950"/>
      <c r="P10" s="3633"/>
      <c r="Q10" s="1255" t="str">
        <f t="shared" si="6"/>
        <v>土地使用年限（年）</v>
      </c>
      <c r="R10" s="627" t="s">
        <v>25</v>
      </c>
      <c r="S10" s="628">
        <f t="shared" si="0"/>
        <v>118</v>
      </c>
      <c r="T10" s="627" t="s">
        <v>25</v>
      </c>
      <c r="U10" s="628">
        <f t="shared" si="1"/>
        <v>118</v>
      </c>
      <c r="V10" s="627" t="s">
        <v>25</v>
      </c>
      <c r="W10" s="628">
        <f t="shared" si="2"/>
        <v>118</v>
      </c>
      <c r="X10" s="629"/>
      <c r="Y10" s="3652"/>
      <c r="Z10" s="19" t="str">
        <f t="shared" si="7"/>
        <v>土地使用年限（年）</v>
      </c>
      <c r="AA10" s="630">
        <f t="shared" si="3"/>
        <v>0.84745762711864403</v>
      </c>
      <c r="AB10" s="630">
        <f t="shared" si="4"/>
        <v>0.84745762711864403</v>
      </c>
      <c r="AC10" s="630">
        <f t="shared" si="5"/>
        <v>0.84745762711864403</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2030</v>
      </c>
      <c r="Q15" s="1262" t="str">
        <f t="shared" si="6"/>
        <v>产业集聚程度</v>
      </c>
      <c r="R15" s="631" t="s">
        <v>25</v>
      </c>
      <c r="S15" s="632">
        <f t="shared" si="0"/>
        <v>100</v>
      </c>
      <c r="T15" s="631" t="s">
        <v>25</v>
      </c>
      <c r="U15" s="632">
        <f t="shared" si="1"/>
        <v>100</v>
      </c>
      <c r="V15" s="631" t="s">
        <v>25</v>
      </c>
      <c r="W15" s="632">
        <f t="shared" si="2"/>
        <v>100</v>
      </c>
      <c r="X15" s="1263"/>
      <c r="Y15" s="3650"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2036</v>
      </c>
      <c r="Q32" s="1262">
        <f t="shared" si="8"/>
        <v>111</v>
      </c>
      <c r="R32" s="631" t="s">
        <v>25</v>
      </c>
      <c r="S32" s="632">
        <f t="shared" si="10"/>
        <v>100</v>
      </c>
      <c r="T32" s="631" t="s">
        <v>25</v>
      </c>
      <c r="U32" s="632">
        <f t="shared" si="11"/>
        <v>100</v>
      </c>
      <c r="V32" s="631" t="s">
        <v>25</v>
      </c>
      <c r="W32" s="632">
        <f t="shared" si="12"/>
        <v>100</v>
      </c>
      <c r="X32" s="1263"/>
      <c r="Y32" s="3639"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2036</v>
      </c>
      <c r="Q37" s="1262" t="str">
        <f t="shared" si="14"/>
        <v>工程地质条件</v>
      </c>
      <c r="R37" s="631" t="s">
        <v>25</v>
      </c>
      <c r="S37" s="632">
        <f t="shared" si="10"/>
        <v>100</v>
      </c>
      <c r="T37" s="631" t="s">
        <v>25</v>
      </c>
      <c r="U37" s="632">
        <f t="shared" si="11"/>
        <v>100</v>
      </c>
      <c r="V37" s="631" t="s">
        <v>25</v>
      </c>
      <c r="W37" s="632">
        <f t="shared" si="12"/>
        <v>100</v>
      </c>
      <c r="X37" s="1263"/>
      <c r="Y37" s="3639"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受您的委托，我公司对XX房地产进行了预评估。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估价对象为XX房地产，为XX所有。根据《》[]，估价对象建筑面积为177.57平方米。根据《》[]，估价对象（分摊）出让国有建设用地使用权面积为平方米。估价对象用途为。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本次估价的“房地产价值”是指在正常市场情况下，在价值时点2022年8月29日，估价对象规划用途为，假定未设立法定优先受偿款下的房地产市场价值。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177.57</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686"/>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2291</v>
      </c>
      <c r="X8" s="3680"/>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686"/>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2337</v>
      </c>
      <c r="C16" s="1535">
        <f>ROUND(IF(F17="与级别开发程度一致",0,(G17-E17)/C17),0)</f>
        <v>0</v>
      </c>
      <c r="D16" s="3702" t="s">
        <v>2341</v>
      </c>
      <c r="E16" s="3703"/>
      <c r="F16" s="3702" t="s">
        <v>2338</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44802</v>
      </c>
      <c r="H19" s="2121" t="s">
        <v>2483</v>
      </c>
      <c r="I19" s="2122" t="str">
        <f>IF(H19="季度增幅（自定义）",SUMIF(N21:N24,E2,O21:O24),"")</f>
        <v/>
      </c>
      <c r="J19" s="2123"/>
      <c r="K19" s="2970"/>
      <c r="L19" s="2004" t="s">
        <v>2349</v>
      </c>
      <c r="M19" s="2124">
        <f>ROUND(SUMIF(地价!B2:F2,E2,地价!B41:F41),0)</f>
        <v>423</v>
      </c>
      <c r="N19" s="2125" t="s">
        <v>2350</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0.74950000000000006</v>
      </c>
      <c r="D20" s="2130" t="s">
        <v>2353</v>
      </c>
      <c r="E20" s="3072">
        <f>存贷款利率!E22/100</f>
        <v>4.3499999999999997E-2</v>
      </c>
      <c r="F20" s="2130" t="s">
        <v>2342</v>
      </c>
      <c r="G20" s="3073">
        <f>SUMIF(M26:P26,E2,M28:P28)</f>
        <v>0.05</v>
      </c>
      <c r="H20" s="2130" t="s">
        <v>2354</v>
      </c>
      <c r="I20" s="2131">
        <f>'数据-取费表'!B13</f>
        <v>26.45</v>
      </c>
      <c r="J20" s="2132">
        <f>IF(E2="住宅",70,IF(E2="商业",40,50))</f>
        <v>70</v>
      </c>
      <c r="K20" s="2970"/>
      <c r="L20" s="2133" t="s">
        <v>2355</v>
      </c>
      <c r="M20" s="2134">
        <f>ROUND(SUMPRODUCT((地价!A4:A41=YEAR(G19)&amp;"-"&amp;ROUNDUP(MONTH(G19)/3,0))*(地价!B2:F2=E2)*(地价!B4:F41)),0)</f>
        <v>744</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2366</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177.57</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2436</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2437</v>
      </c>
      <c r="B91" s="3693"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694"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2444</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1" t="s">
        <v>2802</v>
      </c>
      <c r="B20" s="3714" t="s">
        <v>2810</v>
      </c>
      <c r="C20" s="3290" t="s">
        <v>2811</v>
      </c>
      <c r="D20" s="3291"/>
      <c r="E20" s="3292">
        <v>1</v>
      </c>
      <c r="F20" s="3293" t="s">
        <v>2812</v>
      </c>
      <c r="G20" s="3293"/>
    </row>
    <row r="21" spans="1:13" ht="19.5" customHeight="1">
      <c r="A21" s="3712"/>
      <c r="B21" s="3709"/>
      <c r="C21" s="740" t="s">
        <v>2813</v>
      </c>
      <c r="D21" s="741"/>
      <c r="E21" s="3294">
        <v>1</v>
      </c>
      <c r="F21" s="3293" t="s">
        <v>2814</v>
      </c>
      <c r="G21" s="3293"/>
    </row>
    <row r="22" spans="1:13" ht="19.5" customHeight="1">
      <c r="A22" s="3712"/>
      <c r="B22" s="3709"/>
      <c r="C22" s="740" t="s">
        <v>2815</v>
      </c>
      <c r="D22" s="741"/>
      <c r="E22" s="3294">
        <v>0.9</v>
      </c>
      <c r="F22" s="3293" t="s">
        <v>2816</v>
      </c>
      <c r="G22" s="3293"/>
    </row>
    <row r="23" spans="1:13" ht="19.5" customHeight="1">
      <c r="A23" s="3712"/>
      <c r="B23" s="3709"/>
      <c r="C23" s="740" t="s">
        <v>2817</v>
      </c>
      <c r="D23" s="741"/>
      <c r="E23" s="3294">
        <v>0.9</v>
      </c>
      <c r="F23" s="3293" t="s">
        <v>2818</v>
      </c>
      <c r="G23" s="3293"/>
    </row>
    <row r="24" spans="1:13" ht="19.5" customHeight="1">
      <c r="A24" s="3712"/>
      <c r="B24" s="3709"/>
      <c r="C24" s="740" t="s">
        <v>2819</v>
      </c>
      <c r="D24" s="741"/>
      <c r="E24" s="3294">
        <v>0.8</v>
      </c>
      <c r="F24" s="3293" t="s">
        <v>2820</v>
      </c>
      <c r="G24" s="3293"/>
    </row>
    <row r="25" spans="1:13" ht="19.5" customHeight="1" thickBot="1">
      <c r="A25" s="3713"/>
      <c r="B25" s="3715"/>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16" t="s">
        <v>2807</v>
      </c>
      <c r="B27" s="3714" t="s">
        <v>2807</v>
      </c>
      <c r="C27" s="3290" t="s">
        <v>2824</v>
      </c>
      <c r="D27" s="3291"/>
      <c r="E27" s="3292">
        <v>1</v>
      </c>
      <c r="F27" s="3293" t="s">
        <v>2865</v>
      </c>
      <c r="G27" s="3293"/>
    </row>
    <row r="28" spans="1:13" ht="19.5" customHeight="1">
      <c r="A28" s="3717"/>
      <c r="B28" s="3709"/>
      <c r="C28" s="740" t="s">
        <v>2825</v>
      </c>
      <c r="D28" s="741"/>
      <c r="E28" s="3294">
        <v>1</v>
      </c>
      <c r="F28" s="3293" t="s">
        <v>2866</v>
      </c>
      <c r="G28" s="3293"/>
    </row>
    <row r="29" spans="1:13" ht="19.5" customHeight="1">
      <c r="A29" s="3717"/>
      <c r="B29" s="3709"/>
      <c r="C29" s="740" t="s">
        <v>2826</v>
      </c>
      <c r="D29" s="741"/>
      <c r="E29" s="3294">
        <v>0.8</v>
      </c>
      <c r="F29" s="3293" t="s">
        <v>2867</v>
      </c>
      <c r="G29" s="3293"/>
    </row>
    <row r="30" spans="1:13" ht="19.5" customHeight="1">
      <c r="A30" s="3717"/>
      <c r="B30" s="3709"/>
      <c r="C30" s="740" t="s">
        <v>2827</v>
      </c>
      <c r="D30" s="741"/>
      <c r="E30" s="3294">
        <v>0.8</v>
      </c>
      <c r="F30" s="3293" t="s">
        <v>2868</v>
      </c>
      <c r="G30" s="3293"/>
    </row>
    <row r="31" spans="1:13" ht="19.5" customHeight="1">
      <c r="A31" s="3717"/>
      <c r="B31" s="3709"/>
      <c r="C31" s="740" t="s">
        <v>2828</v>
      </c>
      <c r="D31" s="741"/>
      <c r="E31" s="3294">
        <v>0.8</v>
      </c>
      <c r="F31" s="3293" t="s">
        <v>2869</v>
      </c>
      <c r="G31" s="3293"/>
    </row>
    <row r="32" spans="1:13" ht="19.5" customHeight="1">
      <c r="A32" s="3717"/>
      <c r="B32" s="3709"/>
      <c r="C32" s="740" t="s">
        <v>2829</v>
      </c>
      <c r="D32" s="741"/>
      <c r="E32" s="3294">
        <v>0.7</v>
      </c>
      <c r="F32" s="3293" t="s">
        <v>2870</v>
      </c>
      <c r="G32" s="3293"/>
    </row>
    <row r="33" spans="1:7" ht="19.5" customHeight="1">
      <c r="A33" s="3717"/>
      <c r="B33" s="3709"/>
      <c r="C33" s="740" t="s">
        <v>2830</v>
      </c>
      <c r="D33" s="741"/>
      <c r="E33" s="3294">
        <v>0.8</v>
      </c>
      <c r="F33" s="3293" t="s">
        <v>2871</v>
      </c>
      <c r="G33" s="3293"/>
    </row>
    <row r="34" spans="1:7" ht="19.5" customHeight="1">
      <c r="A34" s="3717"/>
      <c r="B34" s="3709"/>
      <c r="C34" s="740" t="s">
        <v>2831</v>
      </c>
      <c r="D34" s="741"/>
      <c r="E34" s="3294">
        <v>0.6</v>
      </c>
      <c r="F34" s="3293" t="s">
        <v>2872</v>
      </c>
      <c r="G34" s="3293"/>
    </row>
    <row r="35" spans="1:7" ht="19.5" customHeight="1">
      <c r="A35" s="3717"/>
      <c r="B35" s="3709"/>
      <c r="C35" s="740" t="s">
        <v>2832</v>
      </c>
      <c r="D35" s="741"/>
      <c r="E35" s="3294">
        <v>0.2</v>
      </c>
      <c r="F35" s="3293" t="s">
        <v>2873</v>
      </c>
      <c r="G35" s="3293"/>
    </row>
    <row r="36" spans="1:7" ht="19.5" customHeight="1">
      <c r="A36" s="3717"/>
      <c r="B36" s="3709"/>
      <c r="C36" s="740" t="s">
        <v>2833</v>
      </c>
      <c r="D36" s="741"/>
      <c r="E36" s="3294">
        <v>0.2</v>
      </c>
      <c r="F36" s="3293" t="s">
        <v>2874</v>
      </c>
      <c r="G36" s="3293"/>
    </row>
    <row r="37" spans="1:7" ht="19.5" customHeight="1">
      <c r="A37" s="3717"/>
      <c r="B37" s="3708" t="s">
        <v>2834</v>
      </c>
      <c r="C37" s="740" t="s">
        <v>2835</v>
      </c>
      <c r="D37" s="741"/>
      <c r="E37" s="3294">
        <v>0.6</v>
      </c>
      <c r="F37" s="3293" t="s">
        <v>2875</v>
      </c>
      <c r="G37" s="3293"/>
    </row>
    <row r="38" spans="1:7" ht="19.5" customHeight="1">
      <c r="A38" s="3717"/>
      <c r="B38" s="3709"/>
      <c r="C38" s="740" t="s">
        <v>2836</v>
      </c>
      <c r="D38" s="741"/>
      <c r="E38" s="3294">
        <v>0.6</v>
      </c>
      <c r="F38" s="3293" t="s">
        <v>2876</v>
      </c>
      <c r="G38" s="3293"/>
    </row>
    <row r="39" spans="1:7" ht="19.5" customHeight="1" thickBot="1">
      <c r="A39" s="3718"/>
      <c r="B39" s="3715"/>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1" t="s">
        <v>2840</v>
      </c>
      <c r="B41" s="3714" t="s">
        <v>2841</v>
      </c>
      <c r="C41" s="3290" t="s">
        <v>2842</v>
      </c>
      <c r="D41" s="3291"/>
      <c r="E41" s="3292">
        <v>1</v>
      </c>
      <c r="F41" s="3293" t="s">
        <v>2843</v>
      </c>
      <c r="G41" s="3293"/>
    </row>
    <row r="42" spans="1:7" ht="19.5" customHeight="1">
      <c r="A42" s="3712"/>
      <c r="B42" s="3709"/>
      <c r="C42" s="740" t="s">
        <v>2844</v>
      </c>
      <c r="D42" s="741"/>
      <c r="E42" s="3294">
        <v>1</v>
      </c>
      <c r="F42" s="3293" t="s">
        <v>2845</v>
      </c>
      <c r="G42" s="3293"/>
    </row>
    <row r="43" spans="1:7" ht="19.5" customHeight="1">
      <c r="A43" s="3712"/>
      <c r="B43" s="3710"/>
      <c r="C43" s="740" t="s">
        <v>2846</v>
      </c>
      <c r="D43" s="741"/>
      <c r="E43" s="3294">
        <v>1.5</v>
      </c>
      <c r="F43" s="3293" t="s">
        <v>2847</v>
      </c>
      <c r="G43" s="3293"/>
    </row>
    <row r="44" spans="1:7" ht="19.5" customHeight="1">
      <c r="A44" s="3712"/>
      <c r="B44" s="3303" t="s">
        <v>2807</v>
      </c>
      <c r="C44" s="740" t="s">
        <v>2806</v>
      </c>
      <c r="D44" s="741"/>
      <c r="E44" s="3294">
        <v>2</v>
      </c>
      <c r="F44" s="3293" t="s">
        <v>2848</v>
      </c>
      <c r="G44" s="3293"/>
    </row>
    <row r="45" spans="1:7" ht="19.5" customHeight="1">
      <c r="A45" s="3712"/>
      <c r="B45" s="3708" t="s">
        <v>2849</v>
      </c>
      <c r="C45" s="740" t="s">
        <v>2850</v>
      </c>
      <c r="D45" s="741"/>
      <c r="E45" s="3294">
        <v>1</v>
      </c>
      <c r="F45" s="3293" t="s">
        <v>2851</v>
      </c>
      <c r="G45" s="3293"/>
    </row>
    <row r="46" spans="1:7" ht="19.5" customHeight="1">
      <c r="A46" s="3712"/>
      <c r="B46" s="3709"/>
      <c r="C46" s="740" t="s">
        <v>2852</v>
      </c>
      <c r="D46" s="741"/>
      <c r="E46" s="3294">
        <v>1</v>
      </c>
      <c r="F46" s="3293" t="s">
        <v>2853</v>
      </c>
      <c r="G46" s="3293"/>
    </row>
    <row r="47" spans="1:7" ht="19.5" customHeight="1">
      <c r="A47" s="3712"/>
      <c r="B47" s="3709"/>
      <c r="C47" s="740" t="s">
        <v>2854</v>
      </c>
      <c r="D47" s="741"/>
      <c r="E47" s="3294">
        <v>1</v>
      </c>
      <c r="F47" s="3293" t="s">
        <v>2855</v>
      </c>
      <c r="G47" s="3293"/>
    </row>
    <row r="48" spans="1:7" ht="19.5" customHeight="1">
      <c r="A48" s="3712"/>
      <c r="B48" s="3709"/>
      <c r="C48" s="740" t="s">
        <v>2856</v>
      </c>
      <c r="D48" s="741"/>
      <c r="E48" s="3294">
        <v>1</v>
      </c>
      <c r="F48" s="3293" t="s">
        <v>2857</v>
      </c>
      <c r="G48" s="3293"/>
    </row>
    <row r="49" spans="1:7" ht="19.5" customHeight="1">
      <c r="A49" s="3712"/>
      <c r="B49" s="3709"/>
      <c r="C49" s="740" t="s">
        <v>2858</v>
      </c>
      <c r="D49" s="741"/>
      <c r="E49" s="3294">
        <v>1</v>
      </c>
      <c r="F49" s="3293" t="s">
        <v>2859</v>
      </c>
      <c r="G49" s="3293"/>
    </row>
    <row r="50" spans="1:7" ht="19.5" customHeight="1">
      <c r="A50" s="3712"/>
      <c r="B50" s="3709"/>
      <c r="C50" s="740" t="s">
        <v>2860</v>
      </c>
      <c r="D50" s="741"/>
      <c r="E50" s="3294">
        <v>1</v>
      </c>
      <c r="F50" s="3293" t="s">
        <v>2861</v>
      </c>
      <c r="G50" s="3293"/>
    </row>
    <row r="51" spans="1:7" ht="19.5" customHeight="1" thickBot="1">
      <c r="A51" s="3713"/>
      <c r="B51" s="3715"/>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08" t="s">
        <v>2880</v>
      </c>
      <c r="C73" s="3284" t="s">
        <v>2881</v>
      </c>
      <c r="D73" s="3284" t="s">
        <v>2882</v>
      </c>
      <c r="E73" s="3309">
        <v>0.2</v>
      </c>
      <c r="F73" s="3303">
        <v>25</v>
      </c>
    </row>
    <row r="74" spans="1:7" ht="24">
      <c r="A74" s="3303">
        <v>2</v>
      </c>
      <c r="B74" s="3709"/>
      <c r="C74" s="3284" t="s">
        <v>2883</v>
      </c>
      <c r="D74" s="3284" t="s">
        <v>2884</v>
      </c>
      <c r="E74" s="3309">
        <v>0.2</v>
      </c>
      <c r="F74" s="3303">
        <v>25</v>
      </c>
    </row>
    <row r="75" spans="1:7" ht="24">
      <c r="A75" s="3303">
        <v>3</v>
      </c>
      <c r="B75" s="3709"/>
      <c r="C75" s="3284" t="s">
        <v>2885</v>
      </c>
      <c r="D75" s="3284" t="s">
        <v>2886</v>
      </c>
      <c r="E75" s="3309">
        <v>0.2</v>
      </c>
      <c r="F75" s="3303">
        <v>25</v>
      </c>
    </row>
    <row r="76" spans="1:7" ht="13.5">
      <c r="A76" s="3303">
        <v>4</v>
      </c>
      <c r="B76" s="3709"/>
      <c r="C76" s="3284" t="s">
        <v>2887</v>
      </c>
      <c r="D76" s="3284" t="s">
        <v>2888</v>
      </c>
      <c r="E76" s="3309">
        <v>0.15</v>
      </c>
      <c r="F76" s="3303">
        <v>20</v>
      </c>
    </row>
    <row r="77" spans="1:7" ht="24">
      <c r="A77" s="3303">
        <v>5</v>
      </c>
      <c r="B77" s="3709"/>
      <c r="C77" s="3284" t="s">
        <v>2889</v>
      </c>
      <c r="D77" s="3284" t="s">
        <v>2890</v>
      </c>
      <c r="E77" s="3309">
        <v>0.15</v>
      </c>
      <c r="F77" s="3303">
        <v>20</v>
      </c>
    </row>
    <row r="78" spans="1:7" ht="24">
      <c r="A78" s="3303">
        <v>6</v>
      </c>
      <c r="B78" s="3709"/>
      <c r="C78" s="3284" t="s">
        <v>2891</v>
      </c>
      <c r="D78" s="3284" t="s">
        <v>2892</v>
      </c>
      <c r="E78" s="3309">
        <v>0.15</v>
      </c>
      <c r="F78" s="3303">
        <v>20</v>
      </c>
    </row>
    <row r="79" spans="1:7" ht="24">
      <c r="A79" s="3303">
        <v>7</v>
      </c>
      <c r="B79" s="3709"/>
      <c r="C79" s="3284" t="s">
        <v>2893</v>
      </c>
      <c r="D79" s="3284" t="s">
        <v>2894</v>
      </c>
      <c r="E79" s="3309">
        <v>0.15</v>
      </c>
      <c r="F79" s="3303">
        <v>20</v>
      </c>
    </row>
    <row r="80" spans="1:7" ht="24">
      <c r="A80" s="3303">
        <v>8</v>
      </c>
      <c r="B80" s="3709"/>
      <c r="C80" s="3284" t="s">
        <v>2895</v>
      </c>
      <c r="D80" s="3284" t="s">
        <v>2896</v>
      </c>
      <c r="E80" s="3309">
        <v>0.1</v>
      </c>
      <c r="F80" s="3303">
        <v>15</v>
      </c>
    </row>
    <row r="81" spans="1:6" ht="24">
      <c r="A81" s="3303">
        <v>9</v>
      </c>
      <c r="B81" s="3709"/>
      <c r="C81" s="3284" t="s">
        <v>2897</v>
      </c>
      <c r="D81" s="3284" t="s">
        <v>2898</v>
      </c>
      <c r="E81" s="3309">
        <v>0.1</v>
      </c>
      <c r="F81" s="3303">
        <v>15</v>
      </c>
    </row>
    <row r="82" spans="1:6" ht="24">
      <c r="A82" s="3303">
        <v>10</v>
      </c>
      <c r="B82" s="3709"/>
      <c r="C82" s="3284" t="s">
        <v>2899</v>
      </c>
      <c r="D82" s="3284" t="s">
        <v>2900</v>
      </c>
      <c r="E82" s="3309">
        <v>0.1</v>
      </c>
      <c r="F82" s="3303">
        <v>15</v>
      </c>
    </row>
    <row r="83" spans="1:6" ht="24">
      <c r="A83" s="3303">
        <v>11</v>
      </c>
      <c r="B83" s="3709"/>
      <c r="C83" s="3284" t="s">
        <v>2901</v>
      </c>
      <c r="D83" s="3284" t="s">
        <v>2902</v>
      </c>
      <c r="E83" s="3309">
        <v>0.1</v>
      </c>
      <c r="F83" s="3303">
        <v>15</v>
      </c>
    </row>
    <row r="84" spans="1:6" ht="24">
      <c r="A84" s="3303">
        <v>12</v>
      </c>
      <c r="B84" s="3709"/>
      <c r="C84" s="3284" t="s">
        <v>2903</v>
      </c>
      <c r="D84" s="3284" t="s">
        <v>2904</v>
      </c>
      <c r="E84" s="3309">
        <v>0.1</v>
      </c>
      <c r="F84" s="3303">
        <v>15</v>
      </c>
    </row>
    <row r="85" spans="1:6" ht="13.5">
      <c r="A85" s="3303">
        <v>13</v>
      </c>
      <c r="B85" s="3709"/>
      <c r="C85" s="3284" t="s">
        <v>2905</v>
      </c>
      <c r="D85" s="3284" t="s">
        <v>2906</v>
      </c>
      <c r="E85" s="3309">
        <v>0.1</v>
      </c>
      <c r="F85" s="3303">
        <v>15</v>
      </c>
    </row>
    <row r="86" spans="1:6" ht="13.5">
      <c r="A86" s="3303">
        <v>14</v>
      </c>
      <c r="B86" s="3709"/>
      <c r="C86" s="3284" t="s">
        <v>2907</v>
      </c>
      <c r="D86" s="3284" t="s">
        <v>2908</v>
      </c>
      <c r="E86" s="3309">
        <v>0.1</v>
      </c>
      <c r="F86" s="3303">
        <v>15</v>
      </c>
    </row>
    <row r="87" spans="1:6" ht="13.5">
      <c r="A87" s="3303">
        <v>15</v>
      </c>
      <c r="B87" s="3709"/>
      <c r="C87" s="3284" t="s">
        <v>2909</v>
      </c>
      <c r="D87" s="3284" t="s">
        <v>2910</v>
      </c>
      <c r="E87" s="3309">
        <v>0.1</v>
      </c>
      <c r="F87" s="3303">
        <v>15</v>
      </c>
    </row>
    <row r="88" spans="1:6" ht="24">
      <c r="A88" s="3303">
        <v>16</v>
      </c>
      <c r="B88" s="3709"/>
      <c r="C88" s="3284" t="s">
        <v>2911</v>
      </c>
      <c r="D88" s="3284" t="s">
        <v>2912</v>
      </c>
      <c r="E88" s="3309">
        <v>0.1</v>
      </c>
      <c r="F88" s="3303">
        <v>15</v>
      </c>
    </row>
    <row r="89" spans="1:6" ht="24">
      <c r="A89" s="3303">
        <v>17</v>
      </c>
      <c r="B89" s="3710"/>
      <c r="C89" s="3284" t="s">
        <v>2913</v>
      </c>
      <c r="D89" s="3284" t="s">
        <v>2914</v>
      </c>
      <c r="E89" s="3309">
        <v>0.1</v>
      </c>
      <c r="F89" s="3303">
        <v>15</v>
      </c>
    </row>
    <row r="90" spans="1:6" ht="13.5">
      <c r="A90" s="3303">
        <v>18</v>
      </c>
      <c r="B90" s="3708" t="s">
        <v>2915</v>
      </c>
      <c r="C90" s="3284" t="s">
        <v>2916</v>
      </c>
      <c r="D90" s="3284" t="s">
        <v>2917</v>
      </c>
      <c r="E90" s="3309">
        <v>0.2</v>
      </c>
      <c r="F90" s="3303">
        <v>25</v>
      </c>
    </row>
    <row r="91" spans="1:6" ht="24">
      <c r="A91" s="3303">
        <v>19</v>
      </c>
      <c r="B91" s="3709"/>
      <c r="C91" s="3284" t="s">
        <v>2918</v>
      </c>
      <c r="D91" s="3284" t="s">
        <v>2919</v>
      </c>
      <c r="E91" s="3309">
        <v>0.2</v>
      </c>
      <c r="F91" s="3303">
        <v>25</v>
      </c>
    </row>
    <row r="92" spans="1:6" ht="13.5">
      <c r="A92" s="3303">
        <v>20</v>
      </c>
      <c r="B92" s="3709"/>
      <c r="C92" s="3284" t="s">
        <v>2920</v>
      </c>
      <c r="D92" s="3284" t="s">
        <v>2921</v>
      </c>
      <c r="E92" s="3309">
        <v>0.15</v>
      </c>
      <c r="F92" s="3303">
        <v>20</v>
      </c>
    </row>
    <row r="93" spans="1:6" ht="24">
      <c r="A93" s="3303">
        <v>21</v>
      </c>
      <c r="B93" s="3709"/>
      <c r="C93" s="3284" t="s">
        <v>2922</v>
      </c>
      <c r="D93" s="3284" t="s">
        <v>2923</v>
      </c>
      <c r="E93" s="3309">
        <v>0.15</v>
      </c>
      <c r="F93" s="3303">
        <v>20</v>
      </c>
    </row>
    <row r="94" spans="1:6" ht="24">
      <c r="A94" s="3303">
        <v>22</v>
      </c>
      <c r="B94" s="3709"/>
      <c r="C94" s="3284" t="s">
        <v>2924</v>
      </c>
      <c r="D94" s="3284" t="s">
        <v>2925</v>
      </c>
      <c r="E94" s="3309">
        <v>0.15</v>
      </c>
      <c r="F94" s="3303">
        <v>20</v>
      </c>
    </row>
    <row r="95" spans="1:6" ht="36">
      <c r="A95" s="3303">
        <v>23</v>
      </c>
      <c r="B95" s="3709"/>
      <c r="C95" s="3284" t="s">
        <v>2926</v>
      </c>
      <c r="D95" s="3284" t="s">
        <v>2927</v>
      </c>
      <c r="E95" s="3309">
        <v>0.15</v>
      </c>
      <c r="F95" s="3303">
        <v>20</v>
      </c>
    </row>
    <row r="96" spans="1:6" ht="13.5">
      <c r="A96" s="3303">
        <v>24</v>
      </c>
      <c r="B96" s="3709"/>
      <c r="C96" s="3284" t="s">
        <v>2928</v>
      </c>
      <c r="D96" s="3284" t="s">
        <v>2929</v>
      </c>
      <c r="E96" s="3309">
        <v>0.1</v>
      </c>
      <c r="F96" s="3303">
        <v>15</v>
      </c>
    </row>
    <row r="97" spans="1:6" ht="24">
      <c r="A97" s="3303">
        <v>25</v>
      </c>
      <c r="B97" s="3709"/>
      <c r="C97" s="3284" t="s">
        <v>2930</v>
      </c>
      <c r="D97" s="3284" t="s">
        <v>2931</v>
      </c>
      <c r="E97" s="3309">
        <v>0.1</v>
      </c>
      <c r="F97" s="3303">
        <v>15</v>
      </c>
    </row>
    <row r="98" spans="1:6" ht="24">
      <c r="A98" s="3303">
        <v>26</v>
      </c>
      <c r="B98" s="3709"/>
      <c r="C98" s="3284" t="s">
        <v>2932</v>
      </c>
      <c r="D98" s="3284" t="s">
        <v>2933</v>
      </c>
      <c r="E98" s="3309">
        <v>0.1</v>
      </c>
      <c r="F98" s="3303">
        <v>15</v>
      </c>
    </row>
    <row r="99" spans="1:6" ht="24">
      <c r="A99" s="3303">
        <v>27</v>
      </c>
      <c r="B99" s="3709"/>
      <c r="C99" s="3284" t="s">
        <v>2934</v>
      </c>
      <c r="D99" s="3284" t="s">
        <v>2935</v>
      </c>
      <c r="E99" s="3309">
        <v>0.1</v>
      </c>
      <c r="F99" s="3303">
        <v>15</v>
      </c>
    </row>
    <row r="100" spans="1:6" ht="24">
      <c r="A100" s="3303">
        <v>28</v>
      </c>
      <c r="B100" s="3709"/>
      <c r="C100" s="3284" t="s">
        <v>2936</v>
      </c>
      <c r="D100" s="3284" t="s">
        <v>2937</v>
      </c>
      <c r="E100" s="3309">
        <v>0.1</v>
      </c>
      <c r="F100" s="3303">
        <v>15</v>
      </c>
    </row>
    <row r="101" spans="1:6" ht="24">
      <c r="A101" s="3303">
        <v>29</v>
      </c>
      <c r="B101" s="3709"/>
      <c r="C101" s="3284" t="s">
        <v>2938</v>
      </c>
      <c r="D101" s="3284" t="s">
        <v>2939</v>
      </c>
      <c r="E101" s="3309">
        <v>0.1</v>
      </c>
      <c r="F101" s="3303">
        <v>15</v>
      </c>
    </row>
    <row r="102" spans="1:6" ht="24">
      <c r="A102" s="3303">
        <v>30</v>
      </c>
      <c r="B102" s="3709"/>
      <c r="C102" s="3284" t="s">
        <v>2940</v>
      </c>
      <c r="D102" s="3284" t="s">
        <v>2941</v>
      </c>
      <c r="E102" s="3309">
        <v>0.1</v>
      </c>
      <c r="F102" s="3303">
        <v>15</v>
      </c>
    </row>
    <row r="103" spans="1:6" ht="24">
      <c r="A103" s="3303">
        <v>31</v>
      </c>
      <c r="B103" s="3709"/>
      <c r="C103" s="3284" t="s">
        <v>2942</v>
      </c>
      <c r="D103" s="3284" t="s">
        <v>2943</v>
      </c>
      <c r="E103" s="3309">
        <v>0.1</v>
      </c>
      <c r="F103" s="3303">
        <v>15</v>
      </c>
    </row>
    <row r="104" spans="1:6" ht="24">
      <c r="A104" s="3303">
        <v>32</v>
      </c>
      <c r="B104" s="3709"/>
      <c r="C104" s="3284" t="s">
        <v>2944</v>
      </c>
      <c r="D104" s="3284" t="s">
        <v>2945</v>
      </c>
      <c r="E104" s="3309">
        <v>0.1</v>
      </c>
      <c r="F104" s="3303">
        <v>15</v>
      </c>
    </row>
    <row r="105" spans="1:6" ht="24">
      <c r="A105" s="3303">
        <v>33</v>
      </c>
      <c r="B105" s="3709"/>
      <c r="C105" s="3284" t="s">
        <v>2946</v>
      </c>
      <c r="D105" s="3284" t="s">
        <v>2947</v>
      </c>
      <c r="E105" s="3309">
        <v>0.1</v>
      </c>
      <c r="F105" s="3303">
        <v>15</v>
      </c>
    </row>
    <row r="106" spans="1:6" ht="24">
      <c r="A106" s="3303">
        <v>34</v>
      </c>
      <c r="B106" s="3710"/>
      <c r="C106" s="3284" t="s">
        <v>2948</v>
      </c>
      <c r="D106" s="3284" t="s">
        <v>2949</v>
      </c>
      <c r="E106" s="3309">
        <v>0.1</v>
      </c>
      <c r="F106" s="3303">
        <v>15</v>
      </c>
    </row>
    <row r="107" spans="1:6" ht="24">
      <c r="A107" s="3303">
        <v>35</v>
      </c>
      <c r="B107" s="3708" t="s">
        <v>2950</v>
      </c>
      <c r="C107" s="3303" t="s">
        <v>2951</v>
      </c>
      <c r="D107" s="3284" t="s">
        <v>2952</v>
      </c>
      <c r="E107" s="3309">
        <v>0.15</v>
      </c>
      <c r="F107" s="3303">
        <v>20</v>
      </c>
    </row>
    <row r="108" spans="1:6" ht="24">
      <c r="A108" s="3303">
        <v>36</v>
      </c>
      <c r="B108" s="3709"/>
      <c r="C108" s="3303" t="s">
        <v>2953</v>
      </c>
      <c r="D108" s="3284" t="s">
        <v>2954</v>
      </c>
      <c r="E108" s="3309">
        <v>0.15</v>
      </c>
      <c r="F108" s="3303">
        <v>20</v>
      </c>
    </row>
    <row r="109" spans="1:6" ht="24">
      <c r="A109" s="3303">
        <v>37</v>
      </c>
      <c r="B109" s="3709"/>
      <c r="C109" s="3303" t="s">
        <v>2955</v>
      </c>
      <c r="D109" s="3284" t="s">
        <v>2956</v>
      </c>
      <c r="E109" s="3309">
        <v>0.15</v>
      </c>
      <c r="F109" s="3303">
        <v>20</v>
      </c>
    </row>
    <row r="110" spans="1:6" ht="13.5">
      <c r="A110" s="3303">
        <v>38</v>
      </c>
      <c r="B110" s="3709"/>
      <c r="C110" s="3303" t="s">
        <v>2957</v>
      </c>
      <c r="D110" s="3284" t="s">
        <v>2958</v>
      </c>
      <c r="E110" s="3309">
        <v>0.1</v>
      </c>
      <c r="F110" s="3303">
        <v>15</v>
      </c>
    </row>
    <row r="111" spans="1:6" ht="24">
      <c r="A111" s="3303">
        <v>39</v>
      </c>
      <c r="B111" s="3709"/>
      <c r="C111" s="3303" t="s">
        <v>2959</v>
      </c>
      <c r="D111" s="3284" t="s">
        <v>2960</v>
      </c>
      <c r="E111" s="3309">
        <v>0.1</v>
      </c>
      <c r="F111" s="3303">
        <v>15</v>
      </c>
    </row>
    <row r="112" spans="1:6" ht="24">
      <c r="A112" s="3303">
        <v>40</v>
      </c>
      <c r="B112" s="3710"/>
      <c r="C112" s="3303" t="s">
        <v>2961</v>
      </c>
      <c r="D112" s="3284" t="s">
        <v>2962</v>
      </c>
      <c r="E112" s="3309">
        <v>0.1</v>
      </c>
      <c r="F112" s="3303">
        <v>15</v>
      </c>
    </row>
    <row r="113" spans="1:6" ht="24">
      <c r="A113" s="3303">
        <v>41</v>
      </c>
      <c r="B113" s="3719" t="s">
        <v>2963</v>
      </c>
      <c r="C113" s="3303" t="s">
        <v>2964</v>
      </c>
      <c r="D113" s="3284" t="s">
        <v>2965</v>
      </c>
      <c r="E113" s="3309">
        <v>0.1</v>
      </c>
      <c r="F113" s="3303">
        <v>15</v>
      </c>
    </row>
    <row r="114" spans="1:6" ht="13.5">
      <c r="A114" s="3303">
        <v>42</v>
      </c>
      <c r="B114" s="3719"/>
      <c r="C114" s="3303" t="s">
        <v>2966</v>
      </c>
      <c r="D114" s="3284" t="s">
        <v>2967</v>
      </c>
      <c r="E114" s="3309">
        <v>0.1</v>
      </c>
      <c r="F114" s="3303">
        <v>15</v>
      </c>
    </row>
    <row r="115" spans="1:6" ht="24">
      <c r="A115" s="3303">
        <v>43</v>
      </c>
      <c r="B115" s="3719"/>
      <c r="C115" s="3303" t="s">
        <v>2968</v>
      </c>
      <c r="D115" s="3284" t="s">
        <v>2969</v>
      </c>
      <c r="E115" s="3309">
        <v>0.1</v>
      </c>
      <c r="F115" s="3303">
        <v>15</v>
      </c>
    </row>
    <row r="116" spans="1:6" ht="24">
      <c r="A116" s="3303">
        <v>44</v>
      </c>
      <c r="B116" s="3708" t="s">
        <v>2970</v>
      </c>
      <c r="C116" s="3303" t="s">
        <v>2971</v>
      </c>
      <c r="D116" s="3284" t="s">
        <v>2972</v>
      </c>
      <c r="E116" s="3309">
        <v>0.1</v>
      </c>
      <c r="F116" s="3303">
        <v>15</v>
      </c>
    </row>
    <row r="117" spans="1:6" ht="24">
      <c r="A117" s="3303">
        <v>45</v>
      </c>
      <c r="B117" s="3710"/>
      <c r="C117" s="3284" t="s">
        <v>2973</v>
      </c>
      <c r="D117" s="3284" t="s">
        <v>2974</v>
      </c>
      <c r="E117" s="3309">
        <v>0.1</v>
      </c>
      <c r="F117" s="3303">
        <v>15</v>
      </c>
    </row>
    <row r="118" spans="1:6" ht="24">
      <c r="A118" s="3303">
        <v>46</v>
      </c>
      <c r="B118" s="3708" t="s">
        <v>2975</v>
      </c>
      <c r="C118" s="3303" t="s">
        <v>2976</v>
      </c>
      <c r="D118" s="3284" t="s">
        <v>2977</v>
      </c>
      <c r="E118" s="3309">
        <v>0.1</v>
      </c>
      <c r="F118" s="3303">
        <v>15</v>
      </c>
    </row>
    <row r="119" spans="1:6" ht="24">
      <c r="A119" s="3303">
        <v>47</v>
      </c>
      <c r="B119" s="3710"/>
      <c r="C119" s="3303" t="s">
        <v>2978</v>
      </c>
      <c r="D119" s="3284" t="s">
        <v>2979</v>
      </c>
      <c r="E119" s="3309">
        <v>0.1</v>
      </c>
      <c r="F119" s="3303">
        <v>15</v>
      </c>
    </row>
    <row r="120" spans="1:6" ht="24">
      <c r="A120" s="3303">
        <v>48</v>
      </c>
      <c r="B120" s="3708" t="s">
        <v>2980</v>
      </c>
      <c r="C120" s="3303" t="s">
        <v>2981</v>
      </c>
      <c r="D120" s="3284" t="s">
        <v>2982</v>
      </c>
      <c r="E120" s="3309">
        <v>0.1</v>
      </c>
      <c r="F120" s="3303">
        <v>15</v>
      </c>
    </row>
    <row r="121" spans="1:6" ht="13.5">
      <c r="A121" s="3303">
        <v>49</v>
      </c>
      <c r="B121" s="3710"/>
      <c r="C121" s="3303" t="s">
        <v>2983</v>
      </c>
      <c r="D121" s="3284" t="s">
        <v>2984</v>
      </c>
      <c r="E121" s="3309">
        <v>0.1</v>
      </c>
      <c r="F121" s="3303">
        <v>15</v>
      </c>
    </row>
    <row r="122" spans="1:6" ht="24">
      <c r="A122" s="3303">
        <v>50</v>
      </c>
      <c r="B122" s="3719" t="s">
        <v>2985</v>
      </c>
      <c r="C122" s="3303" t="s">
        <v>2986</v>
      </c>
      <c r="D122" s="3284" t="s">
        <v>2987</v>
      </c>
      <c r="E122" s="3309">
        <v>0.1</v>
      </c>
      <c r="F122" s="3303">
        <v>15</v>
      </c>
    </row>
    <row r="123" spans="1:6" ht="24">
      <c r="A123" s="3303">
        <v>51</v>
      </c>
      <c r="B123" s="3719"/>
      <c r="C123" s="3303" t="s">
        <v>2988</v>
      </c>
      <c r="D123" s="3284" t="s">
        <v>2989</v>
      </c>
      <c r="E123" s="3309">
        <v>0.1</v>
      </c>
      <c r="F123" s="3303">
        <v>15</v>
      </c>
    </row>
    <row r="124" spans="1:6" ht="24">
      <c r="A124" s="3303">
        <v>52</v>
      </c>
      <c r="B124" s="3719" t="s">
        <v>2990</v>
      </c>
      <c r="C124" s="3303" t="s">
        <v>2991</v>
      </c>
      <c r="D124" s="3284" t="s">
        <v>2992</v>
      </c>
      <c r="E124" s="3309">
        <v>0.1</v>
      </c>
      <c r="F124" s="3303">
        <v>15</v>
      </c>
    </row>
    <row r="125" spans="1:6" ht="24">
      <c r="A125" s="3303">
        <v>53</v>
      </c>
      <c r="B125" s="3719"/>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19" t="s">
        <v>2998</v>
      </c>
      <c r="C127" s="3303" t="s">
        <v>2999</v>
      </c>
      <c r="D127" s="3284" t="s">
        <v>3000</v>
      </c>
      <c r="E127" s="3309">
        <v>0.1</v>
      </c>
      <c r="F127" s="3303">
        <v>15</v>
      </c>
    </row>
    <row r="128" spans="1:6" ht="13.5">
      <c r="A128" s="3303">
        <v>56</v>
      </c>
      <c r="B128" s="3719"/>
      <c r="C128" s="3303" t="s">
        <v>3001</v>
      </c>
      <c r="D128" s="3284" t="s">
        <v>3002</v>
      </c>
      <c r="E128" s="3309">
        <v>0.1</v>
      </c>
      <c r="F128" s="3303">
        <v>15</v>
      </c>
    </row>
    <row r="129" spans="1:6" ht="24">
      <c r="A129" s="3303">
        <v>57</v>
      </c>
      <c r="B129" s="3719"/>
      <c r="C129" s="3303" t="s">
        <v>3003</v>
      </c>
      <c r="D129" s="3284" t="s">
        <v>3004</v>
      </c>
      <c r="E129" s="3309">
        <v>0.1</v>
      </c>
      <c r="F129" s="3303">
        <v>15</v>
      </c>
    </row>
    <row r="130" spans="1:6" ht="24">
      <c r="A130" s="3303">
        <v>58</v>
      </c>
      <c r="B130" s="3719" t="s">
        <v>3005</v>
      </c>
      <c r="C130" s="3303" t="s">
        <v>3006</v>
      </c>
      <c r="D130" s="3284" t="s">
        <v>3007</v>
      </c>
      <c r="E130" s="3309">
        <v>0.1</v>
      </c>
      <c r="F130" s="3303">
        <v>15</v>
      </c>
    </row>
    <row r="131" spans="1:6" ht="24">
      <c r="A131" s="3303">
        <v>59</v>
      </c>
      <c r="B131" s="3719"/>
      <c r="C131" s="3303" t="s">
        <v>3008</v>
      </c>
      <c r="D131" s="3284" t="s">
        <v>3009</v>
      </c>
      <c r="E131" s="3309">
        <v>0.1</v>
      </c>
      <c r="F131" s="3303">
        <v>15</v>
      </c>
    </row>
    <row r="132" spans="1:6" ht="24">
      <c r="A132" s="3303">
        <v>60</v>
      </c>
      <c r="B132" s="3708" t="s">
        <v>3010</v>
      </c>
      <c r="C132" s="3303" t="s">
        <v>3011</v>
      </c>
      <c r="D132" s="3284" t="s">
        <v>3012</v>
      </c>
      <c r="E132" s="3309">
        <v>0.1</v>
      </c>
      <c r="F132" s="3303">
        <v>15</v>
      </c>
    </row>
    <row r="133" spans="1:6" ht="24">
      <c r="A133" s="3303">
        <v>61</v>
      </c>
      <c r="B133" s="3710"/>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19" t="s">
        <v>3018</v>
      </c>
      <c r="C135" s="3303" t="s">
        <v>3019</v>
      </c>
      <c r="D135" s="3284" t="s">
        <v>3020</v>
      </c>
      <c r="E135" s="3309">
        <v>0.1</v>
      </c>
      <c r="F135" s="3303">
        <v>15</v>
      </c>
    </row>
    <row r="136" spans="1:6" ht="13.5">
      <c r="A136" s="3303">
        <v>64</v>
      </c>
      <c r="B136" s="3719"/>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44802</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XX房地产</v>
      </c>
      <c r="C6" s="3346">
        <f>项目基本情况!C12</f>
        <v>177.57</v>
      </c>
      <c r="D6" s="3346"/>
      <c r="E6" s="1287"/>
    </row>
    <row r="7" spans="1:5" ht="14.25">
      <c r="A7" s="1287"/>
      <c r="B7" s="3340" t="s">
        <v>594</v>
      </c>
      <c r="C7" s="1293" t="str">
        <f>IF('数据-取费表'!B3="万元","总价（万元）","总价（元）")</f>
        <v>总价（万元）</v>
      </c>
      <c r="D7" s="1294">
        <f ca="1">IF('数据-取费表'!E3="否",结果表!I102,'结果表 (1修多)'!I104)</f>
        <v>650</v>
      </c>
      <c r="E7" s="1287"/>
    </row>
    <row r="8" spans="1:5" ht="14.25">
      <c r="A8" s="1287"/>
      <c r="B8" s="3340"/>
      <c r="C8" s="1295" t="s">
        <v>924</v>
      </c>
      <c r="D8" s="1296" t="str">
        <f ca="1">IF('数据-取费表'!B3="万元",NUMBERSTRING(INT(D7*10000),2)&amp;"元整",NUMBERSTRING(INT(D7),2)&amp;"元整")</f>
        <v>陆佰伍拾万元整</v>
      </c>
      <c r="E8" s="1287"/>
    </row>
    <row r="9" spans="1:5" ht="14.25">
      <c r="A9" s="1287"/>
      <c r="B9" s="3340"/>
      <c r="C9" s="1297" t="s">
        <v>1020</v>
      </c>
      <c r="D9" s="1294">
        <f ca="1">IF('数据-取费表'!E3="否",结果表!I103,'结果表 (1修多)'!I105)</f>
        <v>36590</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650</v>
      </c>
      <c r="E15" s="1287"/>
    </row>
    <row r="16" spans="1:5" ht="14.25">
      <c r="A16" s="1287"/>
      <c r="B16" s="3347"/>
      <c r="C16" s="1295" t="s">
        <v>924</v>
      </c>
      <c r="D16" s="1294" t="str">
        <f ca="1">IF('数据-取费表'!B3="万元",NUMBERSTRING(INT(D15*10000),2)&amp;"元整",NUMBERSTRING(INT(D15),2)&amp;"元整")</f>
        <v>陆佰伍拾万元整</v>
      </c>
      <c r="E16" s="1287"/>
    </row>
    <row r="17" spans="1:5" ht="14.25">
      <c r="A17" s="1287"/>
      <c r="B17" s="3347"/>
      <c r="C17" s="1297" t="s">
        <v>1020</v>
      </c>
      <c r="D17" s="1294">
        <f ca="1">IF('数据-取费表'!E3="否",结果表!I111,'结果表 (1修多)'!I113)</f>
        <v>36590</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650</v>
      </c>
      <c r="E28" s="1287"/>
    </row>
    <row r="29" spans="1:5" ht="14.25">
      <c r="A29" s="1287"/>
      <c r="B29" s="3326"/>
      <c r="C29" s="1306" t="s">
        <v>924</v>
      </c>
      <c r="D29" s="1307" t="str">
        <f ca="1">IF('数据-取费表'!B3="万元",NUMBERSTRING(INT(D28*10000),2)&amp;"元整",NUMBERSTRING(INT(D28),2)&amp;"元整")</f>
        <v>陆佰伍拾万元整</v>
      </c>
      <c r="E29" s="1287"/>
    </row>
    <row r="30" spans="1:5" ht="14.25">
      <c r="A30" s="1287"/>
      <c r="B30" s="3327"/>
      <c r="C30" s="1297" t="s">
        <v>927</v>
      </c>
      <c r="D30" s="1308">
        <f ca="1">IF('数据-取费表'!E3="否",结果表!I103,'结果表 (1修多)'!I105)</f>
        <v>36590</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650</v>
      </c>
      <c r="E36" s="1287"/>
    </row>
    <row r="37" spans="1:5" ht="14.25">
      <c r="A37" s="1287"/>
      <c r="B37" s="3328"/>
      <c r="C37" s="1306" t="s">
        <v>924</v>
      </c>
      <c r="D37" s="1311" t="str">
        <f ca="1">IF('数据-取费表'!B3="万元",NUMBERSTRING(INT(D36*10000),2)&amp;"元整",NUMBERSTRING(INT(D36),2)&amp;"元整")</f>
        <v>陆佰伍拾万元整</v>
      </c>
      <c r="E37" s="1287"/>
    </row>
    <row r="38" spans="1:5" ht="14.25">
      <c r="A38" s="1287"/>
      <c r="B38" s="3328"/>
      <c r="C38" s="1297" t="s">
        <v>928</v>
      </c>
      <c r="D38" s="1308">
        <f ca="1">IF('数据-取费表'!E3="否",结果表!D113,'结果表 (1修多)'!D117)</f>
        <v>36590</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XX房地产</v>
      </c>
      <c r="B4" s="776">
        <f>结果表!B121</f>
        <v>177.57</v>
      </c>
      <c r="C4" s="776">
        <f>结果表!C121</f>
        <v>0</v>
      </c>
      <c r="D4" s="776">
        <f ca="1">IF('数据-取费表'!E3="否",结果表!D121,'结果表 (1修多)'!D125)</f>
        <v>572</v>
      </c>
      <c r="E4" s="776">
        <f ca="1">IF('数据-取费表'!E3="否",结果表!E121,'结果表 (1修多)'!E125)</f>
        <v>32199</v>
      </c>
      <c r="F4" s="776">
        <f ca="1">IF('数据-取费表'!E3="否",结果表!F121,'结果表 (1修多)'!F125)</f>
        <v>78</v>
      </c>
      <c r="G4" s="776">
        <f ca="1">IF('数据-取费表'!E3="否",结果表!G121,'结果表 (1修多)'!G125)</f>
        <v>4391</v>
      </c>
      <c r="H4" s="776">
        <f ca="1">IF('数据-取费表'!E3="否",结果表!H121,'结果表 (1修多)'!H125)</f>
        <v>650</v>
      </c>
      <c r="I4" s="776">
        <f ca="1">IF('数据-取费表'!E3="否",结果表!I121,'结果表 (1修多)'!I125)</f>
        <v>36590</v>
      </c>
    </row>
    <row r="5" spans="1:9" ht="15">
      <c r="A5" s="3348" t="s">
        <v>1030</v>
      </c>
      <c r="B5" s="3348"/>
      <c r="C5" s="3348"/>
      <c r="D5" s="3349" t="str">
        <f ca="1">IF('数据-取费表'!E3="否",结果表!D122,'结果表 (1修多)'!D126)</f>
        <v>伍佰柒拾贰万元整</v>
      </c>
      <c r="E5" s="3349"/>
      <c r="F5" s="3349" t="str">
        <f ca="1">IF('数据-取费表'!E3="否",结果表!F122,'结果表 (1修多)'!F126)</f>
        <v>柒拾捌万元整</v>
      </c>
      <c r="G5" s="3349"/>
      <c r="H5" s="3349" t="str">
        <f ca="1">IF('数据-取费表'!E3="否",结果表!H122,'结果表 (1修多)'!H126)</f>
        <v>陆佰伍拾万元整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650</v>
      </c>
      <c r="E8" s="3350"/>
      <c r="F8" s="3350"/>
      <c r="G8" s="3350"/>
      <c r="H8" s="3350"/>
      <c r="I8" s="3350"/>
    </row>
    <row r="9" spans="1:9" ht="15">
      <c r="A9" s="3348" t="s">
        <v>1030</v>
      </c>
      <c r="B9" s="3348"/>
      <c r="C9" s="3348"/>
      <c r="D9" s="3349">
        <f ca="1">IF('数据-取费表'!E3="否",结果表!D126,'结果表 (1修多)'!D130)</f>
        <v>36590</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2495</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2"/>
      <c r="C13" s="3362"/>
      <c r="D13" s="3362"/>
    </row>
    <row r="14" spans="1:4" ht="30" customHeight="1">
      <c r="A14" s="336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2"/>
      <c r="C14" s="3362"/>
      <c r="D14" s="3362"/>
    </row>
    <row r="15" spans="1:4" ht="15.75" customHeight="1">
      <c r="A15" s="3361" t="str">
        <f>IF(项目基本情况!D4="抵押","4.本次评估估价师所知悉的法定优先受偿款情况说明如下：","——")</f>
        <v>4.本次评估估价师所知悉的法定优先受偿款情况说明如下：</v>
      </c>
      <c r="B15" s="3362"/>
      <c r="C15" s="3362"/>
      <c r="D15" s="3362"/>
    </row>
    <row r="16" spans="1:4" ht="75" customHeight="1">
      <c r="A16" s="336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1"/>
      <c r="C16" s="3361"/>
      <c r="D16" s="3361"/>
    </row>
    <row r="17" spans="1:4" ht="63.75" customHeight="1">
      <c r="A17" s="3363" t="s">
        <v>1045</v>
      </c>
      <c r="B17" s="3363"/>
      <c r="C17" s="3363"/>
      <c r="D17" s="3363"/>
    </row>
    <row r="18" spans="1:4" ht="15.75" customHeight="1">
      <c r="A18" s="3361" t="str">
        <f>IF(项目基本情况!D4="抵押",结果表!L106,"——")</f>
        <v>本次评估不存在估价师所知悉的法定优先受偿款。</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2496</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44802</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本次估价的“房地产价值”是指在正常市场情况下，在价值时点2022年8月29日，估价对象规划用途为，假定未设立法定优先受偿款下的房地产市场价值。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2022-08-29T09:31:29Z</dcterms:modified>
</cp:coreProperties>
</file>