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120" windowWidth="21840" windowHeight="55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L5" i="80" l="1"/>
  <c r="P7" i="80"/>
  <c r="Q4" i="80"/>
  <c r="G84" i="43"/>
  <c r="G85" i="43"/>
  <c r="G86" i="43"/>
  <c r="G87" i="43"/>
  <c r="G88" i="43"/>
  <c r="G89" i="43"/>
  <c r="G90" i="43"/>
  <c r="G83" i="43"/>
  <c r="Q6" i="80" l="1"/>
  <c r="Q8" i="80"/>
  <c r="Q5" i="80"/>
  <c r="I10" i="80" s="1"/>
  <c r="I9" i="80"/>
  <c r="I6" i="80"/>
  <c r="Q7" i="80"/>
  <c r="Q9" i="80"/>
  <c r="P5" i="80"/>
  <c r="P8" i="80"/>
  <c r="P6" i="80"/>
  <c r="P9" i="80"/>
  <c r="Y6" i="1"/>
  <c r="I11" i="80" l="1"/>
  <c r="I7" i="80"/>
  <c r="I8" i="80"/>
  <c r="D14" i="80"/>
  <c r="H14" i="80" s="1"/>
  <c r="I13" i="3" l="1"/>
  <c r="D33" i="43" s="1"/>
  <c r="I14" i="80"/>
  <c r="B40" i="9"/>
  <c r="F19" i="6" l="1"/>
  <c r="B27" i="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D42" i="71" s="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X33" i="71" s="1"/>
  <c r="Q35" i="71"/>
  <c r="AB35" i="71"/>
  <c r="P35" i="71"/>
  <c r="O35" i="71"/>
  <c r="N35" i="71"/>
  <c r="Q34" i="71"/>
  <c r="P34" i="71"/>
  <c r="AA34" i="71" s="1"/>
  <c r="O34" i="71"/>
  <c r="Y34" i="71"/>
  <c r="Z34" i="71" s="1"/>
  <c r="N34" i="71"/>
  <c r="Q33" i="71"/>
  <c r="F34" i="71" s="1"/>
  <c r="F35" i="71" s="1"/>
  <c r="F36" i="71" s="1"/>
  <c r="V36" i="71" s="1"/>
  <c r="P33" i="71"/>
  <c r="O33" i="71"/>
  <c r="N33" i="71"/>
  <c r="D33" i="71"/>
  <c r="Q32" i="71"/>
  <c r="P32" i="71"/>
  <c r="AA31" i="71" s="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T28" i="71" s="1"/>
  <c r="N28" i="71"/>
  <c r="B30" i="71"/>
  <c r="B31" i="71" s="1"/>
  <c r="B32" i="71" s="1"/>
  <c r="S32" i="71" s="1"/>
  <c r="X29" i="71"/>
  <c r="B34" i="71"/>
  <c r="B35" i="71" s="1"/>
  <c r="B36" i="71"/>
  <c r="S36" i="71" s="1"/>
  <c r="E38" i="71"/>
  <c r="E39" i="71" s="1"/>
  <c r="E40" i="71" s="1"/>
  <c r="U40" i="71" s="1"/>
  <c r="AA37" i="71"/>
  <c r="N68" i="71"/>
  <c r="E34" i="71"/>
  <c r="E35" i="71" s="1"/>
  <c r="E36" i="71" s="1"/>
  <c r="U36" i="71" s="1"/>
  <c r="AA33" i="71"/>
  <c r="C30" i="71"/>
  <c r="Y29" i="71"/>
  <c r="Z29" i="71" s="1"/>
  <c r="AA30" i="71"/>
  <c r="AA32" i="71"/>
  <c r="C34" i="71"/>
  <c r="C35" i="71"/>
  <c r="C36" i="71" s="1"/>
  <c r="X34" i="71"/>
  <c r="X36" i="71"/>
  <c r="C38" i="71"/>
  <c r="D38" i="71" s="1"/>
  <c r="Y37" i="71"/>
  <c r="Z37" i="71"/>
  <c r="X38" i="71"/>
  <c r="F51" i="71"/>
  <c r="F52" i="71" s="1"/>
  <c r="V52" i="71"/>
  <c r="Y26" i="71"/>
  <c r="Z26" i="71" s="1"/>
  <c r="Y28" i="71"/>
  <c r="Z28" i="71" s="1"/>
  <c r="B28" i="71"/>
  <c r="B27" i="71" s="1"/>
  <c r="B26" i="71"/>
  <c r="X28" i="71"/>
  <c r="C31" i="71"/>
  <c r="D30" i="71"/>
  <c r="D34" i="71"/>
  <c r="C39" i="71"/>
  <c r="C40" i="71" s="1"/>
  <c r="C43" i="71"/>
  <c r="C47" i="71"/>
  <c r="D47" i="71" s="1"/>
  <c r="D46" i="71"/>
  <c r="C51" i="71"/>
  <c r="D50" i="71"/>
  <c r="P28" i="71"/>
  <c r="E55" i="71"/>
  <c r="E56" i="71" s="1"/>
  <c r="U56" i="71"/>
  <c r="E59" i="71"/>
  <c r="E60" i="71"/>
  <c r="U60" i="71" s="1"/>
  <c r="E63" i="71"/>
  <c r="E64" i="71" s="1"/>
  <c r="U64" i="71"/>
  <c r="U68" i="71"/>
  <c r="E67" i="71"/>
  <c r="Q28"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C27" i="71"/>
  <c r="C26" i="71" s="1"/>
  <c r="D26" i="71" s="1"/>
  <c r="S28" i="71"/>
  <c r="F28" i="71"/>
  <c r="F27" i="71" s="1"/>
  <c r="F26" i="71" s="1"/>
  <c r="AB26" i="71"/>
  <c r="AB28" i="71"/>
  <c r="E28" i="71"/>
  <c r="E27" i="71"/>
  <c r="E26" i="71" s="1"/>
  <c r="AA3" i="71"/>
  <c r="AA26" i="71"/>
  <c r="AA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C44" i="71"/>
  <c r="D43" i="71"/>
  <c r="D39" i="71"/>
  <c r="D35" i="71"/>
  <c r="C32" i="71"/>
  <c r="D31" i="71"/>
  <c r="V28" i="71"/>
  <c r="P66" i="71"/>
  <c r="O66" i="71"/>
  <c r="D66" i="71"/>
  <c r="O65" i="71"/>
  <c r="T32" i="71"/>
  <c r="D32"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C18" i="9"/>
  <c r="D18" i="9" s="1"/>
  <c r="F34" i="67"/>
  <c r="F62" i="67" s="1"/>
  <c r="M20" i="67"/>
  <c r="F34" i="15"/>
  <c r="F62" i="15"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AP7" i="1"/>
  <c r="AB45" i="21"/>
  <c r="AB9" i="21"/>
  <c r="U9" i="21"/>
  <c r="S32" i="21"/>
  <c r="AC9"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H109"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B9" i="76"/>
  <c r="F40" i="15"/>
  <c r="B10" i="76"/>
  <c r="F36" i="67"/>
  <c r="C76" i="67"/>
  <c r="F37" i="15"/>
  <c r="M8" i="15"/>
  <c r="B8" i="76"/>
  <c r="F13" i="67"/>
  <c r="E2" i="69"/>
  <c r="F8" i="15"/>
  <c r="F38" i="15"/>
  <c r="F20" i="31"/>
  <c r="D4" i="73"/>
  <c r="F6" i="73"/>
  <c r="F16" i="15"/>
  <c r="F4" i="73"/>
  <c r="B13" i="76"/>
  <c r="F6" i="15"/>
  <c r="J15" i="67"/>
  <c r="F38" i="67"/>
  <c r="B7" i="76"/>
  <c r="M9" i="67"/>
  <c r="E2" i="68"/>
  <c r="L47" i="67"/>
  <c r="L48" i="67"/>
  <c r="F7" i="67"/>
  <c r="F37" i="67"/>
  <c r="D3" i="73"/>
  <c r="E12" i="76"/>
  <c r="M29" i="67"/>
  <c r="AO13" i="1"/>
  <c r="E11" i="76"/>
  <c r="F43" i="67"/>
  <c r="D5" i="73"/>
  <c r="M28" i="15"/>
  <c r="F7" i="15"/>
  <c r="F7" i="73"/>
  <c r="M26" i="67"/>
  <c r="F8" i="67"/>
  <c r="F6" i="67"/>
  <c r="M23" i="15"/>
  <c r="M9" i="15"/>
  <c r="M24" i="15"/>
  <c r="F16" i="67"/>
  <c r="F13" i="15"/>
  <c r="M24" i="67"/>
  <c r="F43" i="15"/>
  <c r="M23" i="67"/>
  <c r="M29" i="15"/>
  <c r="F26" i="67"/>
  <c r="M26" i="15"/>
  <c r="E9" i="76"/>
  <c r="F5" i="73"/>
  <c r="L48" i="15"/>
  <c r="D6" i="73"/>
  <c r="F9" i="15"/>
  <c r="M6" i="15"/>
  <c r="M8" i="67"/>
  <c r="L47" i="15"/>
  <c r="B11" i="76"/>
  <c r="F42" i="67"/>
  <c r="F36" i="15"/>
  <c r="E13" i="76"/>
  <c r="M22" i="15"/>
  <c r="F42" i="15"/>
  <c r="M22" i="67"/>
  <c r="J15" i="15"/>
  <c r="E7" i="76"/>
  <c r="C76" i="15"/>
  <c r="F9" i="67"/>
  <c r="D7" i="73"/>
  <c r="M6" i="67"/>
  <c r="F3" i="73"/>
  <c r="E8" i="76"/>
  <c r="F40" i="67"/>
  <c r="M28" i="67"/>
  <c r="F26" i="15"/>
  <c r="B12" i="76"/>
  <c r="E10" i="76"/>
  <c r="G13" i="3" l="1"/>
  <c r="D88" i="43"/>
  <c r="G6" i="1"/>
  <c r="I24" i="43"/>
  <c r="C21" i="68"/>
  <c r="C28" i="67"/>
  <c r="E15" i="71"/>
  <c r="E14" i="71" s="1"/>
  <c r="E13" i="71" s="1"/>
  <c r="E12" i="71" s="1"/>
  <c r="V16" i="71"/>
  <c r="D16" i="53"/>
  <c r="B34" i="72" s="1"/>
  <c r="V20" i="71"/>
  <c r="AC23" i="21"/>
  <c r="AZ557" i="3"/>
  <c r="AB31" i="21"/>
  <c r="U31" i="21"/>
  <c r="B94" i="43"/>
  <c r="B73" i="43"/>
  <c r="B99" i="43"/>
  <c r="B76" i="43"/>
  <c r="J9" i="34"/>
  <c r="F9" i="34"/>
  <c r="AA9" i="34" s="1"/>
  <c r="J12" i="34"/>
  <c r="F12" i="34"/>
  <c r="J34" i="35"/>
  <c r="H34" i="35"/>
  <c r="F34" i="35"/>
  <c r="J23" i="36"/>
  <c r="H23" i="36"/>
  <c r="F23" i="36"/>
  <c r="C16" i="71"/>
  <c r="D17" i="71"/>
  <c r="AB15" i="21"/>
  <c r="W17" i="21"/>
  <c r="AC15" i="21"/>
  <c r="S20" i="35"/>
  <c r="U12" i="39"/>
  <c r="AA27" i="40"/>
  <c r="AB27" i="40"/>
  <c r="G28" i="6"/>
  <c r="F29" i="6"/>
  <c r="U43" i="33"/>
  <c r="AA41" i="34"/>
  <c r="U46" i="33"/>
  <c r="AA13" i="35"/>
  <c r="B101" i="43"/>
  <c r="B79" i="43"/>
  <c r="B97" i="43"/>
  <c r="B75" i="43"/>
  <c r="H36" i="35"/>
  <c r="J36" i="35"/>
  <c r="AZ416" i="3"/>
  <c r="AZ425" i="3"/>
  <c r="AZ432" i="3"/>
  <c r="AZ464" i="3"/>
  <c r="AZ467" i="3"/>
  <c r="AZ474" i="3"/>
  <c r="AZ480" i="3"/>
  <c r="AZ482" i="3"/>
  <c r="AZ486" i="3"/>
  <c r="AZ488" i="3"/>
  <c r="AZ220" i="3"/>
  <c r="AZ228" i="3"/>
  <c r="AZ231" i="3"/>
  <c r="AZ264" i="3"/>
  <c r="AZ302" i="3"/>
  <c r="AZ122" i="3"/>
  <c r="AZ125" i="3"/>
  <c r="G551" i="3"/>
  <c r="G5" i="3" s="1"/>
  <c r="B3" i="3" s="1"/>
  <c r="BL548" i="3"/>
  <c r="AZ548" i="3" s="1"/>
  <c r="AZ399" i="3"/>
  <c r="AZ404" i="3"/>
  <c r="AZ414" i="3"/>
  <c r="AZ421" i="3"/>
  <c r="AZ440" i="3"/>
  <c r="AZ449" i="3"/>
  <c r="AZ453" i="3"/>
  <c r="AZ455" i="3"/>
  <c r="AZ460" i="3"/>
  <c r="AZ476" i="3"/>
  <c r="AZ492" i="3"/>
  <c r="AZ211" i="3"/>
  <c r="AZ239" i="3"/>
  <c r="AZ255" i="3"/>
  <c r="AZ274" i="3"/>
  <c r="AZ277" i="3"/>
  <c r="A15" i="62"/>
  <c r="B61" i="72" s="1"/>
  <c r="AZ22" i="3"/>
  <c r="AZ169" i="3"/>
  <c r="AZ185" i="3"/>
  <c r="AZ201" i="3"/>
  <c r="AZ207" i="3"/>
  <c r="AZ46" i="3"/>
  <c r="AZ49" i="3"/>
  <c r="AZ62" i="3"/>
  <c r="AZ65" i="3"/>
  <c r="AZ76" i="3"/>
  <c r="AZ78" i="3"/>
  <c r="AZ87" i="3"/>
  <c r="AZ91" i="3"/>
  <c r="AZ95" i="3"/>
  <c r="AZ98" i="3"/>
  <c r="AZ100" i="3"/>
  <c r="D40" i="71"/>
  <c r="T40" i="71"/>
  <c r="D36" i="71"/>
  <c r="T36" i="71"/>
  <c r="X25" i="71"/>
  <c r="X27" i="71"/>
  <c r="E30" i="71"/>
  <c r="E31" i="71" s="1"/>
  <c r="E32" i="71" s="1"/>
  <c r="U32" i="71" s="1"/>
  <c r="AA29" i="71"/>
  <c r="Y35" i="71"/>
  <c r="Z35" i="71" s="1"/>
  <c r="Y33" i="71"/>
  <c r="Z33" i="71" s="1"/>
  <c r="B38" i="71"/>
  <c r="B39" i="71" s="1"/>
  <c r="B40" i="71" s="1"/>
  <c r="S40" i="71" s="1"/>
  <c r="X37" i="71"/>
  <c r="AB38" i="71"/>
  <c r="AB37" i="71"/>
  <c r="AB9" i="71"/>
  <c r="AB39" i="71"/>
  <c r="S21" i="21"/>
  <c r="U18" i="36"/>
  <c r="D27" i="71"/>
  <c r="D28" i="71"/>
  <c r="U28" i="71" s="1"/>
  <c r="AA27" i="71"/>
  <c r="AA25" i="71"/>
  <c r="AB27" i="71"/>
  <c r="AB25" i="71"/>
  <c r="X26" i="71"/>
  <c r="Y27" i="71"/>
  <c r="Z27" i="71" s="1"/>
  <c r="Y25" i="71"/>
  <c r="Z25" i="71" s="1"/>
  <c r="X35" i="71"/>
  <c r="AB29" i="71"/>
  <c r="Y30" i="71"/>
  <c r="Z30" i="71" s="1"/>
  <c r="Y31" i="71"/>
  <c r="Z31" i="71" s="1"/>
  <c r="AB31" i="71"/>
  <c r="X31" i="71"/>
  <c r="X32" i="71"/>
  <c r="AB32" i="71"/>
  <c r="AB34" i="71"/>
  <c r="AB33" i="71"/>
  <c r="AA35" i="71"/>
  <c r="AA36" i="71"/>
  <c r="X9" i="71"/>
  <c r="X10" i="71"/>
  <c r="X39" i="71"/>
  <c r="Y9" i="71"/>
  <c r="Z9" i="71" s="1"/>
  <c r="Y10" i="71"/>
  <c r="Z10" i="71" s="1"/>
  <c r="AA9" i="71"/>
  <c r="AA10" i="71"/>
  <c r="X24" i="71"/>
  <c r="AA24" i="71"/>
  <c r="Y24" i="71"/>
  <c r="Z24" i="71" s="1"/>
  <c r="AB23" i="71"/>
  <c r="AA21" i="71"/>
  <c r="X21" i="71"/>
  <c r="Y18" i="71"/>
  <c r="Z18" i="71" s="1"/>
  <c r="AB18" i="71"/>
  <c r="Y14" i="71"/>
  <c r="Z14" i="71" s="1"/>
  <c r="AB10" i="71"/>
  <c r="AB24" i="71"/>
  <c r="AA23" i="71"/>
  <c r="X22" i="71"/>
  <c r="AB21" i="71"/>
  <c r="X17" i="71"/>
  <c r="Y17" i="71"/>
  <c r="Z17" i="71" s="1"/>
  <c r="AA17" i="71"/>
  <c r="Y23" i="71"/>
  <c r="Z23" i="71" s="1"/>
  <c r="Y22" i="71"/>
  <c r="Z22" i="71" s="1"/>
  <c r="Y21" i="71"/>
  <c r="Z21" i="71" s="1"/>
  <c r="AA22" i="71"/>
  <c r="X18" i="71"/>
  <c r="AA18" i="71"/>
  <c r="X15" i="71"/>
  <c r="AA15" i="71"/>
  <c r="AB12" i="71"/>
  <c r="Y11" i="71"/>
  <c r="Z11" i="71" s="1"/>
  <c r="Y12" i="71"/>
  <c r="Z12" i="71" s="1"/>
  <c r="Y13" i="71"/>
  <c r="Z13" i="71" s="1"/>
  <c r="AA13" i="71"/>
  <c r="AA14" i="71"/>
  <c r="X12" i="71"/>
  <c r="X13" i="71"/>
  <c r="F67" i="71"/>
  <c r="AB15" i="71"/>
  <c r="AB17" i="71"/>
  <c r="AB11" i="71"/>
  <c r="AB13" i="71"/>
  <c r="AB14" i="71"/>
  <c r="AA11" i="7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36" i="68"/>
  <c r="G1" i="73"/>
  <c r="C16" i="15"/>
  <c r="C16" i="67"/>
  <c r="K16" i="1" l="1"/>
  <c r="P6" i="1"/>
  <c r="C13" i="12"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493" i="3"/>
  <c r="E564" i="3"/>
  <c r="E543" i="3"/>
  <c r="E486" i="3"/>
  <c r="E507" i="3"/>
  <c r="E440" i="3"/>
  <c r="E376" i="3"/>
  <c r="AH6" i="3"/>
  <c r="E498" i="3"/>
  <c r="E483" i="3"/>
  <c r="E463" i="3"/>
  <c r="E25" i="3"/>
  <c r="E108" i="3"/>
  <c r="E119" i="3"/>
  <c r="E242" i="3"/>
  <c r="E276" i="3"/>
  <c r="E333" i="3"/>
  <c r="L6" i="3"/>
  <c r="E60" i="3"/>
  <c r="E540" i="3"/>
  <c r="E15" i="3"/>
  <c r="E79" i="3"/>
  <c r="E100" i="3"/>
  <c r="E137" i="3"/>
  <c r="E234" i="3"/>
  <c r="E219" i="3"/>
  <c r="E339" i="3"/>
  <c r="E392" i="3"/>
  <c r="E52" i="3"/>
  <c r="E112" i="3"/>
  <c r="E147" i="3"/>
  <c r="E340" i="3"/>
  <c r="E364" i="3"/>
  <c r="E20" i="3"/>
  <c r="E176" i="3"/>
  <c r="E265" i="3"/>
  <c r="E365" i="3"/>
  <c r="E101" i="3"/>
  <c r="E393" i="3"/>
  <c r="E427" i="3"/>
  <c r="E422" i="3"/>
  <c r="E490" i="3"/>
  <c r="J6" i="3"/>
  <c r="E419" i="3"/>
  <c r="E401" i="3"/>
  <c r="E40" i="3"/>
  <c r="E178" i="3"/>
  <c r="E202" i="3"/>
  <c r="E226" i="3"/>
  <c r="E346" i="3"/>
  <c r="E372" i="3"/>
  <c r="E43" i="3"/>
  <c r="E473" i="3"/>
  <c r="E455" i="3"/>
  <c r="E38" i="3"/>
  <c r="E170" i="3"/>
  <c r="E194" i="3"/>
  <c r="E299" i="3"/>
  <c r="E325" i="3"/>
  <c r="AQ6" i="3"/>
  <c r="E36" i="3"/>
  <c r="E123" i="3"/>
  <c r="E289" i="3"/>
  <c r="E50" i="3"/>
  <c r="E62" i="3"/>
  <c r="E218" i="3"/>
  <c r="E52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AB36" i="35"/>
  <c r="U36" i="35"/>
  <c r="C15" i="71"/>
  <c r="T16" i="71"/>
  <c r="U23" i="36"/>
  <c r="AB23" i="36"/>
  <c r="AA34" i="35"/>
  <c r="S34" i="35"/>
  <c r="AC34" i="35"/>
  <c r="W34" i="35"/>
  <c r="W12" i="34"/>
  <c r="AC12" i="34"/>
  <c r="AC9" i="34"/>
  <c r="W9" i="34"/>
  <c r="BL5" i="3"/>
  <c r="AZ5" i="3"/>
  <c r="AY6" i="3" s="1"/>
  <c r="F66" i="71"/>
  <c r="Q67" i="71"/>
  <c r="W36" i="35"/>
  <c r="AC36" i="35"/>
  <c r="AA23" i="36"/>
  <c r="S23" i="36"/>
  <c r="AC23" i="36"/>
  <c r="W23" i="36"/>
  <c r="AB34" i="35"/>
  <c r="U34" i="35"/>
  <c r="S12" i="34"/>
  <c r="AA12" i="34"/>
  <c r="E11" i="71"/>
  <c r="E10" i="71" s="1"/>
  <c r="E9" i="71" s="1"/>
  <c r="E8" i="71" s="1"/>
  <c r="E7" i="71" s="1"/>
  <c r="E6" i="71" s="1"/>
  <c r="E5" i="71" s="1"/>
  <c r="V12"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AC6" i="3" l="1"/>
  <c r="E6" i="3" s="1"/>
  <c r="E3" i="6"/>
  <c r="E65" i="39"/>
  <c r="Q66" i="71"/>
  <c r="Q65" i="71"/>
  <c r="D15" i="71"/>
  <c r="C14"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4" i="71" l="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C25" i="11" l="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8" i="68" l="1"/>
  <c r="B29" i="1"/>
  <c r="C18" i="12"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H26" i="43" l="1"/>
  <c r="N94" i="46"/>
  <c r="G26" i="43"/>
  <c r="N370" i="46"/>
  <c r="J26" i="43"/>
  <c r="B116" i="43"/>
  <c r="F26" i="43"/>
  <c r="E26" i="43"/>
  <c r="Z7" i="43"/>
  <c r="C10" i="71"/>
  <c r="D11" i="7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AC7" i="21"/>
  <c r="V48" i="21" s="1"/>
  <c r="I48" i="21" s="1"/>
  <c r="W7" i="21"/>
  <c r="D26" i="43" l="1"/>
  <c r="C25" i="43" s="1"/>
  <c r="C33"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AA7" i="21"/>
  <c r="R48" i="21" s="1"/>
  <c r="C9" i="71"/>
  <c r="D10"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118" i="43" l="1"/>
  <c r="D116" i="43" s="1"/>
  <c r="C34" i="43"/>
  <c r="E33" i="43"/>
  <c r="C30" i="43"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34" i="43" l="1"/>
  <c r="C31" i="43" s="1"/>
  <c r="C40" i="9"/>
  <c r="B2" i="43"/>
  <c r="C6"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E6" i="76"/>
  <c r="D2" i="21"/>
  <c r="E2" i="76" l="1"/>
  <c r="C7" i="68"/>
  <c r="C5" i="68"/>
  <c r="C27" i="9"/>
  <c r="E40" i="9"/>
  <c r="D27" i="9" s="1"/>
  <c r="D30" i="9" s="1"/>
  <c r="C38" i="9" s="1"/>
  <c r="H106" i="9" s="1"/>
  <c r="B2" i="76"/>
  <c r="B3" i="43"/>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B3" i="76" l="1"/>
  <c r="D12" i="53"/>
  <c r="B28" i="72" s="1"/>
  <c r="H103" i="9"/>
  <c r="C23" i="68"/>
  <c r="C20" i="68"/>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C28" i="68" l="1"/>
  <c r="C27" i="68" s="1"/>
  <c r="C25" i="68"/>
  <c r="C22" i="68" s="1"/>
  <c r="D8" i="53"/>
  <c r="D120"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1" i="1"/>
  <c r="AO10" i="1"/>
  <c r="AO8" i="1"/>
  <c r="AO12" i="1"/>
  <c r="D9" i="53" l="1"/>
  <c r="B25" i="72" s="1"/>
  <c r="B24" i="72"/>
  <c r="D121" i="9"/>
  <c r="D7" i="52" s="1"/>
  <c r="D6" i="52"/>
  <c r="K120" i="9"/>
  <c r="A18" i="62" s="1"/>
  <c r="B64" i="72" s="1"/>
  <c r="C31" i="68"/>
  <c r="C52"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2" i="68" l="1"/>
  <c r="C57" i="68"/>
  <c r="C56" i="68" s="1"/>
  <c r="B6" i="70"/>
  <c r="B2" i="70" s="1"/>
  <c r="B3" i="70" s="1"/>
  <c r="B3" i="15"/>
  <c r="D21" i="9"/>
  <c r="D102"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19" i="9"/>
  <c r="B3" i="68"/>
  <c r="D34" i="9"/>
  <c r="C20" i="9"/>
  <c r="D35" i="9"/>
  <c r="C103" i="9" l="1"/>
  <c r="C102" i="9"/>
  <c r="C21" i="9"/>
  <c r="G19" i="9"/>
  <c r="D22" i="9"/>
  <c r="G20" i="9"/>
  <c r="C32" i="9" s="1"/>
  <c r="C35" i="9" s="1"/>
  <c r="C34" i="9" s="1"/>
  <c r="D103" i="9"/>
  <c r="C42" i="40"/>
  <c r="C43" i="40"/>
  <c r="E47" i="40"/>
  <c r="F47" i="40" s="1"/>
  <c r="E46" i="40"/>
  <c r="F46" i="40" s="1"/>
  <c r="I47" i="40"/>
  <c r="J47" i="40" s="1"/>
  <c r="G21" i="9" l="1"/>
  <c r="D14" i="74"/>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D118" i="9" l="1"/>
  <c r="D4" i="52" s="1"/>
  <c r="B47" i="72" s="1"/>
  <c r="F118" i="9"/>
  <c r="F4" i="52" s="1"/>
  <c r="B51" i="72" s="1"/>
  <c r="H118" i="9"/>
  <c r="I118" i="9" s="1"/>
  <c r="H101" i="9" l="1"/>
  <c r="D5" i="53" s="1"/>
  <c r="D119" i="9"/>
  <c r="D5" i="52" s="1"/>
  <c r="B49" i="72" s="1"/>
  <c r="C105" i="9"/>
  <c r="I4" i="52"/>
  <c r="H102" i="9"/>
  <c r="H4" i="52"/>
  <c r="H119" i="9"/>
  <c r="H5" i="52" s="1"/>
  <c r="C104" i="9"/>
  <c r="F119" i="9"/>
  <c r="F5" i="52" s="1"/>
  <c r="B53" i="72" s="1"/>
  <c r="G118" i="9"/>
  <c r="G4" i="52" s="1"/>
  <c r="B52" i="72" s="1"/>
  <c r="M48" i="9" l="1"/>
  <c r="D45" i="9"/>
  <c r="C93" i="9" s="1"/>
  <c r="C86" i="9" s="1"/>
  <c r="H107" i="9"/>
  <c r="C5" i="74"/>
  <c r="D7" i="53"/>
  <c r="B21" i="72" s="1"/>
  <c r="B20" i="72"/>
  <c r="D6" i="53"/>
  <c r="B22" i="72" s="1"/>
  <c r="E118" i="9"/>
  <c r="E4" i="52" s="1"/>
  <c r="B48" i="72" s="1"/>
  <c r="D13" i="53" l="1"/>
  <c r="G14" i="74"/>
  <c r="B6" i="74" s="1"/>
  <c r="D6" i="74" s="1"/>
  <c r="D53" i="9"/>
  <c r="D122" i="9"/>
  <c r="D8" i="52" s="1"/>
  <c r="M49" i="9"/>
  <c r="L68" i="9" s="1"/>
  <c r="M68" i="9" s="1"/>
  <c r="D55" i="9"/>
  <c r="M53" i="9" s="1"/>
  <c r="H108" i="9"/>
  <c r="C6" i="74" s="1"/>
  <c r="C64" i="9"/>
  <c r="C63" i="9" s="1"/>
  <c r="C67" i="9" s="1"/>
  <c r="C68" i="9" s="1"/>
  <c r="D54" i="9" s="1"/>
  <c r="C72" i="9"/>
  <c r="C85" i="9"/>
  <c r="C95" i="9" s="1"/>
  <c r="C96" i="9" s="1"/>
  <c r="E96" i="9" s="1"/>
  <c r="E97" i="9" s="1"/>
  <c r="D52" i="9"/>
  <c r="C78" i="9"/>
  <c r="C73" i="9" s="1"/>
  <c r="B30" i="72"/>
  <c r="D14" i="53"/>
  <c r="B32" i="72" s="1"/>
  <c r="L64" i="9" l="1"/>
  <c r="M64" i="9" s="1"/>
  <c r="L66" i="9"/>
  <c r="M66" i="9" s="1"/>
  <c r="D15" i="53"/>
  <c r="B31" i="72" s="1"/>
  <c r="L67" i="9"/>
  <c r="M67" i="9" s="1"/>
  <c r="L63" i="9"/>
  <c r="M63" i="9" s="1"/>
  <c r="L65" i="9"/>
  <c r="M65" i="9" s="1"/>
  <c r="C79" i="9"/>
  <c r="C80" i="9" s="1"/>
  <c r="E80" i="9" s="1"/>
  <c r="E81" i="9" s="1"/>
  <c r="D123" i="9"/>
  <c r="D9" i="52" s="1"/>
  <c r="D59" i="9"/>
  <c r="M55" i="9" s="1"/>
  <c r="C97" i="9"/>
  <c r="D58" i="9" s="1"/>
  <c r="D56" i="9" s="1"/>
  <c r="M54" i="9" s="1"/>
  <c r="C81" i="9"/>
  <c r="M69" i="9" l="1"/>
  <c r="N69" i="9" s="1"/>
  <c r="N57" i="9"/>
  <c r="N58" i="9" s="1"/>
  <c r="N59" i="9" l="1"/>
  <c r="N61" i="9" s="1"/>
  <c r="H112" i="9" s="1"/>
  <c r="C8" i="74" s="1"/>
  <c r="P57" i="9"/>
  <c r="N60" i="9" l="1"/>
  <c r="H111" i="9"/>
  <c r="D21" i="53"/>
  <c r="B39" i="72" s="1"/>
  <c r="D19" i="53" l="1"/>
  <c r="D126" i="9"/>
  <c r="D20" i="53" l="1"/>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<sst xmlns="http://schemas.openxmlformats.org/spreadsheetml/2006/main" count="7868" uniqueCount="3444">
  <si>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</si>
  <si>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</si>
  <si>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</si>
  <si>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</si>
  <si>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</si>
  <si>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</si>
  <si>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</si>
  <si>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</si>
  <si>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</si>
  <si>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</si>
  <si>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</si>
  <si>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</si>
  <si>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</si>
  <si>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</si>
  <si>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</si>
  <si>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</si>
  <si>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</si>
  <si>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</si>
  <si>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</si>
  <si>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</si>
  <si>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</si>
  <si>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</si>
  <si>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</si>
  <si>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</si>
  <si>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</si>
  <si>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</si>
  <si>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</si>
  <si>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</si>
  <si>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</si>
  <si>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</si>
  <si>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</si>
  <si>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</si>
  <si>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</si>
  <si>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</si>
  <si>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</si>
  <si>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</si>
  <si>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</si>
  <si>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</si>
  <si>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</si>
  <si>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</si>
  <si>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</si>
  <si>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</si>
  <si>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</si>
  <si>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</si>
  <si>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</si>
  <si>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</si>
  <si>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</si>
  <si>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</si>
  <si>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</si>
  <si>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</si>
  <si>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</si>
  <si>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</si>
  <si>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</si>
  <si>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</si>
  <si>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</si>
  <si>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</si>
  <si>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</si>
  <si>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</si>
  <si>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</si>
  <si>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</si>
  <si>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</si>
  <si>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</si>
  <si>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</si>
  <si>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</si>
  <si>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</si>
  <si>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</si>
  <si>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</si>
  <si>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</si>
  <si>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</si>
  <si>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</si>
  <si>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</si>
  <si>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</si>
  <si>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</si>
  <si>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</si>
  <si>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</si>
  <si>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</si>
  <si>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</si>
  <si>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</si>
  <si>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</si>
  <si>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</si>
  <si>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</si>
  <si>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</si>
  <si>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</si>
  <si>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</si>
  <si>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</si>
  <si>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</si>
  <si>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</si>
  <si>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</si>
  <si>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</si>
  <si>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</si>
  <si>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</si>
  <si>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</si>
  <si>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</si>
  <si>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</si>
  <si>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</si>
  <si>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</si>
  <si>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</si>
  <si>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</si>
  <si>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</si>
  <si>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</si>
  <si>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</si>
  <si>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</si>
  <si>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</si>
  <si>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</si>
  <si>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</si>
  <si>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</si>
  <si>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</si>
  <si>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</si>
  <si>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</si>
  <si>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</si>
  <si>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</si>
  <si>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</si>
  <si>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</si>
  <si>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</si>
  <si>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</si>
  <si>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</si>
  <si>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</si>
  <si>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</si>
  <si>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</si>
  <si>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</si>
  <si>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</si>
  <si>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</si>
  <si>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</si>
  <si>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</si>
  <si>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</si>
  <si>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</si>
  <si>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</si>
  <si>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</si>
  <si>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</si>
  <si>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</si>
  <si>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</si>
  <si>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</si>
  <si>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</si>
  <si>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</si>
  <si>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</si>
  <si>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</si>
  <si>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</si>
  <si>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</si>
  <si>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</si>
  <si>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</si>
  <si>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</si>
  <si>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</si>
  <si>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</si>
  <si>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</si>
  <si>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</si>
  <si>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</si>
  <si>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</si>
  <si>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</si>
  <si>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</si>
  <si>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</si>
  <si>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</si>
  <si>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</si>
  <si>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</si>
  <si>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</si>
  <si>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</si>
  <si>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</si>
  <si>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</si>
  <si>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</si>
  <si>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</si>
  <si>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</si>
  <si>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</si>
  <si>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</si>
  <si>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</si>
  <si>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</si>
  <si>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</si>
  <si>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</si>
  <si>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</si>
  <si>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</si>
  <si>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</si>
  <si>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</si>
  <si>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</si>
  <si>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</si>
  <si>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</si>
  <si>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</si>
  <si>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</si>
  <si>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</si>
  <si>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</si>
  <si>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</si>
  <si>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</si>
  <si>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</si>
  <si>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</si>
  <si>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</si>
  <si>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</si>
  <si>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</si>
  <si>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</si>
  <si>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</si>
  <si>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</si>
  <si>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</si>
  <si>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</si>
  <si>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</si>
  <si>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</si>
  <si>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</si>
  <si>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</si>
  <si>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</si>
  <si>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</si>
  <si>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</si>
  <si>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</si>
  <si>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</si>
  <si>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</si>
  <si>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</si>
  <si>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</si>
  <si>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</si>
  <si>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</si>
  <si>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</si>
  <si>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</si>
  <si>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</si>
  <si>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</si>
  <si>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</si>
  <si>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</si>
  <si>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</si>
  <si>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</si>
  <si>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</si>
  <si>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</si>
  <si>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</si>
  <si>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</si>
  <si>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</si>
  <si>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</si>
  <si>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</si>
  <si>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</si>
  <si>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</si>
  <si>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</si>
  <si>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</si>
  <si>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</si>
  <si>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</si>
  <si>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</si>
  <si>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</si>
  <si>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</si>
  <si>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</si>
  <si>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</si>
  <si>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</si>
  <si>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</si>
  <si>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</si>
  <si>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</si>
  <si>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</si>
  <si>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</si>
  <si>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</si>
  <si>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</si>
  <si>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</si>
  <si>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</si>
  <si>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</si>
  <si>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</si>
  <si>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</si>
  <si>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</si>
  <si>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</si>
  <si>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</si>
  <si>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</si>
  <si>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</si>
  <si>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</si>
  <si>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</si>
  <si>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</si>
  <si>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</si>
  <si>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</si>
  <si>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</si>
  <si>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</si>
  <si>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</si>
  <si>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</si>
  <si>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</si>
  <si>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</si>
  <si>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</si>
  <si>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</si>
  <si>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</si>
  <si>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</si>
  <si>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</si>
  <si>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</si>
  <si>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</si>
  <si>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</si>
  <si>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</si>
  <si>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</si>
  <si>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</si>
  <si>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</si>
  <si>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</si>
  <si>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</si>
  <si>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</si>
  <si>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</si>
  <si>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</si>
  <si>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</si>
  <si>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</si>
  <si>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</si>
  <si>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</si>
  <si>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</si>
  <si>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</si>
  <si>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</si>
  <si>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</si>
  <si>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</si>
  <si>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</si>
  <si>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</si>
  <si>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</si>
  <si>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</si>
  <si>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</si>
  <si>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</si>
  <si>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</si>
  <si>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</si>
  <si>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</si>
  <si>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</si>
  <si>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</si>
  <si>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</si>
  <si>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</si>
  <si>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</si>
  <si>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</si>
  <si>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</si>
  <si>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</si>
  <si>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</si>
  <si>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</si>
  <si>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</si>
  <si>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</si>
  <si>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</si>
  <si>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</si>
  <si>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</si>
  <si>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</si>
  <si>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</si>
  <si>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</si>
  <si>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</si>
  <si>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</si>
  <si>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</si>
  <si>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</si>
  <si>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</si>
  <si>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</si>
  <si>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</si>
  <si>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</si>
  <si>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</si>
  <si>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</si>
  <si>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</si>
  <si>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</si>
  <si>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</si>
  <si>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</si>
  <si>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</si>
  <si>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</si>
  <si>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</si>
  <si>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</si>
  <si>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</si>
  <si>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</si>
  <si>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</si>
  <si>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</si>
  <si>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</si>
  <si>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</si>
  <si>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</si>
  <si>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</si>
  <si>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</si>
  <si>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</si>
  <si>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</si>
  <si>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</si>
  <si>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</si>
  <si>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</si>
  <si>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</si>
  <si>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</si>
  <si>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</si>
  <si>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</si>
  <si>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</si>
  <si>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</si>
  <si>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</si>
  <si>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</si>
  <si>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</si>
  <si>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</si>
  <si>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</si>
  <si>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</si>
  <si>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</si>
  <si>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</si>
  <si>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</si>
  <si>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</si>
  <si>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</si>
  <si>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</si>
  <si>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</si>
  <si>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</si>
  <si>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</si>
  <si>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</si>
  <si>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</si>
  <si>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</si>
  <si>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</si>
  <si>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</si>
  <si>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</si>
  <si>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</si>
  <si>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</si>
  <si>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</si>
  <si>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</si>
  <si>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</si>
  <si>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</si>
  <si>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</si>
  <si>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</si>
  <si>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</si>
  <si>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</si>
  <si>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</si>
  <si>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</si>
  <si>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</si>
  <si>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</si>
  <si>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</si>
  <si>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</si>
  <si>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</si>
  <si>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</si>
  <si>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</si>
  <si>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</si>
  <si>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</si>
  <si>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</si>
  <si>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</si>
  <si>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</si>
  <si>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</si>
  <si>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</si>
  <si>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</si>
  <si>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</si>
  <si>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</si>
  <si>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</si>
  <si>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</si>
  <si>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</si>
  <si>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</si>
  <si>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</si>
  <si>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</si>
  <si>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</si>
  <si>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</si>
  <si>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</si>
  <si>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</si>
  <si>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</si>
  <si>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</si>
  <si>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</si>
  <si>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</si>
  <si>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</si>
  <si>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</si>
  <si>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</si>
  <si>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</si>
  <si>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</si>
  <si>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</si>
  <si>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</si>
  <si>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</si>
  <si>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</si>
  <si>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</si>
  <si>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</si>
  <si>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</si>
  <si>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</si>
  <si>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</si>
  <si>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</si>
  <si>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</si>
  <si>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</si>
  <si>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</si>
  <si>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</si>
  <si>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</si>
  <si>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</si>
  <si>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</si>
  <si>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</si>
  <si>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</si>
  <si>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</si>
  <si>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</si>
  <si>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</si>
  <si>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</si>
  <si>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</si>
  <si>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</si>
  <si>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</si>
  <si>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</si>
  <si>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</si>
  <si>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</si>
  <si>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</si>
  <si>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</si>
  <si>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</si>
  <si>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</si>
  <si>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</si>
  <si>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</si>
  <si>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</si>
  <si>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</si>
  <si>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</si>
  <si>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</si>
  <si>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</si>
  <si>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</si>
  <si>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</si>
  <si>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</si>
  <si>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</si>
  <si>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</si>
  <si>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</si>
  <si>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</si>
  <si>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</si>
  <si>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</si>
  <si>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</si>
  <si>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</si>
  <si>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</si>
  <si>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</si>
  <si>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</si>
  <si>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</si>
  <si>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</si>
  <si>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</si>
  <si>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</si>
  <si>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</si>
  <si>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</si>
  <si>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</si>
  <si>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</si>
  <si>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</si>
  <si>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</si>
  <si>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</si>
  <si>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</si>
  <si>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</si>
  <si>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</si>
  <si>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</si>
  <si>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</si>
  <si>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</si>
  <si>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</si>
  <si>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</si>
  <si>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</si>
  <si>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</si>
  <si>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</si>
  <si>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</si>
  <si>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</si>
  <si>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</si>
  <si>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</si>
  <si>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</si>
  <si>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</si>
  <si>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</si>
  <si>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</si>
  <si>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</si>
  <si>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</si>
  <si>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</si>
  <si>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</si>
  <si>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</si>
  <si>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</si>
  <si>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</si>
  <si>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</si>
  <si>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</si>
  <si>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</si>
  <si>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</si>
  <si>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</si>
  <si>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</si>
  <si>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</si>
  <si>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</si>
  <si>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</si>
  <si>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</si>
  <si>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</si>
  <si>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</si>
  <si>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</si>
  <si>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</si>
  <si>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</si>
  <si>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</si>
  <si>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</si>
  <si>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</si>
  <si>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</si>
  <si>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</si>
  <si>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</si>
  <si>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</si>
  <si>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</si>
  <si>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</si>
  <si>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</si>
  <si>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</si>
  <si>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</si>
  <si>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</si>
  <si>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</si>
  <si>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</si>
  <si>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</si>
  <si>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</si>
  <si>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</si>
  <si>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</si>
  <si>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</si>
  <si>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</si>
  <si>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</si>
  <si>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</si>
  <si>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</si>
  <si>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</si>
  <si>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</si>
  <si>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</si>
  <si>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</si>
  <si>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</si>
  <si>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</si>
  <si>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</si>
  <si>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</si>
  <si>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</si>
  <si>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</si>
  <si>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</si>
  <si>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</si>
  <si>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</si>
  <si>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</si>
  <si>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</si>
  <si>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</si>
  <si>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</si>
  <si>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</si>
  <si>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</si>
  <si>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</si>
  <si>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</si>
  <si>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</si>
  <si>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</si>
  <si>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</si>
  <si>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</si>
  <si>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</si>
  <si>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</si>
  <si>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</si>
  <si>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</si>
  <si>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</si>
  <si>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</si>
  <si>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</si>
  <si>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</si>
  <si>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</si>
  <si>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</si>
  <si>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</si>
  <si>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</si>
  <si>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</si>
  <si>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</si>
  <si>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</si>
  <si>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</si>
  <si>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</si>
  <si>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</si>
  <si>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</si>
  <si>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</si>
  <si>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</si>
  <si>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</si>
  <si>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</si>
  <si>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</si>
  <si>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</si>
  <si>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</si>
  <si>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</si>
  <si>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</si>
  <si>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</si>
  <si>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</si>
  <si>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</si>
  <si>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</si>
  <si>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</si>
  <si>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</si>
  <si>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</si>
  <si>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</si>
  <si>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</si>
  <si>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</si>
  <si>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</si>
  <si>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</si>
  <si>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</si>
  <si>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</si>
  <si>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</si>
  <si>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</si>
  <si>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</si>
  <si>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</si>
  <si>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</si>
  <si>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</si>
  <si>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</si>
  <si>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</si>
  <si>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</si>
  <si>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</si>
  <si>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</si>
  <si>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</si>
  <si>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</si>
  <si>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</si>
  <si>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</si>
  <si>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</si>
  <si>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</si>
  <si>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</si>
  <si>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</si>
  <si>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</si>
  <si>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</si>
  <si>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</si>
  <si>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</si>
  <si>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</si>
  <si>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</si>
  <si>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</si>
  <si>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</si>
  <si>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</si>
  <si>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</si>
  <si>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</si>
  <si>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</si>
  <si>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</si>
  <si>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</si>
  <si>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</si>
  <si>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</si>
  <si>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</si>
  <si>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</si>
  <si>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</si>
  <si>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</si>
  <si>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</si>
  <si>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</si>
  <si>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</si>
  <si>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</si>
  <si>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</si>
  <si>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</si>
  <si>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</si>
  <si>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</si>
  <si>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</si>
  <si>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</si>
  <si>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</si>
  <si>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</si>
  <si>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</si>
  <si>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</si>
  <si>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</si>
  <si>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</si>
  <si>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</si>
  <si>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</si>
  <si>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</si>
  <si>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</si>
  <si>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</si>
  <si>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</si>
  <si>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</si>
  <si>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</si>
  <si>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</si>
  <si>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</si>
  <si>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</si>
  <si>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</si>
  <si>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</si>
  <si>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</si>
  <si>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</si>
  <si>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</si>
  <si>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</si>
  <si>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</si>
  <si>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</si>
  <si>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</si>
  <si>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</si>
  <si>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</si>
  <si>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</si>
  <si>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</si>
  <si>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</si>
  <si>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</si>
  <si>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</si>
  <si>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</si>
  <si>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</si>
  <si>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</si>
  <si>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</si>
  <si>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</si>
  <si>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</si>
  <si>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</si>
  <si>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</si>
  <si>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</si>
  <si>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</si>
  <si>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</si>
  <si>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</si>
  <si>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</si>
  <si>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</si>
  <si>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</si>
  <si>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</si>
  <si>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</si>
  <si>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</si>
  <si>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</si>
  <si>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</si>
  <si>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</si>
  <si>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</si>
  <si>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</si>
  <si>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</si>
  <si>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</si>
  <si>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</si>
  <si>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</si>
  <si>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</si>
  <si>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</si>
  <si>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</si>
  <si>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</si>
  <si>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</si>
  <si>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</si>
  <si>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</si>
  <si>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</si>
  <si>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</si>
  <si>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</si>
  <si>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</si>
  <si>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</si>
  <si>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</si>
  <si>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</si>
  <si>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</si>
  <si>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</si>
  <si>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</si>
  <si>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</si>
  <si>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</si>
  <si>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</si>
  <si>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</si>
  <si>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</si>
  <si>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</si>
  <si>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</si>
  <si>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</si>
  <si>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</si>
  <si>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</si>
  <si>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</si>
  <si>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</si>
  <si>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</si>
  <si>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</si>
  <si>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</si>
  <si>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</si>
  <si>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</si>
  <si>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</si>
  <si>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</si>
  <si>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</si>
  <si>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</si>
  <si>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</si>
  <si>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</si>
  <si>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</si>
  <si>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</si>
  <si>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</si>
  <si>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</si>
  <si>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</si>
  <si>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</si>
  <si>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</si>
  <si>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</si>
  <si>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</si>
  <si>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</si>
  <si>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</si>
  <si>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</si>
  <si>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</si>
  <si>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</si>
  <si>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</si>
  <si>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</si>
  <si>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</si>
  <si>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</si>
  <si>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</si>
  <si>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</si>
  <si>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</si>
  <si>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</si>
  <si>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</si>
  <si>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</si>
  <si>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</si>
  <si>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</si>
  <si>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</si>
  <si>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</si>
  <si>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</si>
  <si>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</si>
  <si>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</si>
  <si>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</si>
  <si>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</si>
  <si>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</si>
  <si>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</si>
  <si>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</si>
  <si>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</si>
  <si>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</si>
  <si>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</si>
  <si>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</si>
  <si>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</si>
  <si>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</si>
  <si>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</si>
  <si>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</si>
  <si>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</si>
  <si>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</si>
  <si>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</si>
  <si>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</si>
  <si>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</si>
  <si>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</si>
  <si>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</si>
  <si>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</si>
  <si>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</si>
  <si>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</si>
  <si>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</si>
  <si>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</si>
  <si>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</si>
  <si>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</si>
  <si>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</si>
  <si>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</si>
  <si>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</si>
  <si>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</si>
  <si>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</si>
  <si>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</si>
  <si>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</si>
  <si>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</si>
  <si>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</si>
  <si>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</si>
  <si>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</si>
  <si>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</si>
  <si>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</si>
  <si>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</si>
  <si>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</si>
  <si>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</si>
  <si>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</si>
  <si>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</si>
  <si>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</si>
  <si>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</si>
  <si>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</si>
  <si>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</si>
  <si>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</si>
  <si>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</si>
  <si>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</si>
  <si>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</si>
  <si>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</si>
  <si>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</si>
  <si>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</si>
  <si>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</si>
  <si>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</si>
  <si>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</si>
  <si>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</si>
  <si>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</si>
  <si>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</si>
  <si>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</si>
  <si>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</si>
  <si>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</si>
  <si>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</si>
  <si>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</si>
  <si>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</si>
  <si>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</si>
  <si>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</si>
  <si>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</si>
  <si>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</si>
  <si>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</si>
  <si>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</si>
  <si>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</si>
  <si>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</si>
  <si>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</si>
  <si>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</si>
  <si>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</si>
  <si>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</si>
  <si>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</si>
  <si>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</si>
  <si>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</si>
  <si>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</si>
  <si>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</si>
  <si>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</si>
  <si>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</si>
  <si>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</si>
  <si>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</si>
  <si>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</si>
  <si>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</si>
  <si>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</si>
  <si>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</si>
  <si>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</si>
  <si>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</si>
  <si>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</si>
  <si>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</si>
  <si>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</si>
  <si>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</si>
  <si>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</si>
  <si>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</si>
  <si>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</si>
  <si>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</si>
  <si>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</si>
  <si>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</si>
  <si>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</si>
  <si>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</si>
  <si>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</si>
  <si>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</si>
  <si>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</si>
  <si>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</si>
  <si>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</si>
  <si>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</si>
  <si>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</si>
  <si>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</si>
  <si>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</si>
  <si>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</si>
  <si>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</si>
  <si>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</si>
  <si>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</si>
  <si>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</si>
  <si>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</si>
  <si>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</si>
  <si>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</si>
  <si>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</si>
  <si>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</si>
  <si>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</si>
  <si>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</si>
  <si>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</si>
  <si>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</si>
  <si>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</si>
  <si>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</si>
  <si>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</si>
  <si>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</si>
  <si>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</si>
  <si>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</si>
  <si>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</si>
  <si>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</si>
  <si>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</si>
  <si>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</si>
  <si>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</si>
  <si>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</si>
  <si>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</si>
  <si>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</si>
  <si>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</si>
  <si>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</si>
  <si>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</si>
  <si>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</si>
  <si>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</si>
  <si>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</si>
  <si>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</si>
  <si>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</si>
  <si>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</si>
  <si>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</si>
  <si>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</si>
  <si>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</si>
  <si>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</si>
  <si>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</si>
  <si>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</si>
  <si>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</si>
  <si>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</si>
  <si>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</si>
  <si>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</si>
  <si>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</si>
  <si>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</si>
  <si>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</si>
  <si>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</si>
  <si>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</si>
  <si>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</si>
  <si>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</si>
  <si>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</si>
  <si>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</si>
  <si>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</si>
  <si>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</si>
  <si>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</si>
  <si>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</si>
  <si>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</si>
  <si>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</si>
  <si>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</si>
  <si>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</si>
  <si>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</si>
  <si>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</si>
  <si>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</si>
  <si>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</si>
  <si>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</si>
  <si>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</si>
  <si>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</si>
  <si>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</si>
  <si>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</si>
  <si>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</si>
  <si>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</si>
  <si>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</si>
  <si>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</si>
  <si>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</si>
  <si>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</si>
  <si>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</si>
  <si>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</si>
  <si>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</si>
  <si>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</si>
  <si>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</si>
  <si>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</si>
  <si>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</si>
  <si>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</si>
  <si>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</si>
  <si>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</si>
  <si>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</si>
  <si>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</si>
  <si>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</si>
  <si>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</si>
  <si>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</si>
  <si>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</si>
  <si>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</si>
  <si>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</si>
  <si>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</si>
  <si>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</si>
  <si>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</si>
  <si>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</si>
  <si>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</si>
  <si>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</si>
  <si>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</si>
  <si>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</si>
  <si>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</si>
  <si>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</si>
  <si>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</si>
  <si>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</si>
  <si>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</si>
  <si>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</si>
  <si>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</si>
  <si>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</si>
  <si>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</si>
  <si>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</si>
  <si>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</si>
  <si>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</si>
  <si>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</si>
  <si>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</si>
  <si>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</si>
  <si>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</si>
  <si>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</si>
  <si>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</si>
  <si>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</si>
  <si>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</si>
  <si>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</si>
  <si>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</si>
  <si>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</si>
  <si>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</si>
  <si>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</si>
  <si>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</si>
  <si>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</si>
  <si>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</si>
  <si>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</si>
  <si>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</si>
  <si>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</si>
  <si>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</si>
  <si>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</si>
  <si>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</si>
  <si>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</si>
  <si>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</si>
  <si>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</si>
  <si>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</si>
  <si>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</si>
  <si>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</si>
  <si>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</si>
  <si>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</si>
  <si>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</si>
  <si>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</si>
  <si>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</si>
  <si>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</si>
  <si>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</si>
  <si>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</si>
  <si>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</si>
  <si>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</si>
  <si>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</si>
  <si>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</si>
  <si>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</si>
  <si>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</si>
  <si>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</si>
  <si>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</si>
  <si>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</si>
  <si>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</si>
  <si>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</si>
  <si>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</si>
  <si>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</si>
  <si>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</si>
  <si>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</si>
  <si>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</si>
  <si>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</si>
  <si>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</si>
  <si>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</si>
  <si>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</si>
  <si>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</si>
  <si>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</si>
  <si>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</si>
  <si>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</si>
  <si>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</si>
  <si>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</si>
  <si>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</si>
  <si>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</si>
  <si>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</si>
  <si>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</si>
  <si>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</si>
  <si>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</si>
  <si>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</si>
  <si>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</si>
  <si>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</si>
  <si>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</si>
  <si>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</si>
  <si>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</si>
  <si>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</si>
  <si>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</si>
  <si>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</si>
  <si>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</si>
  <si>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</si>
  <si>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</si>
  <si>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</si>
  <si>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</si>
  <si>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</si>
  <si>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</si>
  <si>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</si>
  <si>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</si>
  <si>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</si>
  <si>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</si>
  <si>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</si>
  <si>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</si>
  <si>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</si>
  <si>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</si>
  <si>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</si>
  <si>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</si>
  <si>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</si>
  <si>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</si>
  <si>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</si>
  <si>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</si>
  <si>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</si>
  <si>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</si>
  <si>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</si>
  <si>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</si>
  <si>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</si>
  <si>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</si>
  <si>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</si>
  <si>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</si>
  <si>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</si>
  <si>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</si>
  <si>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</si>
  <si>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</si>
  <si>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</si>
  <si>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</si>
  <si>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</si>
  <si>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</si>
  <si>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</si>
  <si>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</si>
  <si>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</si>
  <si>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</si>
  <si>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</si>
  <si>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</si>
  <si>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</si>
  <si>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</si>
  <si>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</si>
  <si>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</si>
  <si>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</si>
  <si>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</si>
  <si>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</si>
  <si>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</si>
  <si>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</si>
  <si>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</si>
  <si>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</si>
  <si>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</si>
  <si>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</si>
  <si>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</si>
  <si>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</si>
  <si>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</si>
  <si>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</si>
  <si>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</si>
  <si>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</si>
  <si>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</si>
  <si>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</si>
  <si>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</si>
  <si>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</si>
  <si>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</si>
  <si>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</si>
  <si>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</si>
  <si>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</si>
  <si>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</si>
  <si>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</si>
  <si>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</si>
  <si>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</si>
  <si>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</si>
  <si>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</si>
  <si>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</si>
  <si>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</si>
  <si>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</si>
  <si>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</si>
  <si>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</si>
  <si>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</si>
  <si>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</si>
  <si>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</si>
  <si>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</si>
  <si>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</si>
  <si>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</si>
  <si>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</si>
  <si>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</si>
  <si>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</si>
  <si>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</si>
  <si>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</si>
  <si>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</si>
  <si>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</si>
  <si>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</si>
  <si>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</si>
  <si>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</si>
  <si>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</si>
  <si>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</si>
  <si>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</si>
  <si>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</si>
  <si>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</si>
  <si>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</si>
  <si>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</si>
  <si>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</si>
  <si>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</si>
  <si>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</si>
  <si>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</si>
  <si>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</si>
  <si>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</si>
  <si>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</si>
  <si>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</si>
  <si>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</si>
  <si>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</si>
  <si>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</si>
  <si>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</si>
  <si>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</si>
  <si>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</si>
  <si>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</si>
  <si>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</si>
  <si>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</si>
  <si>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</si>
  <si>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</si>
  <si>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</si>
  <si>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</si>
  <si>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</si>
  <si>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</si>
  <si>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</si>
  <si>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</si>
  <si>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</si>
  <si>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</si>
  <si>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</si>
  <si>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</si>
  <si>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</si>
  <si>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</si>
  <si>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</si>
  <si>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</si>
  <si>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</si>
  <si>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</si>
  <si>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</si>
  <si>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</si>
  <si>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</si>
  <si>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</si>
  <si>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</si>
  <si>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</si>
  <si>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</si>
  <si>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</si>
  <si>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</si>
  <si>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</si>
  <si>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</si>
  <si>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</si>
  <si>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</si>
  <si>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</si>
  <si>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</si>
  <si>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</si>
  <si>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</si>
  <si>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</si>
  <si>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</si>
  <si>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</si>
  <si>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</si>
  <si>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</si>
  <si>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</si>
  <si>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</si>
  <si>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</si>
  <si>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</si>
  <si>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</si>
  <si>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</si>
  <si>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</si>
  <si>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</si>
  <si>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</si>
  <si>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</si>
  <si>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</si>
  <si>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</si>
  <si>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</si>
  <si>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</si>
  <si>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</si>
  <si>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</si>
  <si>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</si>
  <si>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</si>
  <si>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</si>
  <si>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</si>
  <si>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</si>
  <si>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</si>
  <si>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</si>
  <si>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</si>
  <si>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</si>
  <si>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</si>
  <si>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</si>
  <si>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</si>
  <si>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</si>
  <si>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</si>
  <si>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</si>
  <si>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</si>
  <si>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</si>
  <si>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</si>
  <si>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</si>
  <si>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</si>
  <si>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</si>
  <si>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</si>
  <si>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</si>
  <si>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</si>
  <si>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</si>
  <si>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</si>
  <si>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</si>
  <si>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</si>
  <si>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</si>
  <si>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</si>
  <si>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</si>
  <si>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</si>
  <si>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</si>
  <si>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</si>
  <si>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</si>
  <si>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</si>
  <si>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</si>
  <si>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</si>
  <si>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</si>
  <si>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</si>
  <si>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</si>
  <si>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</si>
  <si>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</si>
  <si>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</si>
  <si>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</si>
  <si>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</si>
  <si>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</si>
  <si>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</si>
  <si>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</si>
  <si>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</si>
  <si>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</si>
  <si>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</si>
  <si>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</si>
  <si>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</si>
  <si>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</si>
  <si>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</si>
  <si>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</si>
  <si>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</si>
  <si>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</si>
  <si>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</si>
  <si>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</si>
  <si>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</si>
  <si>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</si>
  <si>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</si>
  <si>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</si>
  <si>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</si>
  <si>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</si>
  <si>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</si>
  <si>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</si>
  <si>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</si>
  <si>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</si>
  <si>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</si>
  <si>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</si>
  <si>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</si>
  <si>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</si>
  <si>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</si>
  <si>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</si>
  <si>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</si>
  <si>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</si>
  <si>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</si>
  <si>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</si>
  <si>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</si>
  <si>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</si>
  <si>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</si>
  <si>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</si>
  <si>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</si>
  <si>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</si>
  <si>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</si>
  <si>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</si>
  <si>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</si>
  <si>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</si>
  <si>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</si>
  <si>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</si>
  <si>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</si>
  <si>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</si>
  <si>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</si>
  <si>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</si>
  <si>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</si>
  <si>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</si>
  <si>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</si>
  <si>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</si>
  <si>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</si>
  <si>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</si>
  <si>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</si>
  <si>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</si>
  <si>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</si>
  <si>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</si>
  <si>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</si>
  <si>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</si>
  <si>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</si>
  <si>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</si>
  <si>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</si>
  <si>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</si>
  <si>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</si>
  <si>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</si>
  <si>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</si>
  <si>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</si>
  <si>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</si>
  <si>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</si>
  <si>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</si>
  <si>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</si>
  <si>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</si>
  <si>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</si>
  <si>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</si>
  <si>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</si>
  <si>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</si>
  <si>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</si>
  <si>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</si>
  <si>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</si>
  <si>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</si>
  <si>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</si>
  <si>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</si>
  <si>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</si>
  <si>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</si>
  <si>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</si>
  <si>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</si>
  <si>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</si>
  <si>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</si>
  <si>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</si>
  <si>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</si>
  <si>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</si>
  <si>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</si>
  <si>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</si>
  <si>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</si>
  <si>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</si>
  <si>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</si>
  <si>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</si>
  <si>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</si>
  <si>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</si>
  <si>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</si>
  <si>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</si>
  <si>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</si>
  <si>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</si>
  <si>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</si>
  <si>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</si>
  <si>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</si>
  <si>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</si>
  <si>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</si>
  <si>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</si>
  <si>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</si>
  <si>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</si>
  <si>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</si>
  <si>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</si>
  <si>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</si>
  <si>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</si>
  <si>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</si>
  <si>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</si>
  <si>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</si>
  <si>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</si>
  <si>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</si>
  <si>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</si>
  <si>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</si>
  <si>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</si>
  <si>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</si>
  <si>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</si>
  <si>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</si>
  <si>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</si>
  <si>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</si>
  <si>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</si>
  <si>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</si>
  <si>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</si>
  <si>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</si>
  <si>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</si>
  <si>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</si>
  <si>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</si>
  <si>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</si>
  <si>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</si>
  <si>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</si>
  <si>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</si>
  <si>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</si>
  <si>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</si>
  <si>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</si>
  <si>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</si>
  <si>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</si>
  <si>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</si>
  <si>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</si>
  <si>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</si>
  <si>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</si>
  <si>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</si>
  <si>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</si>
  <si>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</si>
  <si>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</si>
  <si>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</si>
  <si>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</si>
  <si>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</si>
  <si>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</si>
  <si>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</si>
  <si>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</si>
  <si>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</si>
  <si>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</si>
  <si>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</si>
  <si>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</si>
  <si>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</si>
  <si>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</si>
  <si>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</si>
  <si>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</si>
  <si>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</si>
  <si>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</si>
  <si>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</si>
  <si>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</si>
  <si>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</si>
  <si>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</si>
  <si>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</si>
  <si>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</si>
  <si>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</si>
  <si>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</si>
  <si>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</si>
  <si>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</si>
  <si>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</si>
  <si>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</si>
  <si>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</si>
  <si>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</si>
  <si>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</si>
  <si>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</si>
  <si>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</si>
  <si>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</si>
  <si>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</si>
  <si>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</si>
  <si>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</si>
  <si>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</si>
  <si>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</si>
  <si>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</si>
  <si>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</si>
  <si>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</si>
  <si>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</si>
  <si>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</si>
  <si>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</si>
  <si>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</si>
  <si>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</si>
  <si>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</si>
  <si>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</si>
  <si>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</si>
  <si>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</si>
  <si>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</si>
  <si>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</si>
  <si>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</si>
  <si>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</si>
  <si>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</si>
  <si>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</si>
  <si>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</si>
  <si>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</si>
  <si>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</si>
  <si>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</si>
  <si>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</si>
  <si>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</si>
  <si>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</si>
  <si>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</si>
  <si>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</si>
  <si>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</si>
  <si>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</si>
  <si>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</si>
  <si>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</si>
  <si>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</si>
  <si>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</si>
  <si>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</si>
  <si>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</si>
  <si>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</si>
  <si>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</si>
  <si>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</si>
  <si>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</si>
  <si>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</si>
  <si>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</si>
  <si>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</si>
  <si>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</si>
  <si>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</si>
  <si>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</si>
  <si>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</si>
  <si>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</si>
  <si>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</si>
  <si>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</si>
  <si>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</si>
  <si>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</si>
  <si>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</si>
  <si>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</si>
  <si>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</si>
  <si>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</si>
  <si>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</si>
  <si>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</si>
  <si>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</si>
  <si>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</si>
  <si>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</si>
  <si>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</si>
  <si>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</si>
  <si>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</si>
  <si>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</si>
  <si>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</si>
  <si>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</si>
  <si>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</si>
  <si>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</si>
  <si>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</si>
  <si>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</si>
  <si>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</si>
  <si>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</si>
  <si>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</si>
  <si>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</si>
  <si>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</si>
  <si>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</si>
  <si>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</si>
  <si>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</si>
  <si>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</si>
  <si>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</si>
  <si>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</si>
  <si>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</si>
  <si>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</si>
  <si>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</si>
  <si>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</si>
  <si>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</si>
  <si>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</si>
  <si>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</si>
  <si>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</si>
  <si>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</si>
  <si>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</si>
  <si>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</si>
  <si>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</si>
  <si>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</si>
  <si>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</si>
  <si>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</si>
  <si>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</si>
  <si>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</si>
  <si>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</si>
  <si>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</si>
  <si>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</si>
  <si>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</si>
  <si>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</si>
  <si>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</si>
  <si>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</si>
  <si>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</si>
  <si>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</si>
  <si>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</si>
  <si>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</si>
  <si>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</si>
  <si>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</si>
  <si>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</si>
  <si>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</si>
  <si>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</si>
  <si>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</si>
  <si>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</si>
  <si>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</si>
  <si>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</si>
  <si>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</si>
  <si>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</si>
  <si>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</si>
  <si>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</si>
  <si>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</si>
  <si>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</si>
  <si>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</si>
  <si>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</si>
  <si>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</si>
  <si>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</si>
  <si>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</si>
  <si>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</si>
  <si>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</si>
  <si>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</si>
  <si>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</si>
  <si>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</si>
  <si>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</si>
  <si>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</si>
  <si>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</si>
  <si>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</si>
  <si>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</si>
  <si>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</si>
  <si>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</si>
  <si>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</si>
  <si>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</si>
  <si>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</si>
  <si>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</si>
  <si>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</si>
  <si>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</si>
  <si>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</si>
  <si>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</si>
  <si>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</si>
  <si>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</si>
  <si>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</si>
  <si>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</si>
  <si>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</si>
  <si>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</si>
  <si>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</si>
  <si>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</si>
  <si>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</si>
  <si>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</si>
  <si>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</si>
  <si>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</si>
  <si>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</si>
  <si>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</si>
  <si>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</si>
  <si>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</si>
  <si>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</si>
  <si>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</si>
  <si>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</si>
  <si>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</si>
  <si>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</si>
  <si>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</si>
  <si>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</si>
  <si>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</si>
  <si>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</si>
  <si>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</si>
  <si>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</si>
  <si>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</si>
  <si>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</si>
  <si>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</si>
  <si>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</si>
  <si>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</si>
  <si>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</si>
  <si>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</si>
  <si>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</si>
  <si>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</si>
  <si>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</si>
  <si>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</si>
  <si>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</si>
  <si>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</si>
  <si>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</si>
  <si>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</si>
  <si>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</si>
  <si>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</si>
  <si>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</si>
  <si>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</si>
  <si>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</si>
  <si>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</si>
  <si>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</si>
  <si>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</si>
  <si>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</si>
  <si>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</si>
  <si>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</si>
  <si>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</si>
  <si>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</si>
  <si>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</si>
  <si>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</si>
  <si>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</si>
  <si>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</si>
  <si>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</si>
  <si>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</si>
  <si>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</si>
  <si>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</si>
  <si>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</si>
  <si>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</si>
  <si>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</si>
  <si>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</si>
  <si>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</si>
  <si>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</si>
  <si>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</si>
  <si>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</si>
  <si>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</si>
  <si>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</si>
  <si>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</si>
  <si>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</si>
  <si>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</si>
  <si>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</si>
  <si>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</si>
  <si>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</si>
  <si>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</si>
  <si>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</si>
  <si>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</si>
  <si>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</si>
  <si>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</si>
  <si>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</si>
  <si>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</si>
  <si>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</si>
  <si>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</si>
  <si>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</si>
  <si>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</si>
  <si>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</si>
  <si>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</si>
  <si>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</si>
  <si>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</si>
  <si>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</si>
  <si>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</si>
  <si>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</si>
  <si>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</si>
  <si>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</si>
  <si>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</si>
  <si>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</si>
  <si>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</si>
  <si>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</si>
  <si>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</si>
  <si>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</si>
  <si>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</si>
  <si>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</si>
  <si>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</si>
  <si>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</si>
  <si>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</si>
  <si>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</si>
  <si>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</si>
  <si>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</si>
  <si>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</si>
  <si>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</si>
  <si>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</si>
  <si>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</si>
  <si>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</si>
  <si>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</si>
  <si>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</si>
  <si>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</si>
  <si>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</si>
  <si>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</si>
  <si>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</si>
  <si>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</si>
  <si>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</si>
  <si>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</si>
  <si>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</si>
  <si>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</si>
  <si>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</si>
  <si>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</si>
  <si>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</si>
  <si>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</si>
  <si>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</si>
  <si>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</si>
  <si>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</si>
  <si>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</si>
  <si>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</si>
  <si>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</si>
  <si>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</si>
  <si>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</si>
  <si>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</si>
  <si>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</si>
  <si>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</si>
  <si>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</si>
  <si>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</si>
  <si>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</si>
  <si>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</si>
  <si>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</si>
  <si>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</si>
  <si>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</si>
  <si>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</si>
  <si>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</si>
  <si>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</si>
  <si>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</si>
  <si>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</si>
  <si>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</si>
  <si>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</si>
  <si>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</si>
  <si>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</si>
  <si>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</si>
  <si>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</si>
  <si>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</si>
  <si>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</si>
  <si>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</si>
  <si>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</si>
  <si>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</si>
  <si>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</si>
  <si>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</si>
  <si>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</si>
  <si>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</si>
  <si>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</si>
  <si>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</si>
  <si>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</si>
  <si>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</si>
  <si>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</si>
  <si>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</si>
  <si>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</si>
  <si>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</si>
  <si>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</si>
  <si>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</si>
  <si>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</si>
  <si>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</si>
  <si>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</si>
  <si>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</si>
  <si>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</si>
  <si>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</si>
  <si>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</si>
  <si>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</si>
  <si>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</si>
  <si>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</si>
  <si>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</si>
  <si>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</si>
  <si>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</si>
  <si>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</si>
  <si>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</si>
  <si>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</si>
  <si>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</si>
  <si>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</si>
  <si>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</si>
  <si>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</si>
  <si>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</si>
  <si>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</si>
  <si>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</si>
  <si>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</si>
  <si>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</si>
  <si>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</si>
  <si>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</si>
  <si>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</si>
  <si>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</si>
  <si>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</si>
  <si>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</si>
  <si>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</si>
  <si>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</si>
  <si>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</si>
  <si>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</si>
  <si>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</si>
  <si>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</si>
  <si>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</si>
  <si>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</si>
  <si>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</si>
  <si>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</si>
  <si>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</si>
  <si>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</si>
  <si>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</si>
  <si>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</si>
  <si>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</si>
  <si>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</si>
  <si>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</si>
  <si>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</si>
  <si>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</si>
  <si>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</si>
  <si>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</si>
  <si>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</si>
  <si>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</si>
  <si>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</si>
  <si>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</si>
  <si>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</si>
  <si>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</si>
  <si>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</si>
  <si>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</si>
  <si>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</si>
  <si>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</si>
  <si>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</si>
  <si>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</si>
  <si>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</si>
  <si>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</si>
  <si>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</si>
  <si>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</si>
  <si>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</si>
  <si>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</si>
  <si>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</si>
  <si>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</si>
  <si>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</si>
  <si>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</si>
  <si>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</si>
  <si>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</si>
  <si>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</si>
  <si>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</si>
  <si>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</si>
  <si>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</si>
  <si>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</si>
  <si>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</si>
  <si>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</si>
  <si>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</si>
  <si>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</si>
  <si>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</si>
  <si>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</si>
  <si>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</si>
  <si>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</si>
  <si>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</si>
  <si>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</si>
  <si>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</si>
  <si>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</si>
  <si>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</si>
  <si>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</si>
  <si>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</si>
  <si>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</si>
  <si>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</si>
  <si>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</si>
  <si>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</si>
  <si>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</si>
  <si>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</si>
  <si>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</si>
  <si>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</si>
  <si>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</si>
  <si>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</si>
  <si>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</si>
  <si>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</si>
  <si>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</si>
  <si>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</si>
  <si>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</si>
  <si>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</si>
  <si>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</si>
  <si>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</si>
  <si>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</si>
  <si>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</si>
  <si>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</si>
  <si>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</si>
  <si>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</si>
  <si>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</si>
  <si>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</si>
  <si>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</si>
  <si>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</si>
  <si>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</si>
  <si>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</si>
  <si>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</si>
  <si>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</si>
  <si>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</si>
  <si>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</si>
  <si>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</si>
  <si>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</si>
  <si>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</si>
  <si>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</si>
  <si>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</si>
  <si>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</si>
  <si>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</si>
  <si>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</si>
  <si>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</si>
  <si>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</si>
  <si>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</si>
  <si>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</si>
  <si>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</si>
  <si>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</si>
  <si>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</si>
  <si>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</si>
  <si>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</si>
  <si>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</si>
  <si>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</si>
  <si>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</si>
  <si>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</si>
  <si>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</si>
  <si>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</si>
  <si>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</si>
  <si>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</si>
  <si>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</si>
  <si>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</si>
  <si>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</si>
  <si>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</si>
  <si>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</si>
  <si>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</si>
  <si>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</si>
  <si>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</si>
  <si>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</si>
  <si>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</si>
  <si>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</si>
  <si>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</si>
  <si>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</si>
  <si>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</si>
  <si>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</si>
  <si>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</si>
  <si>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</si>
  <si>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</si>
  <si>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</si>
  <si>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</si>
  <si>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</si>
  <si>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</si>
  <si>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</si>
  <si>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</si>
  <si>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</si>
  <si>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</si>
  <si>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</si>
  <si>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</si>
  <si>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</si>
  <si>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</si>
  <si>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</si>
  <si>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</si>
  <si>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</si>
  <si>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</si>
  <si>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</si>
  <si>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</si>
  <si>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</si>
  <si>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</si>
  <si>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</si>
  <si>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</si>
  <si>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</si>
  <si>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</si>
  <si>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</si>
  <si>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</si>
  <si>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</si>
  <si>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</si>
  <si>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</si>
  <si>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</si>
  <si>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</si>
  <si>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</si>
  <si>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</si>
  <si>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</si>
  <si>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</si>
  <si>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</si>
  <si>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</si>
  <si>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</si>
  <si>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</si>
  <si>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</si>
  <si>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</si>
  <si>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</si>
  <si>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</si>
  <si>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</si>
  <si>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</si>
  <si>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</si>
  <si>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</si>
  <si>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</si>
  <si>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</si>
  <si>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</si>
  <si>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</si>
  <si>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</si>
  <si>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</si>
  <si>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</si>
  <si>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</si>
  <si>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</si>
  <si>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</si>
  <si>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</si>
  <si>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</si>
  <si>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</si>
  <si>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</si>
  <si>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</si>
  <si>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</si>
  <si>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</si>
  <si>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</si>
  <si>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</si>
  <si>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</si>
  <si>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</si>
  <si>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</si>
  <si>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</si>
  <si>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</si>
  <si>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</si>
  <si>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</si>
  <si>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</si>
  <si>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</si>
  <si>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</si>
  <si>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</si>
  <si>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</si>
  <si>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</si>
  <si>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</si>
  <si>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</si>
  <si>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</si>
  <si>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</si>
  <si>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</si>
  <si>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</si>
  <si>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</si>
  <si>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</si>
  <si>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</si>
  <si>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</si>
  <si>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</si>
  <si>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</si>
  <si>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</si>
  <si>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</si>
  <si>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</si>
  <si>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</si>
  <si>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</si>
  <si>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</si>
  <si>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</si>
  <si>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</si>
  <si>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</si>
  <si>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</si>
  <si>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</si>
  <si>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</si>
  <si>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</si>
  <si>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</si>
  <si>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</si>
  <si>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</si>
  <si>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</si>
  <si>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</si>
  <si>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</si>
  <si>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</si>
  <si>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</si>
  <si>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</si>
  <si>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</si>
  <si>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</si>
  <si>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</si>
  <si>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</si>
  <si>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</si>
  <si>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</si>
  <si>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</si>
  <si>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</si>
  <si>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</si>
  <si>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</si>
  <si>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</si>
  <si>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</si>
  <si>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</si>
  <si>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</si>
  <si>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</si>
  <si>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</si>
  <si>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</si>
  <si>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</si>
  <si>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</si>
  <si>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</si>
  <si>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</si>
  <si>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</si>
  <si>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</si>
  <si>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</si>
  <si>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</si>
  <si>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</si>
  <si>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</si>
  <si>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</si>
  <si>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</si>
  <si>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</si>
  <si>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</si>
  <si>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</si>
  <si>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</si>
  <si>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</si>
  <si>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</si>
  <si>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</si>
  <si>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</si>
  <si>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</si>
  <si>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</si>
  <si>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</si>
  <si>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</si>
  <si>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</si>
  <si>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</si>
  <si>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</si>
  <si>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</si>
  <si>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</si>
  <si>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</si>
  <si>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</si>
  <si>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</si>
  <si>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</si>
  <si>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</si>
  <si>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</si>
  <si>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</si>
  <si>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</si>
  <si>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</si>
  <si>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</si>
  <si>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</si>
  <si>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</si>
  <si>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</si>
  <si>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</si>
  <si>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</si>
  <si>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</si>
  <si>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</si>
  <si>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</si>
  <si>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</si>
  <si>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</si>
  <si>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</si>
  <si>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</si>
  <si>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</si>
  <si>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</si>
  <si>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</si>
  <si>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</si>
  <si>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</si>
  <si>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</si>
  <si>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</si>
  <si>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</si>
  <si>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</si>
  <si>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</si>
  <si>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</si>
  <si>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</si>
  <si>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</si>
  <si>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</si>
  <si>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</si>
  <si>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</si>
  <si>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</si>
  <si>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</si>
  <si>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</si>
  <si>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</si>
  <si>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</si>
  <si>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</si>
  <si>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</si>
  <si>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</si>
  <si>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</si>
  <si>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</si>
  <si>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</si>
  <si>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</si>
  <si>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</si>
  <si>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</si>
  <si>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</si>
  <si>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</si>
  <si>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</si>
  <si>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</si>
  <si>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</si>
  <si>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</si>
  <si>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</si>
  <si>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</si>
  <si>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</si>
  <si>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</si>
  <si>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</si>
  <si>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</si>
  <si>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</si>
  <si>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</si>
  <si>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</si>
  <si>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</si>
  <si>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</si>
  <si>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</si>
  <si>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</si>
  <si>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</si>
  <si>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</si>
  <si>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</si>
  <si>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</si>
  <si>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</si>
  <si>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</si>
  <si>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</si>
  <si>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</si>
  <si>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</si>
  <si>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</si>
  <si>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</si>
  <si>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</si>
  <si>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</si>
  <si>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</si>
  <si>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</si>
  <si>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</si>
  <si>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</si>
  <si>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</si>
  <si>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</si>
  <si>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</si>
  <si>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</si>
  <si>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</si>
  <si>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</si>
  <si>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</si>
  <si>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</si>
  <si>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</si>
  <si>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</si>
  <si>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</si>
  <si>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</si>
  <si>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</si>
  <si>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</si>
  <si>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</si>
  <si>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</si>
  <si>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</si>
  <si>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</si>
  <si>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</si>
  <si>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</si>
  <si>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</si>
  <si>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</si>
  <si>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</si>
  <si>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</si>
  <si>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</si>
  <si>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</si>
  <si>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</si>
  <si>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</si>
  <si>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</si>
  <si>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</si>
  <si>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</si>
  <si>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</si>
  <si>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</si>
  <si>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</si>
  <si>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</si>
  <si>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</si>
  <si>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</si>
  <si>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</si>
  <si>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</si>
  <si>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</si>
  <si>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</si>
  <si>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</si>
  <si>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</si>
  <si>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</si>
  <si>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</si>
  <si>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</si>
  <si>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</si>
  <si>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</si>
  <si>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</si>
  <si>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</si>
  <si>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</si>
  <si>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</si>
  <si>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</si>
  <si>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</si>
  <si>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</si>
  <si>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</si>
  <si>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</si>
  <si>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</si>
  <si>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</si>
  <si>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</si>
  <si>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</si>
  <si>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</si>
  <si>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</si>
  <si>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</si>
  <si>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</si>
  <si>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</si>
  <si>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</si>
  <si>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</si>
  <si>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</si>
  <si>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</si>
  <si>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</si>
  <si>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</si>
  <si>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</si>
  <si>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</si>
  <si>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</si>
  <si>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</si>
  <si>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</si>
  <si>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</si>
  <si>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</si>
  <si>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</si>
  <si>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</si>
  <si>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</si>
  <si>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</si>
  <si>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</si>
  <si>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</si>
  <si>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</si>
  <si>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</si>
  <si>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</si>
  <si>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</si>
  <si>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</si>
  <si>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</si>
  <si>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</si>
  <si>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</si>
  <si>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</si>
  <si>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</si>
  <si>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</si>
  <si>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</si>
  <si>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</si>
  <si>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</si>
  <si>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</si>
  <si>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</si>
  <si>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</si>
  <si>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</si>
  <si>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</si>
  <si>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</si>
  <si>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</si>
  <si>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</si>
  <si>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</si>
  <si>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</si>
  <si>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</si>
  <si>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</si>
  <si>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</si>
  <si>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</si>
  <si>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</si>
  <si>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</si>
  <si>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</si>
  <si>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</si>
  <si>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</si>
  <si>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</si>
  <si>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</si>
  <si>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</si>
  <si>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</si>
  <si>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</si>
  <si>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</si>
  <si>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</si>
  <si>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</si>
  <si>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</si>
  <si>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</si>
  <si>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</si>
  <si>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</si>
  <si>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</si>
  <si>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</si>
  <si>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</si>
  <si>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</si>
  <si>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</si>
  <si>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</si>
  <si>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</si>
  <si>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</si>
  <si>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</si>
  <si>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</si>
  <si>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</si>
  <si>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</si>
  <si>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</si>
  <si>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</si>
  <si>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</si>
  <si>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</si>
  <si>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</si>
  <si>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</si>
  <si>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</si>
  <si>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</si>
  <si>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</si>
  <si>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</si>
  <si>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</si>
  <si>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</si>
  <si>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</si>
  <si>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</si>
  <si>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</si>
  <si>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</si>
  <si>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</si>
  <si>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</si>
  <si>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</si>
  <si>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</si>
  <si>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</si>
  <si>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</si>
  <si>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</si>
  <si>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</si>
  <si>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</si>
  <si>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</si>
  <si>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</si>
  <si>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</si>
  <si>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</si>
  <si>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</si>
  <si>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</si>
  <si>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</si>
  <si>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</si>
  <si>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</si>
  <si>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</si>
  <si>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</si>
  <si>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</si>
  <si>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</si>
  <si>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</si>
  <si>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</si>
  <si>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</si>
  <si>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</si>
  <si>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</si>
  <si>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</si>
  <si>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</si>
  <si>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</si>
  <si>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</si>
  <si>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</si>
  <si>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</si>
  <si>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</si>
  <si>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</si>
  <si>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</si>
  <si>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</si>
  <si>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</si>
  <si>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</si>
  <si>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</si>
  <si>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</si>
  <si>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</si>
  <si>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</si>
  <si>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</si>
  <si>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</si>
  <si>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</si>
  <si>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</si>
  <si>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</si>
  <si>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</si>
  <si>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</si>
  <si>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</si>
  <si>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</si>
  <si>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</si>
  <si>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</si>
  <si>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</si>
  <si>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</si>
  <si>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</si>
  <si>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</si>
  <si>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</si>
  <si>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</si>
  <si>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</si>
  <si>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</si>
  <si>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</si>
  <si>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</si>
  <si>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</si>
  <si>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</si>
  <si>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</si>
  <si>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</si>
  <si>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</si>
  <si>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</si>
  <si>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</si>
  <si>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</si>
  <si>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</si>
  <si>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</si>
  <si>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</si>
  <si>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</si>
  <si>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</si>
  <si>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</si>
  <si>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</si>
  <si>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</si>
  <si>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</si>
  <si>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</si>
  <si>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</si>
  <si>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</si>
  <si>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</si>
  <si>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</si>
  <si>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</si>
  <si>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</si>
  <si>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</si>
  <si>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</si>
  <si>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</si>
  <si>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</si>
  <si>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</si>
  <si>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</si>
  <si>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</si>
  <si>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</si>
  <si>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</si>
  <si>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</si>
  <si>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</si>
  <si>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</si>
  <si>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</si>
  <si>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</si>
  <si>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</si>
  <si>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</si>
  <si>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</si>
  <si>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</si>
  <si>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</si>
  <si>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</si>
  <si>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</si>
  <si>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</si>
  <si>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</si>
  <si>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</si>
  <si>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</si>
  <si>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</si>
  <si>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</si>
  <si>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</si>
  <si>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</si>
  <si>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</si>
  <si>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</si>
  <si>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</si>
  <si>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</si>
  <si>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</si>
  <si>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</si>
  <si>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</si>
  <si>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</si>
  <si>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</si>
  <si>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</si>
  <si>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</si>
  <si>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</si>
  <si>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</si>
  <si>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</si>
  <si>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</si>
  <si>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</si>
  <si>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</si>
  <si>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</si>
  <si>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</si>
  <si>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</si>
  <si>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</si>
  <si>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</si>
  <si>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</si>
  <si>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</si>
  <si>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</si>
  <si>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</si>
  <si>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</si>
  <si>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</si>
  <si>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</si>
  <si>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</si>
  <si>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</si>
  <si>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</si>
  <si>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</si>
  <si>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</si>
  <si>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</si>
  <si>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</si>
  <si>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</si>
  <si>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</si>
  <si>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</si>
  <si>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</si>
  <si>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</si>
  <si>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</si>
  <si>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</si>
  <si>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</si>
  <si>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</si>
  <si>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</si>
  <si>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</si>
  <si>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</si>
  <si>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</si>
  <si>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</si>
  <si>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</si>
  <si>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</si>
  <si>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</si>
  <si>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</si>
  <si>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</si>
  <si>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</si>
  <si>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</si>
  <si>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</si>
  <si>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</si>
  <si>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</si>
  <si>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</si>
  <si>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</si>
  <si>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</si>
  <si>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</si>
  <si>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</si>
  <si>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</si>
  <si>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</si>
  <si>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</si>
  <si>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</si>
  <si>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</si>
  <si>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</si>
  <si>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</si>
  <si>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</si>
  <si>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</si>
  <si>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</si>
  <si>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</si>
  <si>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</si>
  <si>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</si>
  <si>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</si>
  <si>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</si>
  <si>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</si>
  <si>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</si>
  <si>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</si>
  <si>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</si>
  <si>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</si>
  <si>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</si>
  <si>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</si>
  <si>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</si>
  <si>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</si>
  <si>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</si>
  <si>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</si>
  <si>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</si>
  <si>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</si>
  <si>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</si>
  <si>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</si>
  <si>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</si>
  <si>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</si>
  <si>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</si>
  <si>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</si>
  <si>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</si>
  <si>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</si>
  <si>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</si>
  <si>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</si>
  <si>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</si>
  <si>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</si>
  <si>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</si>
  <si>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</si>
  <si>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</si>
  <si>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</si>
  <si>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</si>
  <si>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</si>
  <si>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</si>
  <si>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</si>
  <si>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</si>
  <si>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</si>
  <si>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</si>
  <si>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</si>
  <si>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</si>
  <si>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</si>
  <si>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</si>
  <si>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</si>
  <si>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</si>
  <si>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</si>
  <si>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</si>
  <si>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</si>
  <si>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</si>
  <si>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</si>
  <si>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</si>
  <si>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</si>
  <si>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</si>
  <si>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</si>
  <si>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</si>
  <si>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</si>
  <si>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</si>
  <si>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</si>
  <si>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</si>
  <si>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</si>
  <si>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</si>
  <si>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</si>
  <si>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</si>
  <si>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</si>
  <si>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</si>
  <si>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</si>
  <si>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</si>
  <si>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</si>
  <si>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</si>
  <si>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</si>
  <si>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</si>
  <si>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</si>
  <si>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</si>
  <si>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</si>
  <si>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</si>
  <si>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</si>
  <si>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</si>
  <si>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</si>
  <si>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</si>
  <si>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</si>
  <si>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</si>
  <si>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</si>
  <si>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</si>
  <si>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</si>
  <si>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</si>
  <si>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</si>
  <si>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</si>
  <si>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</si>
  <si>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</si>
  <si>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</si>
  <si>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</si>
  <si>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</si>
  <si>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</si>
  <si>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</si>
  <si>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</si>
  <si>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</si>
  <si>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</si>
  <si>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</si>
  <si>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</si>
  <si>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</si>
  <si>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</si>
  <si>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</si>
  <si>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</si>
  <si>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</si>
  <si>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</si>
  <si>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</si>
  <si>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</si>
  <si>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</si>
  <si>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</si>
  <si>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</si>
  <si>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</si>
  <si>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</si>
  <si>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</si>
  <si>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</si>
  <si>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</si>
  <si>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</si>
  <si>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</si>
  <si>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</si>
  <si>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</si>
  <si>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</si>
  <si>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</si>
  <si>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</si>
  <si>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</si>
  <si>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</si>
  <si>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</si>
  <si>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</si>
  <si>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</si>
  <si>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</si>
  <si>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</si>
  <si>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</si>
  <si>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</si>
  <si>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</si>
  <si>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</si>
  <si>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</si>
  <si>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</si>
  <si>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</si>
  <si>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</si>
  <si>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</si>
  <si>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</si>
  <si>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</si>
  <si>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</si>
  <si>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</si>
  <si>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</si>
  <si>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</si>
  <si>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</si>
  <si>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</si>
  <si>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</si>
  <si>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</si>
  <si>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</si>
  <si>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</si>
  <si>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</si>
  <si>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</si>
  <si>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</si>
  <si>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</si>
  <si>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</si>
  <si>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</si>
  <si>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</si>
  <si>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</si>
  <si>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</si>
  <si>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</si>
  <si>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</si>
  <si>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</si>
  <si>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</si>
  <si>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</si>
  <si>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</si>
  <si>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</si>
  <si>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</si>
  <si>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</si>
  <si>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</si>
  <si>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</si>
  <si>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</si>
  <si>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</si>
  <si>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</si>
  <si>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</si>
  <si>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</si>
  <si>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</si>
  <si>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</si>
  <si>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</si>
  <si>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</si>
  <si>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</si>
  <si>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</si>
  <si>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</si>
  <si>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</si>
  <si>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</si>
  <si>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</si>
  <si>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</si>
  <si>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</si>
  <si>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</si>
  <si>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</si>
  <si>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</si>
  <si>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</si>
  <si>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</si>
  <si>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</si>
  <si>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</si>
  <si>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</si>
  <si>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</si>
  <si>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</si>
  <si>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</si>
  <si>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</si>
  <si>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</si>
  <si>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</si>
  <si>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</si>
  <si>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</si>
  <si>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</si>
  <si>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</si>
  <si>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</si>
  <si>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</si>
  <si>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</si>
  <si>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</si>
  <si>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</si>
  <si>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</si>
  <si>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</si>
  <si>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</si>
  <si>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</si>
  <si>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</si>
  <si>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</si>
  <si>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</si>
  <si>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</si>
  <si>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</si>
  <si>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</si>
  <si>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</si>
  <si>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</si>
  <si>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</si>
  <si>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</si>
  <si>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</si>
  <si>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</si>
  <si>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</si>
  <si>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</si>
  <si>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</si>
  <si>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</si>
  <si>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</si>
  <si>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</si>
  <si>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</si>
  <si>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</si>
  <si>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</si>
  <si>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</si>
  <si>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</si>
  <si>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</si>
  <si>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</si>
  <si>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</si>
  <si>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</si>
  <si>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</si>
  <si>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</si>
  <si>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</si>
  <si>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</si>
  <si>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</si>
  <si>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</si>
  <si>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</si>
  <si>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</si>
  <si>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</si>
  <si>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</si>
  <si>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</si>
  <si>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</si>
  <si>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</si>
  <si>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</si>
  <si>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</si>
  <si>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</si>
  <si>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</si>
  <si>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</si>
  <si>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</si>
  <si>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</si>
  <si>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</si>
  <si>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</si>
  <si>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</si>
  <si>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</si>
  <si>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</si>
  <si>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</si>
  <si>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</si>
  <si>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</si>
  <si>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</si>
  <si>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</si>
  <si>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</si>
  <si>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</si>
  <si>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</si>
  <si>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</si>
  <si>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</si>
  <si>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</si>
  <si>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</si>
  <si>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</si>
  <si>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</si>
  <si>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</si>
  <si>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</si>
  <si>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</si>
  <si>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</si>
  <si>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</si>
  <si>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</si>
  <si>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</si>
  <si>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</si>
  <si>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</si>
  <si>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</si>
  <si>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</si>
  <si>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</si>
  <si>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</si>
  <si>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</si>
  <si>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</si>
  <si>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</si>
  <si>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</si>
  <si>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</si>
  <si>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</si>
  <si>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</si>
  <si>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</si>
  <si>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</si>
  <si>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</si>
  <si>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</si>
  <si>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</si>
  <si>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</si>
  <si>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</si>
  <si>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</si>
  <si>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</si>
  <si>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</si>
  <si>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</si>
  <si>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</si>
  <si>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</si>
  <si>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</si>
  <si>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</si>
  <si>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</si>
  <si>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</si>
  <si>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</si>
  <si>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</si>
  <si>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</si>
  <si>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</si>
  <si>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</si>
  <si>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</si>
  <si>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</si>
  <si>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</si>
  <si>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</si>
  <si>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</si>
  <si>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</si>
  <si>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</si>
  <si>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</si>
  <si>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</si>
  <si>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</si>
  <si>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</si>
  <si>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</si>
  <si>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</si>
  <si>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</si>
  <si>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</si>
  <si>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</si>
  <si>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</si>
  <si>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</si>
  <si>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</si>
  <si>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</si>
  <si>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</si>
  <si>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</si>
  <si>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</si>
  <si>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</si>
  <si>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</si>
  <si>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</si>
  <si>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</si>
  <si>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</si>
  <si>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</si>
  <si>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</si>
  <si>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</si>
  <si>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</si>
  <si>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</si>
  <si>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</si>
  <si>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</si>
  <si>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</si>
  <si>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</si>
  <si>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</si>
  <si>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</si>
  <si>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</si>
  <si>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</si>
  <si>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</si>
  <si>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</si>
  <si>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</si>
  <si>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</si>
  <si>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</si>
  <si>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</si>
  <si>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</si>
  <si>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</si>
  <si>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</si>
  <si>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</si>
  <si>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</si>
  <si>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</si>
  <si>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</si>
  <si>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</si>
  <si>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</si>
  <si>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</si>
  <si>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</si>
  <si>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</si>
  <si>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</si>
  <si>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</si>
  <si>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</si>
  <si>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</si>
  <si>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</si>
  <si>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</si>
  <si>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</si>
  <si>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</si>
  <si>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</si>
  <si>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</si>
  <si>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</si>
  <si>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</si>
  <si>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</si>
  <si>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</si>
  <si>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</si>
  <si>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</si>
  <si>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</si>
  <si>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</si>
  <si>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</si>
  <si>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</si>
  <si>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</si>
  <si>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</si>
  <si>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</si>
  <si>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</si>
  <si>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</si>
  <si>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</si>
  <si>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</si>
  <si>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</si>
  <si>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</si>
  <si>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</si>
  <si>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</si>
  <si>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</si>
  <si>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</si>
  <si>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</si>
  <si>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</si>
  <si>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</si>
  <si>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</si>
  <si>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</si>
  <si>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</si>
  <si>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</si>
  <si>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</si>
  <si>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</si>
  <si>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</si>
  <si>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</si>
  <si>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</si>
  <si>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</si>
  <si>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</si>
  <si>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</si>
  <si>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</si>
  <si>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</si>
  <si>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</si>
  <si>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</si>
  <si>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</si>
  <si>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</si>
  <si>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</si>
  <si>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</si>
  <si>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</si>
  <si>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</si>
  <si>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</si>
  <si>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</si>
  <si>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</si>
  <si>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</si>
  <si>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</si>
  <si>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</si>
  <si>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</si>
  <si>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</si>
  <si>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</si>
  <si>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</si>
  <si>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</si>
  <si>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</si>
  <si>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</si>
  <si>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</si>
  <si>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</si>
  <si>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</si>
  <si>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</si>
  <si>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</si>
  <si>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</si>
  <si>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</si>
  <si>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</si>
  <si>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</si>
  <si>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</si>
  <si>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</si>
  <si>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</si>
  <si>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</si>
  <si>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</si>
  <si>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</si>
  <si>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</si>
  <si>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</si>
  <si>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</si>
  <si>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</si>
  <si>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</si>
  <si>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</si>
  <si>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</si>
  <si>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</si>
  <si>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</si>
  <si>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</si>
  <si>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</si>
  <si>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</si>
  <si>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</si>
  <si>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</si>
  <si>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</si>
  <si>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</si>
  <si>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</si>
  <si>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</si>
  <si>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</si>
  <si>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</si>
  <si>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</si>
  <si>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</si>
  <si>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</si>
  <si>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</si>
  <si>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</si>
  <si>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</si>
  <si>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</si>
  <si>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</si>
  <si>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</si>
  <si>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</si>
  <si>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</si>
  <si>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</si>
  <si>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</si>
  <si>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</si>
  <si>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</si>
  <si>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</si>
  <si>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</si>
  <si>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</si>
  <si>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</si>
  <si>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</si>
  <si>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</si>
  <si>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</si>
  <si>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</si>
  <si>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</si>
  <si>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</si>
  <si>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</si>
  <si>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</si>
  <si>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</si>
  <si>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</si>
  <si>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</si>
  <si>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</si>
  <si>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</si>
  <si>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</si>
  <si>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</si>
  <si>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</si>
  <si>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</si>
  <si>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</si>
  <si>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</si>
  <si>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</si>
  <si>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</si>
  <si>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</si>
  <si>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</si>
  <si>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</si>
  <si>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</si>
  <si>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</si>
  <si>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</si>
  <si>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</si>
  <si>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</si>
  <si>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</si>
  <si>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</si>
  <si>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</si>
  <si>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</si>
  <si>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</si>
  <si>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</si>
  <si>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</si>
  <si>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</si>
  <si>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</si>
  <si>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</si>
  <si>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</si>
  <si>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</si>
  <si>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</si>
  <si>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</si>
  <si>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</si>
  <si>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</si>
  <si>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</si>
  <si>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</si>
  <si>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</si>
  <si>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</si>
  <si>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</si>
  <si>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</si>
  <si>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</si>
  <si>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</si>
  <si>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</si>
  <si>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</si>
  <si>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</si>
  <si>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</si>
  <si>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</si>
  <si>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</si>
  <si>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</si>
  <si>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</si>
  <si>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</si>
  <si>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</si>
  <si>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</si>
  <si>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</si>
  <si>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</si>
  <si>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</si>
  <si>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</si>
  <si>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</si>
  <si>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</si>
  <si>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</si>
  <si>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</si>
  <si>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</si>
  <si>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</si>
  <si>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</si>
  <si>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</si>
  <si>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</si>
  <si>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</si>
  <si>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</si>
  <si>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</si>
  <si>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</si>
  <si>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</si>
  <si>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</si>
  <si>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</si>
  <si>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</si>
  <si>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</si>
  <si>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</si>
  <si>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</si>
  <si>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</si>
  <si>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</si>
  <si>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</si>
  <si>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</si>
  <si>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</si>
  <si>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</si>
  <si>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</si>
  <si>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</si>
  <si>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</si>
  <si>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</si>
  <si>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</si>
  <si>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</si>
  <si>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</si>
  <si>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</si>
  <si>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</si>
  <si>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</si>
  <si>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</si>
  <si>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</si>
  <si>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</si>
  <si>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</si>
  <si>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</si>
  <si>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</si>
  <si>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</si>
  <si>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</si>
  <si>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</si>
  <si>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</si>
  <si>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</si>
  <si>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</si>
  <si>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</si>
  <si>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</si>
  <si>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</si>
  <si>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</si>
  <si>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</si>
  <si>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</si>
  <si>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</si>
  <si>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</si>
  <si>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</si>
  <si>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</si>
  <si>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</si>
  <si>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</si>
  <si>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</si>
  <si>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</si>
  <si>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</si>
  <si>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</si>
  <si>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</si>
  <si>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</si>
  <si>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</si>
  <si>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</si>
  <si>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</si>
  <si>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</si>
  <si>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</si>
  <si>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</si>
  <si>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</si>
  <si>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</si>
  <si>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</si>
  <si>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</si>
  <si>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</si>
  <si>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</si>
  <si>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</si>
  <si>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</si>
  <si>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</si>
  <si>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</si>
  <si>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</si>
  <si>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</si>
  <si>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</si>
  <si>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</si>
  <si>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</si>
  <si>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</si>
  <si>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</si>
  <si>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</si>
  <si>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</si>
  <si>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</si>
  <si>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</si>
  <si>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</si>
  <si>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</si>
  <si>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</si>
  <si>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</si>
  <si>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</si>
  <si>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</si>
  <si>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</si>
  <si>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</si>
  <si>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</si>
  <si>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</si>
  <si>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</si>
  <si>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</si>
  <si>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</si>
  <si>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</si>
  <si>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</si>
  <si>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</si>
  <si>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</si>
  <si>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</si>
  <si>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</si>
  <si>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</si>
  <si>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</si>
  <si>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</si>
  <si>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</si>
  <si>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</si>
  <si>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</si>
  <si>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</si>
  <si>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</si>
  <si>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</si>
  <si>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</si>
  <si>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</si>
  <si>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</si>
  <si>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</si>
  <si>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</si>
  <si>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</si>
  <si>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</si>
  <si>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</si>
  <si>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</si>
  <si>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</si>
  <si>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</si>
  <si>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</si>
  <si>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</si>
  <si>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</si>
  <si>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</si>
  <si>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</si>
  <si>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</si>
  <si>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</si>
  <si>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</si>
  <si>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</si>
  <si>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</si>
  <si>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</si>
  <si>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</si>
  <si>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</si>
  <si>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</si>
  <si>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</si>
  <si>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</si>
  <si>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</si>
  <si>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</si>
  <si>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</si>
  <si>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</si>
  <si>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</si>
  <si>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</si>
  <si>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</si>
  <si>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</si>
  <si>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</si>
  <si>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</si>
  <si>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</si>
  <si>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</si>
  <si>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</si>
  <si>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</si>
  <si>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</si>
  <si>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</si>
  <si>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</si>
  <si>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</si>
  <si>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</si>
  <si>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</si>
  <si>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</si>
  <si>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</si>
  <si>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</si>
  <si>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</si>
  <si>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</si>
  <si>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</si>
  <si>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</si>
  <si>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</si>
  <si>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</si>
  <si>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</si>
  <si>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</si>
  <si>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</si>
  <si>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</si>
  <si>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</si>
  <si>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</si>
  <si>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</si>
  <si>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</si>
  <si>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</si>
  <si>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</si>
  <si>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</si>
  <si>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</si>
  <si>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地上</t>
  </si>
  <si>
    <t>是</t>
  </si>
  <si>
    <t>估价对象容积率</t>
  </si>
  <si>
    <t>幢号</t>
    <phoneticPr fontId="134" type="noConversion"/>
  </si>
  <si>
    <t>2幢</t>
    <phoneticPr fontId="134" type="noConversion"/>
  </si>
  <si>
    <t>3幢</t>
    <phoneticPr fontId="134" type="noConversion"/>
  </si>
  <si>
    <t>4幢</t>
    <phoneticPr fontId="134" type="noConversion"/>
  </si>
  <si>
    <t>7幢</t>
    <phoneticPr fontId="134" type="noConversion"/>
  </si>
  <si>
    <t>8幢</t>
    <phoneticPr fontId="134" type="noConversion"/>
  </si>
  <si>
    <t>12幢</t>
    <phoneticPr fontId="134" type="noConversion"/>
  </si>
  <si>
    <t>15幢</t>
    <phoneticPr fontId="134" type="noConversion"/>
  </si>
  <si>
    <t>16幢</t>
    <phoneticPr fontId="134" type="noConversion"/>
  </si>
  <si>
    <t>结构</t>
    <phoneticPr fontId="134" type="noConversion"/>
  </si>
  <si>
    <t>混合</t>
    <phoneticPr fontId="134" type="noConversion"/>
  </si>
  <si>
    <t>建筑面积</t>
    <phoneticPr fontId="134" type="noConversion"/>
  </si>
  <si>
    <t>规划用途</t>
    <phoneticPr fontId="134" type="noConversion"/>
  </si>
  <si>
    <t>工交</t>
    <phoneticPr fontId="134" type="noConversion"/>
  </si>
  <si>
    <t>现状用途</t>
    <phoneticPr fontId="134" type="noConversion"/>
  </si>
  <si>
    <t>商业</t>
    <phoneticPr fontId="134" type="noConversion"/>
  </si>
  <si>
    <t>总楼层</t>
    <phoneticPr fontId="134" type="noConversion"/>
  </si>
  <si>
    <t>南三环中路73号</t>
  </si>
  <si>
    <t>南三环中路73号</t>
    <phoneticPr fontId="7" type="noConversion"/>
  </si>
  <si>
    <t>成新度</t>
  </si>
  <si>
    <t>建安</t>
    <phoneticPr fontId="134" type="noConversion"/>
  </si>
  <si>
    <t>通路</t>
  </si>
  <si>
    <t>通电</t>
  </si>
  <si>
    <t>通讯</t>
  </si>
  <si>
    <t>通上水</t>
  </si>
  <si>
    <t>通下水</t>
  </si>
  <si>
    <t>平整</t>
  </si>
  <si>
    <t>一般</t>
  </si>
  <si>
    <t>较好</t>
  </si>
  <si>
    <t>好</t>
  </si>
  <si>
    <t>未包含在土地购买价格中</t>
  </si>
  <si>
    <t>全部缴纳</t>
  </si>
  <si>
    <t>已包含在土地取得成本中</t>
  </si>
  <si>
    <t>成本法</t>
  </si>
  <si>
    <t>收益法</t>
  </si>
  <si>
    <t>总价</t>
  </si>
  <si>
    <t>押一</t>
  </si>
  <si>
    <t>砖混</t>
  </si>
  <si>
    <t>非生产用房</t>
  </si>
  <si>
    <t>临街一层</t>
    <phoneticPr fontId="134" type="noConversion"/>
  </si>
  <si>
    <t>不临街一层</t>
    <phoneticPr fontId="134" type="noConversion"/>
  </si>
  <si>
    <t>楼层系数</t>
    <phoneticPr fontId="134" type="noConversion"/>
  </si>
  <si>
    <t>市场租金</t>
    <phoneticPr fontId="134" type="noConversion"/>
  </si>
  <si>
    <t>临街</t>
    <phoneticPr fontId="134" type="noConversion"/>
  </si>
  <si>
    <t>不临街</t>
    <phoneticPr fontId="134" type="noConversion"/>
  </si>
  <si>
    <t>成本比率</t>
  </si>
  <si>
    <t>机房等，不对外，不算收益</t>
    <phoneticPr fontId="134" type="noConversion"/>
  </si>
  <si>
    <t>租金</t>
  </si>
  <si>
    <t>项目模式</t>
  </si>
  <si>
    <t>楼层</t>
    <phoneticPr fontId="134" type="noConversion"/>
  </si>
  <si>
    <t>四环外南苑湿地公园旁边，新发地槐房路</t>
    <phoneticPr fontId="134" type="noConversion"/>
  </si>
  <si>
    <t>老旧厂房，报价70万一年</t>
    <phoneticPr fontId="134" type="noConversion"/>
  </si>
  <si>
    <t>榴乡桥外几百米，1200平米，年租金70万，1-3层小楼</t>
    <phoneticPr fontId="134" type="noConversion"/>
  </si>
  <si>
    <t>单价1.5左右</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</si>
</sst>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69" fillId="0" borderId="0" xfId="0" applyFont="1" applyAlignment="1">
      <alignment horizontal="left" vertical="center"/>
    </xf>
    <xf numFmtId="10" fontId="47" fillId="0" borderId="1" xfId="0" applyNumberFormat="1" applyFont="1" applyBorder="1" applyProtection="1">
      <alignment vertical="center"/>
      <protection locked="0"/>
    </xf>
    <xf numFmtId="0" fontId="269" fillId="5" borderId="0" xfId="0" applyFont="1" applyFill="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28575</xdr:rowOff>
    </xdr:from>
    <xdr:to>
      <xdr:col>17</xdr:col>
      <xdr:colOff>427115</xdr:colOff>
      <xdr:row>49</xdr:row>
      <xdr:rowOff>170709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05150"/>
          <a:ext cx="12085715" cy="5933334"/>
        </a:xfrm>
        <a:prstGeom prst="rect">
          <a:avLst/>
        </a:prstGeom>
      </xdr:spPr>
    </xdr:pic>
    <xdr:clientData/>
  </xdr:twoCellAnchor>
  <xdr:twoCellAnchor editAs="oneCell">
    <xdr:from>
      <xdr:col>18</xdr:col>
      <xdr:colOff>0</xdr:colOff>
      <xdr:row>29</xdr:row>
      <xdr:rowOff>0</xdr:rowOff>
    </xdr:from>
    <xdr:to>
      <xdr:col>23</xdr:col>
      <xdr:colOff>47191</xdr:colOff>
      <xdr:row>49</xdr:row>
      <xdr:rowOff>113834</xdr:rowOff>
    </xdr:to>
    <xdr:pic>
      <xdr:nvPicPr>
        <xdr:cNvPr id="3" name="图片 2"/>
        <xdr:cNvPicPr>
          <a:picLocks noChangeAspect="1"/>
        </xdr:cNvPicPr>
      </xdr:nvPicPr>
      <xdr:blipFill>
        <a:blip xmlns:r="http://schemas.openxmlformats.org/officeDocument/2006/relationships" r:embed="rId2"/>
        <a:stretch>
          <a:fillRect/>
        </a:stretch>
      </xdr:blipFill>
      <xdr:spPr>
        <a:xfrm>
          <a:off x="12344400" y="5248275"/>
          <a:ext cx="3476191" cy="3733334"/>
        </a:xfrm>
        <a:prstGeom prst="rect">
          <a:avLst/>
        </a:prstGeom>
      </xdr:spPr>
    </xdr:pic>
    <xdr:clientData/>
  </xdr:twoCellAnchor>
  <xdr:twoCellAnchor editAs="oneCell">
    <xdr:from>
      <xdr:col>0</xdr:col>
      <xdr:colOff>104775</xdr:colOff>
      <xdr:row>51</xdr:row>
      <xdr:rowOff>95250</xdr:rowOff>
    </xdr:from>
    <xdr:to>
      <xdr:col>17</xdr:col>
      <xdr:colOff>436652</xdr:colOff>
      <xdr:row>83</xdr:row>
      <xdr:rowOff>8812</xdr:rowOff>
    </xdr:to>
    <xdr:pic>
      <xdr:nvPicPr>
        <xdr:cNvPr id="4" name="图片 3"/>
        <xdr:cNvPicPr>
          <a:picLocks noChangeAspect="1"/>
        </xdr:cNvPicPr>
      </xdr:nvPicPr>
      <xdr:blipFill>
        <a:blip xmlns:r="http://schemas.openxmlformats.org/officeDocument/2006/relationships" r:embed="rId3"/>
        <a:stretch>
          <a:fillRect/>
        </a:stretch>
      </xdr:blipFill>
      <xdr:spPr>
        <a:xfrm>
          <a:off x="104775" y="9324975"/>
          <a:ext cx="11990477" cy="5704762"/>
        </a:xfrm>
        <a:prstGeom prst="rect">
          <a:avLst/>
        </a:prstGeom>
      </xdr:spPr>
    </xdr:pic>
    <xdr:clientData/>
  </xdr:twoCellAnchor>
  <xdr:twoCellAnchor editAs="oneCell">
    <xdr:from>
      <xdr:col>0</xdr:col>
      <xdr:colOff>625929</xdr:colOff>
      <xdr:row>16</xdr:row>
      <xdr:rowOff>40822</xdr:rowOff>
    </xdr:from>
    <xdr:to>
      <xdr:col>12</xdr:col>
      <xdr:colOff>404501</xdr:colOff>
      <xdr:row>48</xdr:row>
      <xdr:rowOff>8823</xdr:rowOff>
    </xdr:to>
    <xdr:pic>
      <xdr:nvPicPr>
        <xdr:cNvPr id="5" name="图片 4"/>
        <xdr:cNvPicPr>
          <a:picLocks noChangeAspect="1"/>
        </xdr:cNvPicPr>
      </xdr:nvPicPr>
      <xdr:blipFill>
        <a:blip xmlns:r="http://schemas.openxmlformats.org/officeDocument/2006/relationships" r:embed="rId4"/>
        <a:stretch>
          <a:fillRect/>
        </a:stretch>
      </xdr:blipFill>
      <xdr:spPr>
        <a:xfrm>
          <a:off x="625929" y="2871108"/>
          <a:ext cx="7942858" cy="5628572"/>
        </a:xfrm>
        <a:prstGeom prst="rect">
          <a:avLst/>
        </a:prstGeom>
      </xdr:spPr>
    </xdr:pic>
    <xdr:clientData/>
  </xdr:twoCellAnchor>
  <xdr:twoCellAnchor editAs="oneCell">
    <xdr:from>
      <xdr:col>25</xdr:col>
      <xdr:colOff>0</xdr:colOff>
      <xdr:row>3</xdr:row>
      <xdr:rowOff>0</xdr:rowOff>
    </xdr:from>
    <xdr:to>
      <xdr:col>42</xdr:col>
      <xdr:colOff>291073</xdr:colOff>
      <xdr:row>31</xdr:row>
      <xdr:rowOff>161286</xdr:rowOff>
    </xdr:to>
    <xdr:pic>
      <xdr:nvPicPr>
        <xdr:cNvPr id="6" name="图片 5"/>
        <xdr:cNvPicPr>
          <a:picLocks noChangeAspect="1"/>
        </xdr:cNvPicPr>
      </xdr:nvPicPr>
      <xdr:blipFill>
        <a:blip xmlns:r="http://schemas.openxmlformats.org/officeDocument/2006/relationships" r:embed="rId5"/>
        <a:stretch>
          <a:fillRect/>
        </a:stretch>
      </xdr:blipFill>
      <xdr:spPr>
        <a:xfrm>
          <a:off x="17008929" y="530679"/>
          <a:ext cx="11857144" cy="5114286"/>
        </a:xfrm>
        <a:prstGeom prst="rect">
          <a:avLst/>
        </a:prstGeom>
      </xdr:spPr>
    </xdr:pic>
    <xdr:clientData/>
  </xdr:twoCellAnchor>
  <xdr:twoCellAnchor editAs="oneCell">
    <xdr:from>
      <xdr:col>25</xdr:col>
      <xdr:colOff>0</xdr:colOff>
      <xdr:row>34</xdr:row>
      <xdr:rowOff>0</xdr:rowOff>
    </xdr:from>
    <xdr:to>
      <xdr:col>42</xdr:col>
      <xdr:colOff>129168</xdr:colOff>
      <xdr:row>62</xdr:row>
      <xdr:rowOff>37477</xdr:rowOff>
    </xdr:to>
    <xdr:pic>
      <xdr:nvPicPr>
        <xdr:cNvPr id="7" name="图片 6"/>
        <xdr:cNvPicPr>
          <a:picLocks noChangeAspect="1"/>
        </xdr:cNvPicPr>
      </xdr:nvPicPr>
      <xdr:blipFill>
        <a:blip xmlns:r="http://schemas.openxmlformats.org/officeDocument/2006/relationships" r:embed="rId6"/>
        <a:stretch>
          <a:fillRect/>
        </a:stretch>
      </xdr:blipFill>
      <xdr:spPr>
        <a:xfrm>
          <a:off x="17008929" y="6014357"/>
          <a:ext cx="11695239" cy="4990477"/>
        </a:xfrm>
        <a:prstGeom prst="rect">
          <a:avLst/>
        </a:prstGeom>
      </xdr:spPr>
    </xdr:pic>
    <xdr:clientData/>
  </xdr:twoCellAnchor>
  <xdr:twoCellAnchor editAs="oneCell">
    <xdr:from>
      <xdr:col>25</xdr:col>
      <xdr:colOff>0</xdr:colOff>
      <xdr:row>64</xdr:row>
      <xdr:rowOff>0</xdr:rowOff>
    </xdr:from>
    <xdr:to>
      <xdr:col>42</xdr:col>
      <xdr:colOff>129168</xdr:colOff>
      <xdr:row>94</xdr:row>
      <xdr:rowOff>131310</xdr:rowOff>
    </xdr:to>
    <xdr:pic>
      <xdr:nvPicPr>
        <xdr:cNvPr id="8" name="图片 7"/>
        <xdr:cNvPicPr>
          <a:picLocks noChangeAspect="1"/>
        </xdr:cNvPicPr>
      </xdr:nvPicPr>
      <xdr:blipFill>
        <a:blip xmlns:r="http://schemas.openxmlformats.org/officeDocument/2006/relationships" r:embed="rId7"/>
        <a:stretch>
          <a:fillRect/>
        </a:stretch>
      </xdr:blipFill>
      <xdr:spPr>
        <a:xfrm>
          <a:off x="17008929" y="11321143"/>
          <a:ext cx="11695239" cy="5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估价对象为北京市房地产，为所有。根据《国有土地使用证》[]，估价对象（分摊）出让国有建设用地使用权面积为9500平方米，建筑面积为10629.2平方米。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估价对象为北京市房地产,属开发建设的，该项目尚在开发建设中。根据《国有土地使用证》[]，估价对象（分摊）出让国有建设用地使用权面积为9500平方米，规划建筑面积为10629.2平方米。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2023年11月22日</v>
      </c>
    </row>
    <row r="13" spans="1:2" s="1203" customFormat="1">
      <c r="A13" s="1201" t="s">
        <v>529</v>
      </c>
      <c r="B13" s="1202" t="str">
        <f>'预评函-1'!A18</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14267</v>
      </c>
    </row>
    <row r="21" spans="1:2" s="1203" customFormat="1">
      <c r="A21" s="1201" t="s">
        <v>537</v>
      </c>
      <c r="B21" s="1202">
        <f ca="1">'预评函-2'!D7</f>
        <v>13422</v>
      </c>
    </row>
    <row r="22" spans="1:2" s="1203" customFormat="1">
      <c r="A22" s="1201" t="s">
        <v>538</v>
      </c>
      <c r="B22" s="1202" t="str">
        <f ca="1">'预评函-2'!D6</f>
        <v>壹亿肆仟贰佰陆拾柒万元整</v>
      </c>
    </row>
    <row r="23" spans="1:2" s="1203" customFormat="1">
      <c r="A23" s="1201" t="s">
        <v>589</v>
      </c>
      <c r="B23" s="1202" t="str">
        <f>'预评函-2'!B8</f>
        <v>2.估价师知悉的法定优先受偿款</v>
      </c>
    </row>
    <row r="24" spans="1:2" s="1203" customFormat="1">
      <c r="A24" s="1201" t="s">
        <v>595</v>
      </c>
      <c r="B24" s="1202">
        <f>'预评函-2'!D8</f>
        <v>1323</v>
      </c>
    </row>
    <row r="25" spans="1:2" s="1203" customFormat="1">
      <c r="A25" s="1201" t="s">
        <v>539</v>
      </c>
      <c r="B25" s="1202" t="str">
        <f>'预评函-2'!D9</f>
        <v>壹仟叁佰贰拾叁万元整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1323</v>
      </c>
    </row>
    <row r="29" spans="1:2" s="1203" customFormat="1">
      <c r="A29" s="1201" t="s">
        <v>593</v>
      </c>
      <c r="B29" s="1202" t="str">
        <f>'预评函-2'!B13</f>
        <v>3.房地产抵押价值</v>
      </c>
    </row>
    <row r="30" spans="1:2" s="1203" customFormat="1">
      <c r="A30" s="1201" t="s">
        <v>594</v>
      </c>
      <c r="B30" s="1202">
        <f ca="1">'预评函-2'!D13</f>
        <v>12944</v>
      </c>
    </row>
    <row r="31" spans="1:2" s="1203" customFormat="1">
      <c r="A31" s="1201" t="s">
        <v>576</v>
      </c>
      <c r="B31" s="1202">
        <f ca="1">'预评函-2'!D15</f>
        <v>12178</v>
      </c>
    </row>
    <row r="32" spans="1:2" s="1203" customFormat="1">
      <c r="A32" s="1201" t="s">
        <v>543</v>
      </c>
      <c r="B32" s="1202" t="str">
        <f ca="1">'预评函-2'!D14</f>
        <v>壹亿贰仟玖佰肆拾肆万元整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4726</v>
      </c>
    </row>
    <row r="39" spans="1:2" s="1203" customFormat="1">
      <c r="A39" s="1201" t="s">
        <v>545</v>
      </c>
      <c r="B39" s="1202">
        <f ca="1">'预评函-2'!D21</f>
        <v>4446</v>
      </c>
    </row>
    <row r="40" spans="1:2" s="1203" customFormat="1">
      <c r="A40" s="1201" t="s">
        <v>546</v>
      </c>
      <c r="B40" s="1202" t="str">
        <f ca="1">'预评函-2'!D20</f>
        <v>肆仟柒佰贰拾陆万元整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10629.2</v>
      </c>
    </row>
    <row r="44" spans="1:2" s="1203" customFormat="1">
      <c r="A44" s="1201" t="s">
        <v>575</v>
      </c>
      <c r="B44" s="1202" t="str">
        <f>'预评函-3'!C2</f>
        <v>(分摊)土地面积</v>
      </c>
    </row>
    <row r="45" spans="1:2" s="1203" customFormat="1">
      <c r="A45" s="1201" t="s">
        <v>547</v>
      </c>
      <c r="B45" s="1202">
        <f>'预评函-3'!C4</f>
        <v>9500</v>
      </c>
    </row>
    <row r="46" spans="1:2" s="1203" customFormat="1">
      <c r="A46" s="1201" t="s">
        <v>573</v>
      </c>
      <c r="B46" s="1202" t="str">
        <f>'预评函-3'!D2</f>
        <v>出让国有建设用地使用权价值</v>
      </c>
    </row>
    <row r="47" spans="1:2" s="1203" customFormat="1">
      <c r="A47" s="1201" t="s">
        <v>548</v>
      </c>
      <c r="B47" s="1202">
        <f ca="1">'预评函-3'!D4</f>
        <v>11357</v>
      </c>
    </row>
    <row r="48" spans="1:2" s="1203" customFormat="1">
      <c r="A48" s="1201" t="s">
        <v>549</v>
      </c>
      <c r="B48" s="1202">
        <f ca="1">'预评函-3'!E4</f>
        <v>10684</v>
      </c>
    </row>
    <row r="49" spans="1:2" s="1203" customFormat="1">
      <c r="A49" s="1201" t="s">
        <v>550</v>
      </c>
      <c r="B49" s="1202" t="str">
        <f ca="1">'预评函-3'!D5</f>
        <v>壹亿壹仟叁佰伍拾柒万元整</v>
      </c>
    </row>
    <row r="50" spans="1:2" s="1203" customFormat="1">
      <c r="A50" s="1201" t="s">
        <v>574</v>
      </c>
      <c r="B50" s="1202" t="str">
        <f>'预评函-3'!F2</f>
        <v>在建建筑物价值</v>
      </c>
    </row>
    <row r="51" spans="1:2" s="1203" customFormat="1">
      <c r="A51" s="1201" t="s">
        <v>551</v>
      </c>
      <c r="B51" s="1202">
        <f ca="1">'预评函-3'!F4</f>
        <v>2910</v>
      </c>
    </row>
    <row r="52" spans="1:2" s="1203" customFormat="1">
      <c r="A52" s="1201" t="s">
        <v>552</v>
      </c>
      <c r="B52" s="1202">
        <f ca="1">'预评函-3'!G4</f>
        <v>2738</v>
      </c>
    </row>
    <row r="53" spans="1:2" s="1203" customFormat="1">
      <c r="A53" s="1201" t="s">
        <v>580</v>
      </c>
      <c r="B53" s="1202" t="str">
        <f ca="1">'预评函-3'!F5</f>
        <v>贰仟玖佰壹拾万元整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故，本次评估估价师知悉的法定优先受偿款为人民币1323万元整。</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3" t="s">
        <v>2584</v>
      </c>
      <c r="J2" s="3493"/>
      <c r="K2" s="3493"/>
      <c r="L2" s="3493"/>
      <c r="M2" s="3493"/>
      <c r="N2" s="3493"/>
      <c r="O2" s="3493"/>
      <c r="P2" s="3493"/>
      <c r="Q2" s="3493"/>
      <c r="R2" s="3493"/>
    </row>
    <row r="3" spans="1:18">
      <c r="A3" s="3020" t="s">
        <v>2505</v>
      </c>
      <c r="B3" s="3021">
        <f>项目基本情况!D3</f>
        <v>45252</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3.07</v>
      </c>
      <c r="D5" s="3025">
        <f>IF(ISERROR(ROUND(POWER(1+E5,A5-C5)*(POWER(1+E5,C5)-1)/(POWER(1+E5,A5)-1),3)),0,ROUND(POWER(1+E5,A5-C5)*(POWER(1+E5,C5)-1)/(POWER(1+E5,A5)-1),4))</f>
        <v>0.14330000000000001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13.08</v>
      </c>
      <c r="D6" s="3025">
        <f>IF(ISERROR(ROUND(POWER(1+E6,A6-C6)*(POWER(1+E6,C6)-1)/(POWER(1+E6,A6)-1),3)),0,ROUND(POWER(1+E6,A6-C6)*(POWER(1+E6,C6)-1)/(POWER(1+E6,A6)-1),4))</f>
        <v>0.46700000000000003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33.090000000000003</v>
      </c>
      <c r="D7" s="3025">
        <f>IF(ISERROR(ROUND(POWER(1+E7,A7-C7)*(POWER(1+E7,C7)-1)/(POWER(1+E7,A7)-1),3)),0,ROUND(POWER(1+E7,A7-C7)*(POWER(1+E7,C7)-1)/(POWER(1+E7,A7)-1),4))</f>
        <v>0.77680000000000005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14" sqref="H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45252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497"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498"/>
      <c r="E9" s="2394" t="s">
        <v>587</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63513</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50</v>
      </c>
      <c r="I15" s="2410" t="str">
        <f>IF(A13="出让",IF(I13="","",ROUNDDOWN(MIN((I13-$D$3)/365,I14),2)),I14)</f>
        <v/>
      </c>
      <c r="J15" s="3064"/>
      <c r="K15" s="2451"/>
      <c r="L15" s="2451"/>
      <c r="M15" s="2509"/>
      <c r="N15" s="2451"/>
      <c r="O15" s="2509"/>
      <c r="P15" s="2439"/>
      <c r="Q15" s="2439"/>
      <c r="AD15" s="1745"/>
    </row>
    <row r="16" spans="1:30">
      <c r="A16" s="2400" t="s">
        <v>2193</v>
      </c>
      <c r="B16" s="3504"/>
      <c r="C16" s="3505"/>
      <c r="D16" s="3506"/>
      <c r="E16" s="2413" t="s">
        <v>2194</v>
      </c>
      <c r="F16" s="3507"/>
      <c r="G16" s="3508"/>
      <c r="H16" s="3508"/>
      <c r="I16" s="3509"/>
      <c r="J16" s="2439"/>
      <c r="K16" s="2617"/>
      <c r="L16" s="2451"/>
      <c r="M16" s="2451"/>
      <c r="N16" s="2509"/>
      <c r="O16" s="2451"/>
      <c r="P16" s="2509"/>
      <c r="Q16" s="2439"/>
      <c r="R16" s="2439"/>
    </row>
    <row r="17" spans="1:28">
      <c r="A17" s="313" t="s">
        <v>2195</v>
      </c>
      <c r="B17" s="302" t="s">
        <v>2196</v>
      </c>
      <c r="C17" s="8">
        <f>'数据-汇总表'!E3</f>
        <v>10629.2</v>
      </c>
      <c r="D17" s="2322" t="s">
        <v>2197</v>
      </c>
      <c r="E17" s="3510" t="s">
        <v>2198</v>
      </c>
      <c r="F17" s="3511"/>
      <c r="G17" s="3511"/>
      <c r="H17" s="3511"/>
      <c r="I17" s="351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9500</v>
      </c>
      <c r="D18" s="1092" t="s">
        <v>2201</v>
      </c>
      <c r="E18" s="3513" t="s">
        <v>2202</v>
      </c>
      <c r="F18" s="3514"/>
      <c r="G18" s="3514"/>
      <c r="H18" s="3514"/>
      <c r="I18" s="351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0" t="s">
        <v>2206</v>
      </c>
      <c r="C20" s="3501"/>
      <c r="D20" s="3502" t="s">
        <v>2207</v>
      </c>
      <c r="E20" s="3503"/>
      <c r="F20" s="2647" t="s">
        <v>1056</v>
      </c>
      <c r="G20" s="2664"/>
      <c r="H20" s="2664"/>
      <c r="I20" s="2664"/>
      <c r="J20" s="2439"/>
      <c r="K20" s="349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8"/>
      <c r="B30" s="302" t="s">
        <v>2218</v>
      </c>
      <c r="C30" s="3519"/>
      <c r="D30" s="3520"/>
      <c r="E30" s="2664"/>
      <c r="F30" s="2664"/>
      <c r="G30" s="2664"/>
      <c r="H30" s="2664"/>
      <c r="I30" s="2664"/>
      <c r="J30" s="2439"/>
      <c r="K30" s="2616"/>
      <c r="L30" s="2613"/>
      <c r="M30" s="2613"/>
      <c r="N30" s="2439"/>
      <c r="O30" s="2450"/>
      <c r="P30" s="2439"/>
      <c r="Q30" s="2439"/>
      <c r="R30" s="2439"/>
      <c r="S30" s="2439"/>
      <c r="T30" s="2439"/>
      <c r="U30" s="2439"/>
      <c r="V30" s="2439"/>
    </row>
    <row r="31" spans="1:28">
      <c r="A31" s="352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6" t="s">
        <v>2228</v>
      </c>
      <c r="T34" s="2428" t="str">
        <f>NUMBERSTRING(7-K34,1)&amp;"通"</f>
        <v>七通</v>
      </c>
      <c r="U34" s="2439"/>
      <c r="V34" s="2439"/>
    </row>
    <row r="35" spans="1:30">
      <c r="A35" s="2429"/>
      <c r="B35" s="3523" t="s">
        <v>2229</v>
      </c>
      <c r="C35" s="3523"/>
      <c r="D35" s="3523"/>
      <c r="E35" s="352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156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9500</v>
      </c>
      <c r="B3" s="11">
        <f>IF(C3="否",G5-AT5,G5)</f>
        <v>10629.2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10629.2</v>
      </c>
      <c r="H5" s="13">
        <f t="shared" ref="H5:AT5" si="0">SUM(H13:H656)</f>
        <v>10629.2</v>
      </c>
      <c r="I5" s="13">
        <f t="shared" si="0"/>
        <v>10629.2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10629.2</v>
      </c>
      <c r="BA5" s="15">
        <f t="shared" si="1"/>
        <v>10629.2</v>
      </c>
      <c r="BB5" s="15">
        <f t="shared" si="1"/>
        <v>10629.2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9500</v>
      </c>
      <c r="F6" s="13" t="s">
        <v>0</v>
      </c>
      <c r="G6" s="13" t="s">
        <v>1</v>
      </c>
      <c r="H6" s="17">
        <f>SUMIF(I$12:AB$12,"总值",I6:AB6)</f>
        <v>9500</v>
      </c>
      <c r="I6" s="13">
        <f t="shared" ref="I6:AB6" si="2">ROUND($A$3*I5/$B$3,2)</f>
        <v>9500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9500</v>
      </c>
      <c r="AZ6" s="13" t="s">
        <v>2</v>
      </c>
      <c r="BA6" s="13">
        <f>ROUND($AY$6*BA5/$AZ$5,2)</f>
        <v>9500</v>
      </c>
      <c r="BB6" s="13">
        <f>ROUND($AY$6*BB5/$AZ$5,2)</f>
        <v>9500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3388</v>
      </c>
      <c r="E13" s="13">
        <f>IF($C$3="是",ROUND($A$3*G13/$B$3,2),ROUND($A$3*(G13-AT13)/$B$3,2))</f>
        <v>9500</v>
      </c>
      <c r="F13" s="29"/>
      <c r="G13" s="30">
        <f>H13+AC13+AT13</f>
        <v>10629.2</v>
      </c>
      <c r="H13" s="17">
        <f>SUMIF(I$12:AB$12,"总值",I13:AB13)</f>
        <v>10629.2</v>
      </c>
      <c r="I13" s="1626">
        <f>Sheet1!D14</f>
        <v>10629.2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9500</v>
      </c>
      <c r="AZ13" s="13">
        <f>BA13+BL13</f>
        <v>10629.2</v>
      </c>
      <c r="BA13" s="13">
        <f>SUM(BB13:BK13)</f>
        <v>10629.2</v>
      </c>
      <c r="BB13" s="13">
        <f>IF($D13="是",I13-J13,0)</f>
        <v>10629.2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9500</v>
      </c>
      <c r="E3" s="43">
        <f>'数据-基础表'!AZ5</f>
        <v>10629.2</v>
      </c>
      <c r="F3" s="2659"/>
      <c r="G3" s="1145"/>
      <c r="H3" s="1026" t="s">
        <v>1106</v>
      </c>
      <c r="I3" s="855">
        <f>ROUND('数据-基础表'!B3/'数据-基础表'!A3,2)</f>
        <v>1.1200000000000001</v>
      </c>
      <c r="J3" s="2659"/>
      <c r="K3" s="2659"/>
      <c r="L3" s="2659"/>
      <c r="M3" s="2659"/>
      <c r="N3" s="2661"/>
      <c r="O3" s="2659"/>
      <c r="P3" s="2659"/>
    </row>
    <row r="4" spans="1:16" ht="15">
      <c r="A4" s="3535"/>
      <c r="B4" s="3536"/>
      <c r="C4" s="3537"/>
      <c r="D4" s="1641" t="s">
        <v>1107</v>
      </c>
      <c r="E4" s="1642" t="s">
        <v>1108</v>
      </c>
      <c r="F4" s="2659"/>
      <c r="G4" s="2652" t="s">
        <v>1133</v>
      </c>
      <c r="H4" s="1026" t="s">
        <v>1113</v>
      </c>
      <c r="I4" s="855">
        <f>ROUND(SUMIF('数据-基础表'!I9:AS9,"地上",'数据-基础表'!I5:AS5)/'数据-基础表'!A3,2)</f>
        <v>1.1200000000000001</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f>ROUND(E31/D31,2)</f>
        <v>1.1200000000000001</v>
      </c>
      <c r="J5" s="2659"/>
      <c r="K5" s="2659"/>
      <c r="L5" s="2659"/>
      <c r="M5" s="2659"/>
      <c r="N5" s="2659"/>
      <c r="O5" s="2659"/>
      <c r="P5" s="2659"/>
    </row>
    <row r="6" spans="1:16" ht="15" thickBot="1">
      <c r="A6" s="1644"/>
      <c r="B6" s="3538" t="s">
        <v>1111</v>
      </c>
      <c r="C6" s="3538"/>
      <c r="D6" s="45">
        <f>ROUND($D$3*E6/$E$3,2)</f>
        <v>9500</v>
      </c>
      <c r="E6" s="46">
        <f>E3-E5</f>
        <v>10629.2</v>
      </c>
      <c r="F6" s="2659"/>
      <c r="G6" s="2653" t="s">
        <v>1112</v>
      </c>
      <c r="H6" s="1146" t="s">
        <v>1113</v>
      </c>
      <c r="I6" s="2654">
        <f>ROUND(F31/D31,2)</f>
        <v>1.1200000000000001</v>
      </c>
      <c r="J6" s="2659"/>
      <c r="K6" s="2659"/>
      <c r="L6" s="2659"/>
      <c r="M6" s="2659"/>
      <c r="N6" s="2659"/>
      <c r="O6" s="2659"/>
      <c r="P6" s="2659"/>
    </row>
    <row r="7" spans="1:16" ht="15.75" thickBot="1">
      <c r="A7" s="3530"/>
      <c r="B7" s="3531"/>
      <c r="C7" s="353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9500</v>
      </c>
      <c r="E8" s="48">
        <f>SUMIF('数据-基础表'!BB10:BK10,"地上",'数据-基础表'!BB5:BK5)</f>
        <v>10629.2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9500</v>
      </c>
      <c r="E16" s="50">
        <f>SUM(E8:E15)</f>
        <v>10629.2</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3408</v>
      </c>
      <c r="D19" s="45">
        <f>ROUND($D$3*E19/$E$3,2)</f>
        <v>9500</v>
      </c>
      <c r="E19" s="53">
        <f t="shared" ref="E19:E26" si="1">SUM(F19:G19)</f>
        <v>10629.2</v>
      </c>
      <c r="F19" s="2795">
        <f>'数据-基础表'!I13</f>
        <v>10629.2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9500</v>
      </c>
      <c r="S19" s="1027">
        <f t="shared" si="5"/>
        <v>10629.2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9500</v>
      </c>
      <c r="E27" s="1141">
        <f>IF(SUM(E19:E26)='数据-基础表'!BA5,SUM(E19:E26),IF(F27="地上面积有误","面积有误","地下面积有误"))</f>
        <v>10629.2</v>
      </c>
      <c r="F27" s="1140">
        <f>IF(SUM(F19:F26)=E8,SUM(F19:F26),"地上面积有误")</f>
        <v>10629.2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9500</v>
      </c>
      <c r="S27" s="1026">
        <f>IF(SUM(S19:S26)=$E$3,SUM(S19:S26),SUM(S19:S26)&amp;"误差"&amp;ROUND(SUM(S19:S26)-E3,2))</f>
        <v>10629.2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9500</v>
      </c>
      <c r="E31" s="676">
        <f>E27+E30</f>
        <v>10629.2</v>
      </c>
      <c r="F31" s="677">
        <f>F27+F30</f>
        <v>10629.2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6" activePane="bottomRight" state="frozen"/>
      <selection activeCell="C50" sqref="C50"/>
      <selection pane="topRight" activeCell="C50" sqref="C50"/>
      <selection pane="bottomLeft" activeCell="C50" sqref="C50"/>
      <selection pane="bottomRight" activeCell="AH23" sqref="AH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南三环中路73号</v>
      </c>
      <c r="B6" s="1713" t="str">
        <f>IF(A6=0,"","经营性")</f>
        <v>经营性</v>
      </c>
      <c r="C6" s="1714" t="s">
        <v>3</v>
      </c>
      <c r="D6" s="858">
        <f>SUMIF(项目基本情况!C$12:I$12,C6,项目基本情况!C$14:I$14)</f>
        <v>50</v>
      </c>
      <c r="E6" s="857">
        <f>IF(B6="","",SUMIF(项目基本情况!C$12:I$12,C6,项目基本情况!C$13:I$13))</f>
        <v>63513</v>
      </c>
      <c r="F6" s="64">
        <f>SUMIF(项目基本情况!C$12:I$12,C6,项目基本情况!C$15:I$15)</f>
        <v>50</v>
      </c>
      <c r="G6" s="65">
        <f>IF(ISERROR(ROUND(POWER(1+H6,D6-F6)*(POWER(1+H6,F6)-1)/(POWER(1+H6,D6)-1),3)),0,ROUND(POWER(1+H6,D6-F6)*(POWER(1+H6,F6)-1)/(POWER(1+H6,D6)-1),3))</f>
        <v>1</v>
      </c>
      <c r="H6" s="732">
        <v>0.05</v>
      </c>
      <c r="I6" s="732">
        <v>5.5E-2</v>
      </c>
      <c r="J6" s="66">
        <v>7.0000000000000007E-2</v>
      </c>
      <c r="K6" s="1030">
        <f>SUMIF('数据-汇总表'!C$19:C$33,A6,'数据-汇总表'!E$19:E$33)</f>
        <v>10629.2</v>
      </c>
      <c r="L6" s="733">
        <v>2800</v>
      </c>
      <c r="M6" s="67">
        <f t="shared" ref="M6:M14" si="0">ROUND(K6*L6/10000,0)</f>
        <v>2976</v>
      </c>
      <c r="N6" s="731">
        <v>0.7</v>
      </c>
      <c r="O6" s="67" t="str">
        <f>IF($N$5="成新度","——",ROUND(M6*N6,0))</f>
        <v>——</v>
      </c>
      <c r="P6" s="68" t="str">
        <f>IF($N$5="成新度","——",M6-O6)</f>
        <v>——</v>
      </c>
      <c r="Q6" s="734">
        <v>0.1</v>
      </c>
      <c r="R6" s="69">
        <f ca="1">SUMIF('数据-汇总表'!C$19:C$33,A6,'数据-汇总表'!R$19:R$27)</f>
        <v>9500</v>
      </c>
      <c r="S6" s="51">
        <f>IF('数据-汇总表'!$I$17="按面积比例",SUMIF('数据-汇总表'!C$19:C$33,A6,'数据-汇总表'!K$19:K$33),SUMIF('数据-汇总表'!C$19:C$33,A6,'数据-汇总表'!N$19:N$33))</f>
        <v>0</v>
      </c>
      <c r="T6" s="1172">
        <f>ROUND($L$14*S6/10000,0)</f>
        <v>0</v>
      </c>
      <c r="U6" s="3428">
        <v>2.2000000000000002</v>
      </c>
      <c r="V6" s="70">
        <v>2.5000000000000001E-2</v>
      </c>
      <c r="W6" s="70">
        <v>0.1</v>
      </c>
      <c r="X6" s="1040"/>
      <c r="Y6" s="71">
        <f>N6</f>
        <v>0.7</v>
      </c>
      <c r="Z6" s="72"/>
      <c r="AA6" s="66"/>
      <c r="AB6" s="66"/>
      <c r="AC6" s="1040"/>
      <c r="AD6" s="73"/>
      <c r="AE6" s="1041">
        <f ca="1">IF(AN6="",0,SUMIF(INDIRECT("'"&amp;AN6&amp;"'"&amp;"!E:E"),$AE$5,INDIRECT("'"&amp;AN6&amp;"'"&amp;"!F:F")))</f>
        <v>50</v>
      </c>
      <c r="AF6" s="1348"/>
      <c r="AG6" s="138">
        <f>IF(AF6="",0,AE6-AF6)</f>
        <v>0</v>
      </c>
      <c r="AH6" s="74"/>
      <c r="AI6" s="76">
        <v>365</v>
      </c>
      <c r="AJ6" s="77"/>
      <c r="AK6" s="78">
        <v>1.4999999999999999E-2</v>
      </c>
      <c r="AL6" s="79">
        <v>1.5E-3</v>
      </c>
      <c r="AM6" s="80">
        <v>0.01</v>
      </c>
      <c r="AN6" s="1715" t="s">
        <v>3424</v>
      </c>
      <c r="AO6" s="52">
        <f ca="1">SUMIF(INDIRECT("'"&amp;AN6&amp;"'"&amp;"!A:A"),"总价",INDIRECT("'"&amp;AN6&amp;"'"&amp;"!B:B"))</f>
        <v>14102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0.05</v>
      </c>
      <c r="I16" s="91"/>
      <c r="J16" s="91"/>
      <c r="K16" s="92">
        <f>SUM(K6:K15)</f>
        <v>10629.2</v>
      </c>
      <c r="L16" s="93">
        <f>ROUND(M16*10000/SUM(K6:K14),0)</f>
        <v>2800</v>
      </c>
      <c r="M16" s="93">
        <f>SUM(M6:M14)</f>
        <v>2976</v>
      </c>
      <c r="N16" s="94">
        <f>ROUND(SUMPRODUCT(M6:M14,N6:N14)/M16,3)</f>
        <v>0.7</v>
      </c>
      <c r="O16" s="93">
        <f>SUM(O6:O14)</f>
        <v>0</v>
      </c>
      <c r="P16" s="93">
        <f>SUM(P6:P14)</f>
        <v>0</v>
      </c>
      <c r="Q16" s="95">
        <f>ROUND(SUMPRODUCT(Q6:Q13,K6:K13)/SUMPRODUCT((Q6:Q13&gt;0)*(K6:K13)),2)</f>
        <v>0.1</v>
      </c>
      <c r="R16" s="1034">
        <f ca="1">SUM(R6:R13)</f>
        <v>9500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213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110</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63"/>
  <sheetViews>
    <sheetView zoomScale="70" zoomScaleNormal="70" workbookViewId="0">
      <selection activeCell="U12" sqref="U12"/>
    </sheetView>
  </sheetViews>
  <sheetFormatPr defaultRowHeight="14.25"/>
  <cols>
    <col min="1" max="16384" width="9" style="3449"/>
  </cols>
  <sheetData>
    <row r="3" spans="2:17">
      <c r="N3" s="3449" t="s">
        <v>3439</v>
      </c>
      <c r="O3" s="3449" t="s">
        <v>3431</v>
      </c>
      <c r="P3" s="3449" t="s">
        <v>3433</v>
      </c>
      <c r="Q3" s="3449" t="s">
        <v>3434</v>
      </c>
    </row>
    <row r="4" spans="2:17">
      <c r="K4" s="3449" t="s">
        <v>3429</v>
      </c>
      <c r="L4" s="3449">
        <v>6.5</v>
      </c>
      <c r="N4" s="3449">
        <v>1</v>
      </c>
      <c r="O4" s="3449">
        <v>1</v>
      </c>
      <c r="P4" s="3449">
        <v>6.5</v>
      </c>
      <c r="Q4" s="3449">
        <f>L5</f>
        <v>4.55</v>
      </c>
    </row>
    <row r="5" spans="2:17">
      <c r="B5" s="3449" t="s">
        <v>3390</v>
      </c>
      <c r="C5" s="3449" t="s">
        <v>3399</v>
      </c>
      <c r="D5" s="3449" t="s">
        <v>3401</v>
      </c>
      <c r="E5" s="3449" t="s">
        <v>3402</v>
      </c>
      <c r="F5" s="3449" t="s">
        <v>3404</v>
      </c>
      <c r="G5" s="3449" t="s">
        <v>3406</v>
      </c>
      <c r="H5" s="3449" t="s">
        <v>3410</v>
      </c>
      <c r="I5" s="3449" t="s">
        <v>3432</v>
      </c>
      <c r="K5" s="3449" t="s">
        <v>3430</v>
      </c>
      <c r="L5" s="3449">
        <f>L4*0.7</f>
        <v>4.55</v>
      </c>
      <c r="N5" s="3449">
        <v>2</v>
      </c>
      <c r="O5" s="3449">
        <v>0.7</v>
      </c>
      <c r="P5" s="3449">
        <f>$P$4*O5</f>
        <v>4.55</v>
      </c>
      <c r="Q5" s="3449">
        <f>$Q$4*O5</f>
        <v>3.1849999999999996</v>
      </c>
    </row>
    <row r="6" spans="2:17">
      <c r="B6" s="3449" t="s">
        <v>3391</v>
      </c>
      <c r="C6" s="3449" t="s">
        <v>3400</v>
      </c>
      <c r="D6" s="3449">
        <v>606</v>
      </c>
      <c r="E6" s="3449" t="s">
        <v>3403</v>
      </c>
      <c r="F6" s="3449" t="s">
        <v>3405</v>
      </c>
      <c r="G6" s="3449">
        <v>2</v>
      </c>
      <c r="H6" s="3449">
        <v>2000</v>
      </c>
      <c r="I6" s="3449">
        <f>(Q4+Q5)/2</f>
        <v>3.8674999999999997</v>
      </c>
      <c r="N6" s="3449">
        <v>3</v>
      </c>
      <c r="O6" s="3449">
        <v>0.6</v>
      </c>
      <c r="P6" s="3449">
        <f t="shared" ref="P6:P9" si="0">$P$4*O6</f>
        <v>3.9</v>
      </c>
      <c r="Q6" s="3449">
        <f t="shared" ref="Q6:Q9" si="1">$Q$4*O6</f>
        <v>2.73</v>
      </c>
    </row>
    <row r="7" spans="2:17">
      <c r="B7" s="3449" t="s">
        <v>3392</v>
      </c>
      <c r="C7" s="3449" t="s">
        <v>3400</v>
      </c>
      <c r="D7" s="3449">
        <v>260</v>
      </c>
      <c r="E7" s="3449" t="s">
        <v>3403</v>
      </c>
      <c r="F7" s="3449" t="s">
        <v>3405</v>
      </c>
      <c r="G7" s="3449">
        <v>2</v>
      </c>
      <c r="H7" s="3449">
        <v>2000</v>
      </c>
      <c r="I7" s="3449">
        <f>I6</f>
        <v>3.8674999999999997</v>
      </c>
      <c r="N7" s="3449">
        <v>4</v>
      </c>
      <c r="O7" s="3449">
        <v>0.5</v>
      </c>
      <c r="P7" s="3449">
        <f t="shared" si="0"/>
        <v>3.25</v>
      </c>
      <c r="Q7" s="3449">
        <f t="shared" si="1"/>
        <v>2.2749999999999999</v>
      </c>
    </row>
    <row r="8" spans="2:17">
      <c r="B8" s="3449" t="s">
        <v>3393</v>
      </c>
      <c r="C8" s="3449" t="s">
        <v>3400</v>
      </c>
      <c r="D8" s="3449">
        <v>1414.2</v>
      </c>
      <c r="E8" s="3449" t="s">
        <v>3403</v>
      </c>
      <c r="F8" s="3449" t="s">
        <v>3405</v>
      </c>
      <c r="G8" s="3449">
        <v>5</v>
      </c>
      <c r="H8" s="3449">
        <v>3000</v>
      </c>
      <c r="I8" s="3449">
        <f>ROUND((Q4+Q5+Q6+Q7+Q8)/5,2)</f>
        <v>3</v>
      </c>
      <c r="N8" s="3449">
        <v>5</v>
      </c>
      <c r="O8" s="3449">
        <v>0.5</v>
      </c>
      <c r="P8" s="3449">
        <f t="shared" si="0"/>
        <v>3.25</v>
      </c>
      <c r="Q8" s="3449">
        <f t="shared" si="1"/>
        <v>2.2749999999999999</v>
      </c>
    </row>
    <row r="9" spans="2:17">
      <c r="B9" s="3449" t="s">
        <v>3394</v>
      </c>
      <c r="C9" s="3449" t="s">
        <v>3400</v>
      </c>
      <c r="D9" s="3449">
        <v>178.5</v>
      </c>
      <c r="E9" s="3449" t="s">
        <v>3403</v>
      </c>
      <c r="F9" s="3449" t="s">
        <v>3405</v>
      </c>
      <c r="G9" s="3449">
        <v>1</v>
      </c>
      <c r="H9" s="3449">
        <v>2000</v>
      </c>
      <c r="I9" s="3449">
        <f>Q4</f>
        <v>4.55</v>
      </c>
      <c r="N9" s="3449">
        <v>6</v>
      </c>
      <c r="O9" s="3449">
        <v>0.5</v>
      </c>
      <c r="P9" s="3449">
        <f t="shared" si="0"/>
        <v>3.25</v>
      </c>
      <c r="Q9" s="3449">
        <f t="shared" si="1"/>
        <v>2.2749999999999999</v>
      </c>
    </row>
    <row r="10" spans="2:17">
      <c r="B10" s="3449" t="s">
        <v>3395</v>
      </c>
      <c r="C10" s="3449" t="s">
        <v>3400</v>
      </c>
      <c r="D10" s="3449">
        <v>361</v>
      </c>
      <c r="E10" s="3449" t="s">
        <v>3403</v>
      </c>
      <c r="F10" s="3449" t="s">
        <v>3405</v>
      </c>
      <c r="G10" s="3449">
        <v>2</v>
      </c>
      <c r="H10" s="3449">
        <v>2000</v>
      </c>
      <c r="I10" s="3449">
        <f>(Q4+Q5)/2</f>
        <v>3.8674999999999997</v>
      </c>
    </row>
    <row r="11" spans="2:17">
      <c r="B11" s="3449" t="s">
        <v>3396</v>
      </c>
      <c r="C11" s="3449" t="s">
        <v>3400</v>
      </c>
      <c r="D11" s="3449">
        <v>6995</v>
      </c>
      <c r="E11" s="3449" t="s">
        <v>3403</v>
      </c>
      <c r="F11" s="3449" t="s">
        <v>3405</v>
      </c>
      <c r="G11" s="3449">
        <v>6</v>
      </c>
      <c r="H11" s="3449">
        <v>3000</v>
      </c>
      <c r="I11" s="3449">
        <f>(P4+P5+P6+P7+P8+P9)/6</f>
        <v>4.1166666666666671</v>
      </c>
    </row>
    <row r="12" spans="2:17">
      <c r="B12" s="3451" t="s">
        <v>3397</v>
      </c>
      <c r="C12" s="3451" t="s">
        <v>3400</v>
      </c>
      <c r="D12" s="3451">
        <v>151.9</v>
      </c>
      <c r="E12" s="3451" t="s">
        <v>3403</v>
      </c>
      <c r="F12" s="3451" t="s">
        <v>3405</v>
      </c>
      <c r="G12" s="3451">
        <v>1</v>
      </c>
      <c r="H12" s="3451">
        <v>2000</v>
      </c>
      <c r="I12" s="3449" t="s">
        <v>3436</v>
      </c>
    </row>
    <row r="13" spans="2:17">
      <c r="B13" s="3451" t="s">
        <v>3398</v>
      </c>
      <c r="C13" s="3451" t="s">
        <v>3400</v>
      </c>
      <c r="D13" s="3451">
        <v>662.6</v>
      </c>
      <c r="E13" s="3451" t="s">
        <v>3403</v>
      </c>
      <c r="F13" s="3451" t="s">
        <v>3405</v>
      </c>
      <c r="G13" s="3451">
        <v>1</v>
      </c>
      <c r="H13" s="3451">
        <v>2000</v>
      </c>
    </row>
    <row r="14" spans="2:17">
      <c r="D14" s="3449">
        <f>SUM(D6:D13)</f>
        <v>10629.2</v>
      </c>
      <c r="H14" s="3449">
        <f>((D6+D7+D9+D10+D12+D13)*H6+(D8+D11)*H11)/D14</f>
        <v>2791.1413841116923</v>
      </c>
      <c r="I14" s="3449">
        <f>ROUND((I6*D6+I7*D7+I8*D8+I9*D9+I10*D10+I11*D11)/D14,2)</f>
        <v>3.63</v>
      </c>
    </row>
    <row r="24" spans="19:19">
      <c r="S24" s="3449" t="s">
        <v>3440</v>
      </c>
    </row>
    <row r="25" spans="19:19">
      <c r="S25" s="3449" t="s">
        <v>3441</v>
      </c>
    </row>
    <row r="62" spans="19:19">
      <c r="S62" s="3449" t="s">
        <v>3442</v>
      </c>
    </row>
    <row r="63" spans="19:19">
      <c r="S63" s="3449" t="s">
        <v>3443</v>
      </c>
    </row>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2286</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10629.2</v>
      </c>
      <c r="C1" s="2686"/>
      <c r="D1" s="2686"/>
      <c r="E1" s="2686"/>
      <c r="F1" s="2686"/>
      <c r="G1" s="2687"/>
      <c r="H1" s="2688"/>
      <c r="I1" s="2688"/>
      <c r="J1" s="2688"/>
      <c r="K1" s="2688"/>
    </row>
    <row r="2" spans="1:11" ht="16.5">
      <c r="A2" s="2512" t="s">
        <v>653</v>
      </c>
      <c r="B2" s="2512">
        <f>SUM(C14:C23)</f>
        <v>9500</v>
      </c>
      <c r="C2" s="2686"/>
      <c r="D2" s="2686"/>
      <c r="E2" s="2686"/>
      <c r="F2" s="2686"/>
      <c r="G2" s="2687"/>
      <c r="H2" s="2688"/>
      <c r="I2" s="2688"/>
      <c r="J2" s="2688"/>
      <c r="K2" s="2688"/>
    </row>
    <row r="3" spans="1:11" ht="16.5">
      <c r="A3" s="2512" t="s">
        <v>662</v>
      </c>
      <c r="B3" s="2514">
        <f>项目基本情况!D3</f>
        <v>45252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14267</v>
      </c>
      <c r="C5" s="2512">
        <f ca="1">IF(B5=D14,结果表!H102,ROUND(B5*10000/$B$1,0))</f>
        <v>13422</v>
      </c>
      <c r="D5" s="2512">
        <f ca="1">ROUND(B5*10000/$B$2,0)</f>
        <v>15018</v>
      </c>
      <c r="E5" s="2686"/>
      <c r="F5" s="2687"/>
      <c r="G5" s="2687"/>
      <c r="H5" s="2688"/>
      <c r="I5" s="2688"/>
      <c r="J5" s="2688"/>
      <c r="K5" s="2688"/>
    </row>
    <row r="6" spans="1:11" ht="16.5">
      <c r="A6" s="2512" t="s">
        <v>656</v>
      </c>
      <c r="B6" s="2512">
        <f ca="1">SUM(G14:G23)</f>
        <v>12944</v>
      </c>
      <c r="C6" s="2512">
        <f ca="1">IF(B6=G14,结果表!H108,ROUND(B6*10000/$B$1,0))</f>
        <v>12178</v>
      </c>
      <c r="D6" s="2512">
        <f ca="1">ROUND(B6*10000/$B$2,0)</f>
        <v>13625</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f ca="1">IF(B8=I14,结果表!H112,ROUND(B8*10000/$B$1,0))</f>
        <v>4446</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10629.2</v>
      </c>
      <c r="C14" s="2518">
        <f>'数据-基础表'!A3</f>
        <v>9500</v>
      </c>
      <c r="D14" s="2518">
        <f ca="1">结果表!G19</f>
        <v>14267</v>
      </c>
      <c r="E14" s="2518">
        <f ca="1">ROUND(D14*10000/B14,0)</f>
        <v>13422</v>
      </c>
      <c r="F14" s="2518">
        <f ca="1">ROUND(D14*10000/C14,0)</f>
        <v>15018</v>
      </c>
      <c r="G14" s="2518">
        <f ca="1">结果表!H107</f>
        <v>12944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90" zoomScaleNormal="100" zoomScaleSheetLayoutView="90" zoomScalePageLayoutView="80" workbookViewId="0">
      <selection activeCell="H26" sqref="H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4" t="s">
        <v>1265</v>
      </c>
      <c r="B4" s="1755" t="s">
        <v>1266</v>
      </c>
      <c r="C4" s="1756" t="s">
        <v>3423</v>
      </c>
      <c r="D4" s="1756" t="s">
        <v>3424</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7"/>
      <c r="G5" s="1757"/>
      <c r="H5" s="1757"/>
      <c r="I5" s="1373"/>
    </row>
    <row r="6" spans="1:12" ht="12.75">
      <c r="A6" s="3556"/>
      <c r="B6" s="3611"/>
      <c r="C6" s="3616"/>
      <c r="D6" s="3602"/>
      <c r="E6" s="131" t="s">
        <v>1270</v>
      </c>
      <c r="F6" s="1757"/>
      <c r="G6" s="1757"/>
      <c r="H6" s="1757"/>
      <c r="I6" s="1373"/>
    </row>
    <row r="7" spans="1:12" ht="12.75">
      <c r="A7" s="3556"/>
      <c r="B7" s="3611"/>
      <c r="C7" s="3615"/>
      <c r="D7" s="3602"/>
      <c r="E7" s="131" t="s">
        <v>1271</v>
      </c>
      <c r="F7" s="1757"/>
      <c r="G7" s="1757"/>
      <c r="H7" s="1757"/>
      <c r="I7" s="1373"/>
    </row>
    <row r="8" spans="1:12" ht="12.75">
      <c r="A8" s="3556" t="s">
        <v>1272</v>
      </c>
      <c r="B8" s="3611">
        <v>15</v>
      </c>
      <c r="C8" s="3614"/>
      <c r="D8" s="3602"/>
      <c r="E8" s="131" t="s">
        <v>1273</v>
      </c>
      <c r="F8" s="1757"/>
      <c r="G8" s="1757"/>
      <c r="H8" s="1757"/>
      <c r="I8" s="1373"/>
    </row>
    <row r="9" spans="1:12" ht="12.75">
      <c r="A9" s="3556"/>
      <c r="B9" s="3611"/>
      <c r="C9" s="3615"/>
      <c r="D9" s="3602"/>
      <c r="E9" s="131" t="s">
        <v>1274</v>
      </c>
      <c r="F9" s="1757"/>
      <c r="G9" s="1757"/>
      <c r="H9" s="1757"/>
      <c r="I9" s="1373"/>
    </row>
    <row r="10" spans="1:12" ht="12.75">
      <c r="A10" s="3556" t="s">
        <v>1275</v>
      </c>
      <c r="B10" s="3611">
        <v>15</v>
      </c>
      <c r="C10" s="3614"/>
      <c r="D10" s="3602"/>
      <c r="E10" s="131" t="s">
        <v>1276</v>
      </c>
      <c r="F10" s="1757"/>
      <c r="G10" s="1757"/>
      <c r="H10" s="1757"/>
      <c r="I10" s="1373"/>
    </row>
    <row r="11" spans="1:12" ht="12.75">
      <c r="A11" s="3556"/>
      <c r="B11" s="3611"/>
      <c r="C11" s="3615"/>
      <c r="D11" s="3602"/>
      <c r="E11" s="131" t="s">
        <v>1277</v>
      </c>
      <c r="F11" s="1757"/>
      <c r="G11" s="1757"/>
      <c r="H11" s="1757"/>
      <c r="I11" s="1373"/>
    </row>
    <row r="12" spans="1:12" ht="12.75">
      <c r="A12" s="3556" t="s">
        <v>1278</v>
      </c>
      <c r="B12" s="3611">
        <v>15</v>
      </c>
      <c r="C12" s="3614"/>
      <c r="D12" s="3602"/>
      <c r="E12" s="131" t="s">
        <v>1279</v>
      </c>
      <c r="F12" s="1757"/>
      <c r="G12" s="1757"/>
      <c r="H12" s="1757"/>
      <c r="I12" s="1373"/>
    </row>
    <row r="13" spans="1:12" ht="12.75">
      <c r="A13" s="3556"/>
      <c r="B13" s="3611"/>
      <c r="C13" s="3615"/>
      <c r="D13" s="3602"/>
      <c r="E13" s="131" t="s">
        <v>1280</v>
      </c>
      <c r="F13" s="1757"/>
      <c r="G13" s="1757"/>
      <c r="H13" s="1757"/>
      <c r="I13" s="1373"/>
    </row>
    <row r="14" spans="1:12" ht="12.75">
      <c r="A14" s="3556" t="s">
        <v>1281</v>
      </c>
      <c r="B14" s="3611">
        <v>30</v>
      </c>
      <c r="C14" s="3614">
        <v>5</v>
      </c>
      <c r="D14" s="3602">
        <v>5</v>
      </c>
      <c r="E14" s="131" t="s">
        <v>1282</v>
      </c>
      <c r="F14" s="1757"/>
      <c r="G14" s="1757"/>
      <c r="H14" s="1757"/>
      <c r="I14" s="1373"/>
    </row>
    <row r="15" spans="1:12" ht="12.75">
      <c r="A15" s="3556"/>
      <c r="B15" s="3611"/>
      <c r="C15" s="3616"/>
      <c r="D15" s="3602"/>
      <c r="E15" s="131" t="s">
        <v>1283</v>
      </c>
      <c r="F15" s="1757"/>
      <c r="G15" s="1757"/>
      <c r="H15" s="1757"/>
      <c r="I15" s="1373"/>
    </row>
    <row r="16" spans="1:12" ht="12.75">
      <c r="A16" s="3556"/>
      <c r="B16" s="3611"/>
      <c r="C16" s="3615"/>
      <c r="D16" s="3602"/>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3" t="s">
        <v>2131</v>
      </c>
      <c r="F18" s="3634"/>
      <c r="G18" s="3634"/>
      <c r="H18" s="3634"/>
      <c r="I18" s="3634"/>
      <c r="K18" s="302" t="s">
        <v>1289</v>
      </c>
      <c r="L18" s="302">
        <f>IF(C1="",'数据-汇总表'!E3,SUMIF(项目类型,C1,'数据-汇总表'!E17:E26)+SUMIF(项目类型,C1,'数据-汇总表'!I17:I26))</f>
        <v>10629.2</v>
      </c>
      <c r="M18" s="302">
        <f>IF(C1="",'数据-汇总表'!E3,SUMIF(项目类型,C1,'数据-汇总表'!E17:E26))</f>
        <v>10629.2</v>
      </c>
    </row>
    <row r="19" spans="1:36" ht="15">
      <c r="A19" s="1761" t="s">
        <v>1290</v>
      </c>
      <c r="B19" s="1762" t="s">
        <v>1291</v>
      </c>
      <c r="C19" s="134">
        <f ca="1">SUMIF(INDIRECT("'"&amp;C4&amp;"'"&amp;"!A:A"),结果表!B19,INDIRECT("'"&amp;C4&amp;"'"&amp;"!B:B"))</f>
        <v>14431</v>
      </c>
      <c r="D19" s="135">
        <f ca="1">SUMIF(INDIRECT("'"&amp;D4&amp;"'"&amp;"!A:A"),结果表!B19,INDIRECT("'"&amp;D4&amp;"'"&amp;"!B:B"))</f>
        <v>14102</v>
      </c>
      <c r="E19" s="1761" t="s">
        <v>1292</v>
      </c>
      <c r="F19" s="1762" t="s">
        <v>1291</v>
      </c>
      <c r="G19" s="136">
        <f ca="1">ROUND(C19*$C$18+D19*$D$18,0)</f>
        <v>14267</v>
      </c>
      <c r="H19" s="1763" t="s">
        <v>1293</v>
      </c>
      <c r="I19" s="129"/>
      <c r="K19" s="302" t="s">
        <v>1294</v>
      </c>
      <c r="L19" s="302">
        <f>IF(C1="",'数据-汇总表'!D3,SUMIF(项目类型,C1,'数据-汇总表'!D17:D26)+SUMIF(项目类型,C1,'数据-汇总表'!H17:H27))</f>
        <v>9500</v>
      </c>
      <c r="M19" s="302">
        <f>IF(C1="",'数据-汇总表'!D3,SUMIF(项目类型,C1,'数据-汇总表'!D17:D26))</f>
        <v>9500</v>
      </c>
    </row>
    <row r="20" spans="1:36" ht="15">
      <c r="A20" s="1764"/>
      <c r="B20" s="1026" t="s">
        <v>1295</v>
      </c>
      <c r="C20" s="137">
        <f ca="1">SUMIF(INDIRECT("'"&amp;C4&amp;"'"&amp;"!A:A"),结果表!B20,INDIRECT("'"&amp;C4&amp;"'"&amp;"!B:B"))</f>
        <v>13577</v>
      </c>
      <c r="D20" s="138">
        <f ca="1">SUMIF(INDIRECT("'"&amp;D4&amp;"'"&amp;"!A:A"),结果表!B20,INDIRECT("'"&amp;D4&amp;"'"&amp;"!B:B"))</f>
        <v>13267</v>
      </c>
      <c r="E20" s="1764"/>
      <c r="F20" s="1026" t="s">
        <v>1295</v>
      </c>
      <c r="G20" s="139">
        <f ca="1">ROUND(C20*$C$18+D20*$D$18,0)</f>
        <v>13422</v>
      </c>
      <c r="H20" s="808" t="s">
        <v>1296</v>
      </c>
      <c r="I20" s="129"/>
    </row>
    <row r="21" spans="1:36" ht="15" customHeight="1" thickBot="1">
      <c r="A21" s="828"/>
      <c r="B21" s="1765" t="s">
        <v>1297</v>
      </c>
      <c r="C21" s="719">
        <f ca="1">ROUND(C19*10000/L19,0)</f>
        <v>15191</v>
      </c>
      <c r="D21" s="720">
        <f ca="1">ROUND(D19*10000/L19,0)</f>
        <v>14844</v>
      </c>
      <c r="E21" s="828"/>
      <c r="F21" s="1765" t="s">
        <v>1297</v>
      </c>
      <c r="G21" s="140">
        <f ca="1">ROUND(G19*10000/L19,0)</f>
        <v>15018</v>
      </c>
      <c r="H21" s="1766" t="s">
        <v>1296</v>
      </c>
      <c r="I21" s="129"/>
    </row>
    <row r="22" spans="1:36" ht="15" thickBot="1">
      <c r="A22" s="1688" t="s">
        <v>1298</v>
      </c>
      <c r="B22" s="1767"/>
      <c r="C22" s="1768"/>
      <c r="D22" s="721">
        <f ca="1">IF(C19&lt;D19,D19/C19-1,C19/D19-1)</f>
        <v>2.3330024110055358E-2</v>
      </c>
      <c r="E22" s="129"/>
      <c r="F22" s="129"/>
      <c r="G22" s="129"/>
      <c r="H22" s="129"/>
      <c r="I22" s="129"/>
    </row>
    <row r="23" spans="1:36" ht="13.5" thickBot="1">
      <c r="A23" s="1747"/>
      <c r="B23" s="1747"/>
      <c r="C23" s="1747"/>
      <c r="D23" s="1747"/>
      <c r="E23" s="129"/>
      <c r="F23" s="129"/>
      <c r="G23" s="129"/>
      <c r="H23" s="129"/>
      <c r="I23" s="129"/>
    </row>
    <row r="24" spans="1:36" ht="14.25">
      <c r="A24" s="3626" t="s">
        <v>1299</v>
      </c>
      <c r="B24" s="1762" t="s">
        <v>1291</v>
      </c>
      <c r="C24" s="136">
        <f>IF(B30=0,0,D30)</f>
        <v>0</v>
      </c>
      <c r="D24" s="1769"/>
      <c r="E24" s="129"/>
      <c r="F24" s="129"/>
      <c r="G24" s="129"/>
      <c r="H24" s="129"/>
      <c r="I24" s="129"/>
    </row>
    <row r="25" spans="1:36" ht="14.25">
      <c r="A25" s="362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f>B40</f>
        <v>10629.2</v>
      </c>
      <c r="C27" s="142">
        <f>C40</f>
        <v>1208</v>
      </c>
      <c r="D27" s="143">
        <f>E40</f>
        <v>1323</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f>D27</f>
        <v>1323</v>
      </c>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14267</v>
      </c>
      <c r="D32" s="1775" t="s">
        <v>3425</v>
      </c>
      <c r="E32" s="129"/>
      <c r="F32" s="129"/>
      <c r="G32" s="129"/>
      <c r="H32" s="129"/>
      <c r="I32" s="129"/>
    </row>
    <row r="33" spans="1:15" ht="15">
      <c r="A33" s="786" t="s">
        <v>1306</v>
      </c>
      <c r="B33" s="1776"/>
      <c r="C33" s="1777" t="s">
        <v>3435</v>
      </c>
      <c r="D33" s="1778" t="s">
        <v>3423</v>
      </c>
      <c r="E33" s="1779" t="s">
        <v>1307</v>
      </c>
      <c r="F33" s="1780" t="str">
        <f>IF(D32="楼面单价","取值（单价）","取值（总价）")</f>
        <v>取值（总价）</v>
      </c>
      <c r="G33" s="129"/>
      <c r="H33" s="129"/>
      <c r="I33" s="129"/>
    </row>
    <row r="34" spans="1:15" ht="15">
      <c r="A34" s="1781"/>
      <c r="B34" s="1782" t="s">
        <v>1308</v>
      </c>
      <c r="C34" s="148">
        <f ca="1">IF(C33="自定义",F34,C32-C35)</f>
        <v>11357</v>
      </c>
      <c r="D34" s="861">
        <f ca="1">IF(C33="自定义",ROUND(C34/C32,3),IF(C33="收益比率",SUMIF(INDIRECT("'"&amp;D33&amp;"'"&amp;"!b:b"),"土地收益比率",INDIRECT("'"&amp;D33&amp;"'"&amp;"!c:c")),SUMIF(INDIRECT("'"&amp;D33&amp;"'"&amp;"!b:b"),"土地成本比率",INDIRECT("'"&amp;D33&amp;"'"&amp;"!c:c"))))</f>
        <v>0.79600000000000004</v>
      </c>
      <c r="E34" s="1783" t="s">
        <v>1309</v>
      </c>
      <c r="F34" s="1330"/>
      <c r="G34" s="129"/>
      <c r="H34" s="129"/>
      <c r="I34" s="129"/>
    </row>
    <row r="35" spans="1:15" ht="15.75" thickBot="1">
      <c r="A35" s="1784"/>
      <c r="B35" s="1785" t="s">
        <v>1310</v>
      </c>
      <c r="C35" s="1170">
        <f ca="1">IF(C33="自定义",F35,ROUND(C32*D35,0))</f>
        <v>2910</v>
      </c>
      <c r="D35" s="1171">
        <f ca="1">IF(C33="自定义",ROUND(C35/C32,3),IF(C33="收益比率",SUMIF(INDIRECT("'"&amp;D33&amp;"'"&amp;"!b:b"),"建筑物收益比率",INDIRECT("'"&amp;D33&amp;"'"&amp;"!c:c")),SUMIF(INDIRECT("'"&amp;D33&amp;"'"&amp;"!b:b"),"建筑物成本比率",INDIRECT("'"&amp;D33&amp;"'"&amp;"!c:c"))))</f>
        <v>0.20399999999999999</v>
      </c>
      <c r="E35" s="1786" t="s">
        <v>1311</v>
      </c>
      <c r="F35" s="154"/>
      <c r="G35" s="129"/>
      <c r="H35" s="129"/>
      <c r="I35" s="129"/>
    </row>
    <row r="36" spans="1:15" ht="15.75" thickBot="1">
      <c r="A36" s="3603" t="s">
        <v>1312</v>
      </c>
      <c r="B36" s="1787" t="s">
        <v>1313</v>
      </c>
      <c r="C36" s="145"/>
      <c r="D36" s="1788"/>
      <c r="E36" s="1789"/>
      <c r="F36" s="1790"/>
      <c r="G36" s="129"/>
      <c r="H36" s="129"/>
      <c r="I36" s="129"/>
    </row>
    <row r="37" spans="1:15" ht="15.75" thickBot="1">
      <c r="A37" s="3604"/>
      <c r="B37" s="1674" t="s">
        <v>1314</v>
      </c>
      <c r="C37" s="147"/>
      <c r="D37" s="1139"/>
      <c r="E37" s="1139"/>
      <c r="F37" s="1790"/>
      <c r="G37" s="129"/>
      <c r="H37" s="129"/>
      <c r="I37" s="129"/>
    </row>
    <row r="38" spans="1:15" ht="15.75" thickBot="1">
      <c r="A38" s="3605"/>
      <c r="B38" s="1791" t="s">
        <v>1315</v>
      </c>
      <c r="C38" s="674">
        <f>D30</f>
        <v>1323</v>
      </c>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f>'数据-基础表'!I13</f>
        <v>10629.2</v>
      </c>
      <c r="C40" s="150">
        <f>基准地价修正!C34</f>
        <v>1208</v>
      </c>
      <c r="D40" s="3450">
        <v>3.0499999999999999E-2</v>
      </c>
      <c r="E40" s="151">
        <f>ROUND(B40*C40*(1+D40)/10000,0)</f>
        <v>1323</v>
      </c>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3" t="s">
        <v>1326</v>
      </c>
      <c r="B45" s="3624"/>
      <c r="C45" s="3625"/>
      <c r="D45" s="155">
        <f ca="1">ROUND(H101*F45,0)</f>
        <v>14267</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6"/>
      <c r="I46" s="159"/>
      <c r="J46" s="2523">
        <v>1</v>
      </c>
      <c r="K46" s="3544" t="s">
        <v>1331</v>
      </c>
      <c r="L46" s="3544"/>
      <c r="M46" s="3545"/>
      <c r="N46" s="3545"/>
      <c r="O46" s="3545"/>
    </row>
    <row r="47" spans="1:15" ht="12" customHeight="1">
      <c r="A47" s="160" t="s">
        <v>1332</v>
      </c>
      <c r="B47" s="161"/>
      <c r="C47" s="162"/>
      <c r="D47" s="1087" t="s">
        <v>1333</v>
      </c>
      <c r="E47" s="302" t="s">
        <v>1334</v>
      </c>
      <c r="F47" s="163" t="s">
        <v>1335</v>
      </c>
      <c r="G47" s="2546" t="s">
        <v>1336</v>
      </c>
      <c r="H47" s="2547"/>
      <c r="I47" s="159"/>
      <c r="J47" s="2523">
        <v>2</v>
      </c>
      <c r="K47" s="3544" t="s">
        <v>1337</v>
      </c>
      <c r="L47" s="3544"/>
      <c r="M47" s="3546">
        <f>'数据-取费表'!B2</f>
        <v>45252</v>
      </c>
      <c r="N47" s="3546"/>
      <c r="O47" s="3546"/>
    </row>
    <row r="48" spans="1:15" ht="25.5">
      <c r="A48" s="3606" t="s">
        <v>1338</v>
      </c>
      <c r="B48" s="3607"/>
      <c r="C48" s="360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4" t="s">
        <v>1340</v>
      </c>
      <c r="L48" s="3544"/>
      <c r="M48" s="3547">
        <f ca="1">H101</f>
        <v>14267</v>
      </c>
      <c r="N48" s="3547"/>
      <c r="O48" s="3547"/>
    </row>
    <row r="49" spans="1:35" ht="25.5" customHeight="1">
      <c r="A49" s="2333" t="s">
        <v>1341</v>
      </c>
      <c r="B49" s="3592" t="s">
        <v>1342</v>
      </c>
      <c r="C49" s="3592"/>
      <c r="D49" s="1590">
        <v>0</v>
      </c>
      <c r="E49" s="324" t="s">
        <v>1343</v>
      </c>
      <c r="F49" s="2424" t="s">
        <v>28</v>
      </c>
      <c r="G49" s="3575"/>
      <c r="H49" s="2310" t="s">
        <v>2134</v>
      </c>
      <c r="I49" s="2311"/>
      <c r="J49" s="2523">
        <v>4</v>
      </c>
      <c r="K49" s="3544" t="str">
        <f>IF(项目基本情况!E8="房地产抵押价值","房地产抵押价值","抵押担保权已注销时的房地产抵押价值")</f>
        <v>房地产抵押价值</v>
      </c>
      <c r="L49" s="3544"/>
      <c r="M49" s="3547">
        <f ca="1">IF(项目基本情况!E8="房地产抵押价值",H107,H109)</f>
        <v>12944</v>
      </c>
      <c r="N49" s="3547"/>
      <c r="O49" s="3547"/>
    </row>
    <row r="50" spans="1:35" ht="25.5" customHeight="1">
      <c r="A50" s="2551"/>
      <c r="B50" s="3592" t="s">
        <v>1344</v>
      </c>
      <c r="C50" s="3592"/>
      <c r="D50" s="2552"/>
      <c r="E50" s="332"/>
      <c r="F50" s="2424"/>
      <c r="G50" s="3576"/>
      <c r="H50" s="2312" t="s">
        <v>2135</v>
      </c>
      <c r="I50" s="2311"/>
      <c r="J50" s="3543" t="s">
        <v>1345</v>
      </c>
      <c r="K50" s="3543"/>
      <c r="L50" s="3543"/>
      <c r="M50" s="3543"/>
      <c r="N50" s="3543"/>
      <c r="O50" s="3543"/>
    </row>
    <row r="51" spans="1:35" ht="20.45" customHeight="1">
      <c r="A51" s="2553"/>
      <c r="B51" s="3592" t="s">
        <v>1346</v>
      </c>
      <c r="C51" s="3592"/>
      <c r="D51" s="1087"/>
      <c r="E51" s="327"/>
      <c r="F51" s="2424"/>
      <c r="G51" s="3577"/>
      <c r="H51" s="2312" t="s">
        <v>2136</v>
      </c>
      <c r="I51" s="2311"/>
      <c r="J51" s="2524" t="s">
        <v>1347</v>
      </c>
      <c r="K51" s="3544" t="s">
        <v>1348</v>
      </c>
      <c r="L51" s="3544"/>
      <c r="M51" s="2524" t="s">
        <v>1349</v>
      </c>
      <c r="N51" s="2524" t="s">
        <v>1350</v>
      </c>
      <c r="O51" s="2524" t="s">
        <v>1351</v>
      </c>
    </row>
    <row r="52" spans="1:35" ht="24" customHeight="1">
      <c r="A52" s="2335" t="s">
        <v>1352</v>
      </c>
      <c r="B52" s="3592" t="s">
        <v>1353</v>
      </c>
      <c r="C52" s="3592"/>
      <c r="D52" s="1087">
        <f ca="1">ROUND(D45*'数据-取费表'!B41/(1+'数据-取费表'!C42),0)</f>
        <v>761</v>
      </c>
      <c r="E52" s="2334" t="s">
        <v>1354</v>
      </c>
      <c r="F52" s="2554">
        <f>'数据-取费表'!B41</f>
        <v>5.6000000000000001E-2</v>
      </c>
      <c r="G52" s="2555"/>
      <c r="H52" s="2544"/>
      <c r="I52" s="1807"/>
      <c r="J52" s="2523">
        <v>1</v>
      </c>
      <c r="K52" s="3569" t="s">
        <v>1355</v>
      </c>
      <c r="L52" s="3569"/>
      <c r="M52" s="2525" t="b">
        <f>D48</f>
        <v>0</v>
      </c>
      <c r="N52" s="2523" t="str">
        <f>E48</f>
        <v>销售额×税（费）率</v>
      </c>
      <c r="O52" s="2526">
        <f>F48</f>
        <v>5.6000000000000001E-2</v>
      </c>
    </row>
    <row r="53" spans="1:35" ht="12" customHeight="1">
      <c r="A53" s="2335" t="s">
        <v>1356</v>
      </c>
      <c r="B53" s="3593" t="s">
        <v>2291</v>
      </c>
      <c r="C53" s="3594"/>
      <c r="D53" s="1087">
        <f ca="1">ROUND(D45*'数据-取费表'!B41/(1+'数据-取费表'!C42),0)</f>
        <v>761</v>
      </c>
      <c r="E53" s="2334" t="s">
        <v>1354</v>
      </c>
      <c r="F53" s="2554">
        <f>'数据-取费表'!B41</f>
        <v>5.6000000000000001E-2</v>
      </c>
      <c r="G53" s="2555"/>
      <c r="H53" s="2544"/>
      <c r="I53" s="1807"/>
      <c r="J53" s="2523">
        <v>2</v>
      </c>
      <c r="K53" s="3569" t="s">
        <v>1357</v>
      </c>
      <c r="L53" s="3569"/>
      <c r="M53" s="2525">
        <f t="shared" ref="M53:O54" ca="1" si="0">D55</f>
        <v>7</v>
      </c>
      <c r="N53" s="2523" t="str">
        <f t="shared" si="0"/>
        <v>销售额×税（费）率</v>
      </c>
      <c r="O53" s="2526" t="str">
        <f t="shared" si="0"/>
        <v>免征</v>
      </c>
    </row>
    <row r="54" spans="1:35" ht="12" customHeight="1">
      <c r="A54" s="2335" t="s">
        <v>1358</v>
      </c>
      <c r="B54" s="3593" t="s">
        <v>2292</v>
      </c>
      <c r="C54" s="3594"/>
      <c r="D54" s="1087">
        <f ca="1">C68</f>
        <v>761</v>
      </c>
      <c r="E54" s="327" t="s">
        <v>1359</v>
      </c>
      <c r="F54" s="2554">
        <f>'数据-取费表'!B41</f>
        <v>5.6000000000000001E-2</v>
      </c>
      <c r="G54" s="2555"/>
      <c r="H54" s="2556"/>
      <c r="I54" s="1807"/>
      <c r="J54" s="2523">
        <v>3</v>
      </c>
      <c r="K54" s="3569" t="s">
        <v>1360</v>
      </c>
      <c r="L54" s="3569"/>
      <c r="M54" s="2525">
        <f t="shared" ca="1" si="0"/>
        <v>8075</v>
      </c>
      <c r="N54" s="2523" t="str">
        <f t="shared" si="0"/>
        <v>增值额×税（费）率</v>
      </c>
      <c r="O54" s="2527" t="str">
        <f t="shared" si="0"/>
        <v>免征</v>
      </c>
    </row>
    <row r="55" spans="1:35" ht="24" customHeight="1">
      <c r="A55" s="3629" t="s">
        <v>1361</v>
      </c>
      <c r="B55" s="3607"/>
      <c r="C55" s="3607"/>
      <c r="D55" s="2324">
        <f ca="1">IF(H55="个人住宅",0,ROUND(D45*I55,0))</f>
        <v>7</v>
      </c>
      <c r="E55" s="2334" t="s">
        <v>1362</v>
      </c>
      <c r="F55" s="2554" t="str">
        <f>IF(H55="正常",I55,"免征")</f>
        <v>免征</v>
      </c>
      <c r="G55" s="2555"/>
      <c r="H55" s="2550"/>
      <c r="I55" s="165">
        <f>'数据-取费表'!B49</f>
        <v>5.0000000000000001E-4</v>
      </c>
      <c r="J55" s="2523">
        <f>IF(H59="非个人房产","",4)</f>
        <v>4</v>
      </c>
      <c r="K55" s="3569" t="str">
        <f>IF(H59="非个人房产","——","个人所得税")</f>
        <v>个人所得税</v>
      </c>
      <c r="L55" s="3569"/>
      <c r="M55" s="2528">
        <f ca="1">D59</f>
        <v>136</v>
      </c>
      <c r="N55" s="2040" t="str">
        <f>E59</f>
        <v>差额计税</v>
      </c>
      <c r="O55" s="2529">
        <f>F59</f>
        <v>0.01</v>
      </c>
    </row>
    <row r="56" spans="1:35" ht="24.75">
      <c r="A56" s="3629" t="s">
        <v>1363</v>
      </c>
      <c r="B56" s="3607"/>
      <c r="C56" s="3607"/>
      <c r="D56" s="2324">
        <f ca="1">IF(H56="个人住宅",D57,D58)</f>
        <v>8075</v>
      </c>
      <c r="E56" s="2334" t="s">
        <v>1364</v>
      </c>
      <c r="F56" s="2554" t="str">
        <f>IF(H56="正常",F58,"免征")</f>
        <v>免征</v>
      </c>
      <c r="G56" s="2557" t="s">
        <v>1365</v>
      </c>
      <c r="H56" s="2558"/>
      <c r="I56" s="1808"/>
      <c r="J56" s="2523" t="str">
        <f>IF(项目基本情况!K6="上海银行",IF(J55="",4,J55+1),"")</f>
        <v/>
      </c>
      <c r="K56" s="3550" t="str">
        <f>IF(项目基本情况!K6="上海银行","其他处置费用","")</f>
        <v/>
      </c>
      <c r="L56" s="3551"/>
      <c r="M56" s="2525" t="str">
        <f>IF(项目基本情况!K6="上海银行",M69,"")</f>
        <v/>
      </c>
      <c r="N56" s="3550" t="str">
        <f>IF(项目基本情况!K6="上海银行","包含处置中涉及的律师、诉讼、拍卖、评估等费用","")</f>
        <v/>
      </c>
      <c r="O56" s="3553"/>
    </row>
    <row r="57" spans="1:35" ht="12.75">
      <c r="A57" s="2335" t="s">
        <v>1341</v>
      </c>
      <c r="B57" s="3593" t="s">
        <v>1366</v>
      </c>
      <c r="C57" s="3594"/>
      <c r="D57" s="1590">
        <v>0</v>
      </c>
      <c r="E57" s="324" t="s">
        <v>1343</v>
      </c>
      <c r="F57" s="302"/>
      <c r="G57" s="2555"/>
      <c r="H57" s="2559"/>
      <c r="I57" s="1808"/>
      <c r="J57" s="3569">
        <f>IF(AND(J55="",J56=""),4,IF(项目基本情况!K6="上海银行",结果表!J56+1,结果表!J55+1))</f>
        <v>5</v>
      </c>
      <c r="K57" s="3569" t="s">
        <v>1367</v>
      </c>
      <c r="L57" s="2530" t="s">
        <v>1368</v>
      </c>
      <c r="M57" s="2531"/>
      <c r="N57" s="2532">
        <f ca="1">SUMIF(M52:M56,"&lt;9e307")</f>
        <v>8218</v>
      </c>
      <c r="O57" s="2533"/>
      <c r="P57" s="2690">
        <f ca="1">N57/M49</f>
        <v>0.63488875154511748</v>
      </c>
    </row>
    <row r="58" spans="1:35" ht="24.75">
      <c r="A58" s="2335" t="s">
        <v>1352</v>
      </c>
      <c r="B58" s="3593" t="s">
        <v>1369</v>
      </c>
      <c r="C58" s="3592"/>
      <c r="D58" s="2324">
        <f ca="1">IF(H58="转让取得",C81,C97)</f>
        <v>8075</v>
      </c>
      <c r="E58" s="2334" t="s">
        <v>1364</v>
      </c>
      <c r="F58" s="302" t="s">
        <v>28</v>
      </c>
      <c r="G58" s="2555"/>
      <c r="H58" s="2558"/>
      <c r="I58" s="1808"/>
      <c r="J58" s="3569"/>
      <c r="K58" s="3569"/>
      <c r="L58" s="2530" t="s">
        <v>1370</v>
      </c>
      <c r="M58" s="2534"/>
      <c r="N58" s="2535" t="str">
        <f ca="1">NUMBERSTRING(INT(N57*10000),2)&amp;"元整"</f>
        <v>捌仟贰佰壹拾捌万元整</v>
      </c>
      <c r="O58" s="2536"/>
    </row>
    <row r="59" spans="1:35" ht="24.75" thickBot="1">
      <c r="A59" s="3573" t="s">
        <v>1371</v>
      </c>
      <c r="B59" s="3574"/>
      <c r="C59" s="3574"/>
      <c r="D59" s="2560">
        <f ca="1">IF(H59="非个人房产","——",IF(H59="个人住宅（满五唯一有凭证）",0,IF(H59="个人其他（无凭证）",ROUND(D45*F59,0),ROUND(C67*F59,0))))</f>
        <v>136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1">
        <f>J57+1</f>
        <v>6</v>
      </c>
      <c r="K59" s="3569" t="s">
        <v>1372</v>
      </c>
      <c r="L59" s="2523" t="s">
        <v>1368</v>
      </c>
      <c r="M59" s="2537"/>
      <c r="N59" s="2538">
        <f ca="1">M49-N57</f>
        <v>4726</v>
      </c>
      <c r="O59" s="2539"/>
    </row>
    <row r="60" spans="1:35" ht="12" customHeight="1">
      <c r="A60" s="1809"/>
      <c r="B60" s="1747"/>
      <c r="C60" s="1747"/>
      <c r="D60" s="1747"/>
      <c r="E60" s="1578"/>
      <c r="F60" s="1808"/>
      <c r="G60" s="1808"/>
      <c r="H60" s="1810"/>
      <c r="I60" s="129"/>
      <c r="J60" s="3572"/>
      <c r="K60" s="3569"/>
      <c r="L60" s="2530" t="s">
        <v>1370</v>
      </c>
      <c r="M60" s="2534"/>
      <c r="N60" s="2535" t="str">
        <f ca="1">NUMBERSTRING(INT(N59*10000),2)&amp;"元整"</f>
        <v>肆仟柒佰贰拾陆万元整</v>
      </c>
      <c r="O60" s="2536"/>
    </row>
    <row r="61" spans="1:35" ht="13.5" thickBot="1">
      <c r="A61" s="3628" t="s">
        <v>1373</v>
      </c>
      <c r="B61" s="3628"/>
      <c r="C61" s="3628"/>
      <c r="D61" s="3628"/>
      <c r="E61" s="3628"/>
      <c r="F61" s="1808"/>
      <c r="G61" s="1808"/>
      <c r="H61" s="1810"/>
      <c r="I61" s="129"/>
      <c r="J61" s="2523">
        <f>J59+1</f>
        <v>7</v>
      </c>
      <c r="K61" s="3569" t="s">
        <v>1374</v>
      </c>
      <c r="L61" s="3569"/>
      <c r="M61" s="2540"/>
      <c r="N61" s="2541">
        <f ca="1">ROUND(N59*10000/'数据-汇总表'!E3,0)</f>
        <v>4446</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13588</v>
      </c>
      <c r="D63" s="167"/>
      <c r="E63" s="168"/>
      <c r="F63" s="1808"/>
      <c r="G63" s="1808"/>
      <c r="H63" s="1810"/>
      <c r="I63" s="129"/>
      <c r="J63" s="3552" t="s">
        <v>1379</v>
      </c>
      <c r="K63" s="1332" t="s">
        <v>1380</v>
      </c>
      <c r="L63" s="1332">
        <f ca="1">IF(M49&gt;10000,M49*0.5%,IF(AND(M49&gt;1000,M49&lt;=10000),M49*1%,IF(AND(M49&gt;100,M49&lt;=1000),M49*3%,IF(AND(M49&gt;10,M49&lt;=100),M49*5%,M49*8%))))</f>
        <v>64.72</v>
      </c>
      <c r="M63" s="302">
        <f ca="1">ROUND(L63,1)</f>
        <v>64.7</v>
      </c>
      <c r="N63" s="2543"/>
      <c r="Z63" s="1752"/>
      <c r="AI63" s="1753"/>
    </row>
    <row r="64" spans="1:35" ht="14.25" customHeight="1">
      <c r="A64" s="169" t="s">
        <v>325</v>
      </c>
      <c r="B64" s="170" t="s">
        <v>1381</v>
      </c>
      <c r="C64" s="2565">
        <f ca="1">D45</f>
        <v>14267</v>
      </c>
      <c r="D64" s="170" t="s">
        <v>26</v>
      </c>
      <c r="E64" s="172"/>
      <c r="F64" s="1808"/>
      <c r="G64" s="1808"/>
      <c r="H64" s="1810"/>
      <c r="I64" s="129"/>
      <c r="J64" s="3552"/>
      <c r="K64" s="1332" t="s">
        <v>1382</v>
      </c>
      <c r="L64" s="1332">
        <f ca="1">IF(M49&gt;2000,M49*0.5%,IF(AND(M49&gt;1000,M49&lt;=2000),M49*0.6%,IF(AND(M49&gt;500,M49&lt;=1000),M49*0.7%,IF(AND(M49&gt;200,M49&lt;=500),M49*0.8%,IF(AND(M49&gt;100,M49&lt;=200),M49*0.9%,IF(AND(M49&gt;50,M49&lt;=100),M49*1%,IF(AND(M49&gt;20,M49&lt;=50),M49*1.5%,IF(AND(M49&gt;10,M49&lt;=20),M49*2%,IF(AND(M49&gt;1,M49&lt;=10),M49*2.5%)))))))))</f>
        <v>64.72</v>
      </c>
      <c r="M64" s="302">
        <f t="shared" ref="M64:M65" ca="1" si="1">ROUND(L64,1)</f>
        <v>64.7</v>
      </c>
      <c r="N64" s="2544" t="s">
        <v>1383</v>
      </c>
      <c r="Z64" s="1752"/>
      <c r="AI64" s="1753"/>
    </row>
    <row r="65" spans="1:35" ht="14.25" customHeight="1">
      <c r="A65" s="169" t="s">
        <v>326</v>
      </c>
      <c r="B65" s="170" t="s">
        <v>1384</v>
      </c>
      <c r="C65" s="2566"/>
      <c r="D65" s="170"/>
      <c r="E65" s="172"/>
      <c r="F65" s="1808"/>
      <c r="G65" s="1808"/>
      <c r="H65" s="1810"/>
      <c r="I65" s="129"/>
      <c r="J65" s="3552"/>
      <c r="K65" s="1332" t="s">
        <v>1385</v>
      </c>
      <c r="L65" s="1332">
        <f ca="1">IF(M49&gt;1000,M49*0.1%,IF(AND(M49&gt;500,M49&lt;=1000),M49*0.5%,IF(AND(M49&gt;50,M49&lt;=500),M49*1%,IF(AND(M49&gt;1,M49&lt;=50),M49*1.5%))))</f>
        <v>12.944000000000001</v>
      </c>
      <c r="M65" s="302">
        <f t="shared" ca="1" si="1"/>
        <v>12.9</v>
      </c>
      <c r="N65" s="2544" t="s">
        <v>1383</v>
      </c>
      <c r="Z65" s="1752"/>
      <c r="AI65" s="1753"/>
    </row>
    <row r="66" spans="1:35" ht="14.25" customHeight="1">
      <c r="A66" s="173" t="s">
        <v>327</v>
      </c>
      <c r="B66" s="174" t="s">
        <v>1386</v>
      </c>
      <c r="C66" s="2567"/>
      <c r="D66" s="174" t="s">
        <v>26</v>
      </c>
      <c r="E66" s="1338" t="s">
        <v>671</v>
      </c>
      <c r="F66" s="1808"/>
      <c r="G66" s="1808"/>
      <c r="H66" s="1810"/>
      <c r="I66" s="129"/>
      <c r="J66" s="3552"/>
      <c r="K66" s="1332" t="s">
        <v>1387</v>
      </c>
      <c r="L66" s="1332">
        <f ca="1">M49*0.5%</f>
        <v>64.72</v>
      </c>
      <c r="M66" s="302">
        <f ca="1">IF(L66&gt;0.5,0.5,ROUND(L66,0))</f>
        <v>0.5</v>
      </c>
      <c r="N66" s="2544" t="s">
        <v>1388</v>
      </c>
      <c r="Z66" s="1752"/>
      <c r="AI66" s="1753"/>
    </row>
    <row r="67" spans="1:35" ht="14.25" customHeight="1">
      <c r="A67" s="173" t="s">
        <v>328</v>
      </c>
      <c r="B67" s="174" t="s">
        <v>1389</v>
      </c>
      <c r="C67" s="2568">
        <f ca="1">C63-C66</f>
        <v>13588</v>
      </c>
      <c r="D67" s="170" t="s">
        <v>26</v>
      </c>
      <c r="E67" s="172"/>
      <c r="F67" s="1808"/>
      <c r="G67" s="1808"/>
      <c r="H67" s="1810"/>
      <c r="I67" s="129"/>
      <c r="J67" s="3552"/>
      <c r="K67" s="1332" t="s">
        <v>1390</v>
      </c>
      <c r="L67" s="1332">
        <f ca="1">IF(M49&gt;=10000,(8.25+(M49-10000)*0.01%),IF(AND(M49&gt;=8000,M49&lt;10000),(7.85+(M49-8000)*0.02%),IF(AND(M49&gt;=5000,M49&lt;8000),(6.65+(M49-5000)*0.04%),IF(AND(M49&gt;=2000,M49&lt;5000),(4.25+(PM49-2000)*0.08%),IF(AND(M49&gt;=1000,M49&lt;2000),(2.75+(M49-1000)*0.15%),IF(AND(M49&gt;=100,M49&lt;1000),(0.5+(M49-100)*0.25%),IF(AND(M49&gt;0,M49&lt;100),M49*0.5%)))))))</f>
        <v>8.5443999999999996</v>
      </c>
      <c r="M67" s="302">
        <f ca="1">ROUND(L67*0.9,1)</f>
        <v>7.7</v>
      </c>
      <c r="N67" s="2543"/>
      <c r="Z67" s="1752"/>
      <c r="AI67" s="1753"/>
    </row>
    <row r="68" spans="1:35" ht="14.25" customHeight="1" thickBot="1">
      <c r="A68" s="176" t="s">
        <v>329</v>
      </c>
      <c r="B68" s="177" t="s">
        <v>1391</v>
      </c>
      <c r="C68" s="2569">
        <f ca="1">IF(C67&lt;=0,0,ROUND(C67*D68,0))</f>
        <v>761</v>
      </c>
      <c r="D68" s="2570">
        <f>'数据-取费表'!B41</f>
        <v>5.6000000000000001E-2</v>
      </c>
      <c r="E68" s="178"/>
      <c r="F68" s="1808"/>
      <c r="G68" s="1808"/>
      <c r="H68" s="1810"/>
      <c r="I68" s="129"/>
      <c r="J68" s="3552"/>
      <c r="K68" s="1332" t="s">
        <v>1392</v>
      </c>
      <c r="L68" s="1332">
        <f ca="1">IF(M49&gt;10000,M49*0.5%,IF(AND(M49&gt;5000,M49&lt;=10000),M49*1%,IF(AND(M49&gt;1000,M49&lt;=5000),M49*2%,IF(AND(M49&gt;200,M49&lt;=1000),M49*3%,M49*5%))))</f>
        <v>64.72</v>
      </c>
      <c r="M68" s="302">
        <f ca="1">ROUND(L68,1)</f>
        <v>64.7</v>
      </c>
      <c r="N68" s="2543"/>
      <c r="Z68" s="1752"/>
      <c r="AI68" s="1753"/>
    </row>
    <row r="69" spans="1:35" s="1772" customFormat="1" ht="16.5" customHeight="1">
      <c r="A69" s="1811"/>
      <c r="B69" s="1812"/>
      <c r="C69" s="1813"/>
      <c r="D69" s="1814"/>
      <c r="E69" s="1815"/>
      <c r="F69" s="1578"/>
      <c r="G69" s="1578"/>
      <c r="H69" s="1577"/>
      <c r="I69" s="1747"/>
      <c r="J69" s="3552"/>
      <c r="K69" s="1332" t="s">
        <v>1393</v>
      </c>
      <c r="L69" s="1332"/>
      <c r="M69" s="302">
        <f ca="1">ROUND(SUM(M63:M68),0)</f>
        <v>215</v>
      </c>
      <c r="N69" s="2545">
        <f ca="1">M69/M49</f>
        <v>1.6610012360939432E-2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13588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82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92"/>
      <c r="G76" s="3592"/>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82</v>
      </c>
      <c r="D78" s="2577">
        <f>'数据-取费表'!B43</f>
        <v>6.000000000000001E-3</v>
      </c>
      <c r="E78" s="3585" t="s">
        <v>1406</v>
      </c>
      <c r="F78" s="3586"/>
      <c r="G78" s="3586"/>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13506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164.70731707317074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8075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13588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82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4" t="s">
        <v>2129</v>
      </c>
      <c r="H90" s="35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5" t="s">
        <v>1419</v>
      </c>
      <c r="F91" s="3586"/>
      <c r="G91" s="35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5" t="s">
        <v>1422</v>
      </c>
      <c r="F92" s="3586"/>
      <c r="G92" s="3586"/>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82</v>
      </c>
      <c r="D93" s="2577">
        <f>'数据-取费表'!B43</f>
        <v>6.000000000000001E-3</v>
      </c>
      <c r="E93" s="3585" t="s">
        <v>1406</v>
      </c>
      <c r="F93" s="3586"/>
      <c r="G93" s="3586"/>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0" t="s">
        <v>1426</v>
      </c>
      <c r="F94" s="3631"/>
      <c r="G94" s="3631"/>
      <c r="H94" s="363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13506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164.70731707317074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8075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5" t="str">
        <f>C4</f>
        <v>成本法</v>
      </c>
      <c r="D101" s="2586" t="str">
        <f>D4</f>
        <v>收益法</v>
      </c>
      <c r="E101" s="3548" t="s">
        <v>1431</v>
      </c>
      <c r="F101" s="3549"/>
      <c r="G101" s="1827" t="s">
        <v>1432</v>
      </c>
      <c r="H101" s="2595">
        <f ca="1">H118</f>
        <v>14267</v>
      </c>
      <c r="I101" s="129"/>
    </row>
    <row r="102" spans="1:35" ht="18.75" customHeight="1">
      <c r="A102" s="3580" t="s">
        <v>1433</v>
      </c>
      <c r="B102" s="2584" t="s">
        <v>1432</v>
      </c>
      <c r="C102" s="2585">
        <f ca="1">IF(D32="楼面单价",ROUND(C19,0),C19)</f>
        <v>14431</v>
      </c>
      <c r="D102" s="2586">
        <f ca="1">IF(D32="楼面单价",ROUND(D19,0),D19)</f>
        <v>14102</v>
      </c>
      <c r="E102" s="3548"/>
      <c r="F102" s="3549"/>
      <c r="G102" s="1827" t="s">
        <v>1434</v>
      </c>
      <c r="H102" s="2555">
        <f ca="1">I118</f>
        <v>13422</v>
      </c>
      <c r="I102" s="129"/>
    </row>
    <row r="103" spans="1:35" ht="42.75" customHeight="1">
      <c r="A103" s="3580"/>
      <c r="B103" s="2584" t="s">
        <v>1434</v>
      </c>
      <c r="C103" s="2587">
        <f ca="1">C20</f>
        <v>13577</v>
      </c>
      <c r="D103" s="2588">
        <f ca="1">D20</f>
        <v>13267</v>
      </c>
      <c r="E103" s="3541" t="s">
        <v>1435</v>
      </c>
      <c r="F103" s="3542"/>
      <c r="G103" s="1828" t="s">
        <v>1436</v>
      </c>
      <c r="H103" s="2595">
        <f>IF(D36="正常操作",H104+H105+H106,H105+H106)</f>
        <v>1323</v>
      </c>
      <c r="I103" s="129"/>
    </row>
    <row r="104" spans="1:35" ht="18.75" customHeight="1">
      <c r="A104" s="3580" t="s">
        <v>1437</v>
      </c>
      <c r="B104" s="2589" t="s">
        <v>1432</v>
      </c>
      <c r="C104" s="2590">
        <f ca="1">H118</f>
        <v>14267</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13422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1323</v>
      </c>
      <c r="I106" s="129"/>
    </row>
    <row r="107" spans="1:35" ht="18.75" customHeight="1">
      <c r="A107" s="129"/>
      <c r="B107" s="129"/>
      <c r="C107" s="129"/>
      <c r="D107" s="129"/>
      <c r="E107" s="3581" t="str">
        <f>IF(项目基本情况!E8="已注销","——","3.房地产抵押价值")</f>
        <v>3.房地产抵押价值</v>
      </c>
      <c r="F107" s="3549"/>
      <c r="G107" s="1827" t="s">
        <v>1432</v>
      </c>
      <c r="H107" s="2595">
        <f ca="1">IF(E107="——","——",H101-H103)</f>
        <v>12944</v>
      </c>
      <c r="I107" s="129"/>
    </row>
    <row r="108" spans="1:35" ht="18.75" customHeight="1">
      <c r="A108" s="129"/>
      <c r="B108" s="129"/>
      <c r="C108" s="129"/>
      <c r="D108" s="129"/>
      <c r="E108" s="3581"/>
      <c r="F108" s="3549"/>
      <c r="G108" s="1827" t="s">
        <v>1434</v>
      </c>
      <c r="H108" s="2555">
        <f ca="1">IF(H107=H101,H102,ROUND(H107*10000/'数据-汇总表'!E3,0))</f>
        <v>12178</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7" t="s">
        <v>1432</v>
      </c>
      <c r="H109" s="2598" t="str">
        <f>IF(E109="——","——",H101-H105-H106)</f>
        <v>——</v>
      </c>
      <c r="I109" s="129"/>
    </row>
    <row r="110" spans="1:35" ht="18.75" customHeight="1">
      <c r="A110" s="129"/>
      <c r="B110" s="129"/>
      <c r="C110" s="129"/>
      <c r="D110" s="129"/>
      <c r="E110" s="3581"/>
      <c r="F110" s="3549"/>
      <c r="G110" s="1827" t="s">
        <v>1434</v>
      </c>
      <c r="H110" s="2555"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4.抵押净值</v>
      </c>
      <c r="F111" s="3568"/>
      <c r="G111" s="1827" t="s">
        <v>1432</v>
      </c>
      <c r="H111" s="2595">
        <f ca="1">IF(E111="——","——",N59)</f>
        <v>4726</v>
      </c>
      <c r="I111" s="129"/>
    </row>
    <row r="112" spans="1:35" ht="18.75" customHeight="1" thickBot="1">
      <c r="A112" s="129"/>
      <c r="B112" s="129"/>
      <c r="C112" s="129"/>
      <c r="D112" s="129"/>
      <c r="E112" s="3583"/>
      <c r="F112" s="3584"/>
      <c r="G112" s="1830" t="s">
        <v>1434</v>
      </c>
      <c r="H112" s="2599">
        <f ca="1">IF(E111="——","——",N61)</f>
        <v>4446</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10629.2</v>
      </c>
      <c r="C118" s="2329">
        <f>M19</f>
        <v>9500</v>
      </c>
      <c r="D118" s="2329">
        <f ca="1">ROUND(IF(D32="总价",C34,E118*B118/10000),0)</f>
        <v>11357</v>
      </c>
      <c r="E118" s="2329">
        <f ca="1">ROUND(IF(C33="自定义",IF(D32="楼面单价",C34,D118*10000/B118),I118-G118),0)</f>
        <v>10684</v>
      </c>
      <c r="F118" s="2329">
        <f ca="1">ROUND(IF(D32="总价",C35,G118*B118/10000),0)</f>
        <v>2910</v>
      </c>
      <c r="G118" s="2329">
        <f ca="1">ROUND(IF(D32="楼面单价",C35,F118*10000/B118),0)</f>
        <v>2738</v>
      </c>
      <c r="H118" s="2329">
        <f ca="1">ROUND(IF(D32="总价",C32,I118*B118/10000),0)</f>
        <v>14267</v>
      </c>
      <c r="I118" s="2329">
        <f ca="1">ROUND(IF(D32="楼面单价",C32,H118*10000/B118),0)</f>
        <v>13422</v>
      </c>
    </row>
    <row r="119" spans="1:27" ht="18.75" customHeight="1">
      <c r="A119" s="3556" t="s">
        <v>1452</v>
      </c>
      <c r="B119" s="3556"/>
      <c r="C119" s="3556"/>
      <c r="D119" s="3562" t="str">
        <f ca="1">NUMBERSTRING(INT(D118*10000),2)&amp;"元整"</f>
        <v>壹亿壹仟叁佰伍拾柒万元整</v>
      </c>
      <c r="E119" s="3563"/>
      <c r="F119" s="3562" t="str">
        <f ca="1">NUMBERSTRING(INT(F118*10000),2)&amp;"元整"</f>
        <v>贰仟玖佰壹拾万元整</v>
      </c>
      <c r="G119" s="3563"/>
      <c r="H119" s="3562" t="str">
        <f ca="1">NUMBERSTRING(INT(H118*10000),2)&amp;"元整"</f>
        <v>壹亿肆仟贰佰陆拾柒万元整</v>
      </c>
      <c r="I119" s="3563"/>
    </row>
    <row r="120" spans="1:27" ht="18.75" customHeight="1">
      <c r="A120" s="3557" t="str">
        <f>IF(项目基本情况!B9="房地产市场价值","",MID(E103,3,LEN(E103)-2))</f>
        <v>估价师知悉的法定优先受偿款</v>
      </c>
      <c r="B120" s="3558"/>
      <c r="C120" s="3559"/>
      <c r="D120" s="3557">
        <f>H103</f>
        <v>1323</v>
      </c>
      <c r="E120" s="3558"/>
      <c r="F120" s="3558"/>
      <c r="G120" s="3558"/>
      <c r="H120" s="3558"/>
      <c r="I120" s="3559"/>
      <c r="J120" s="1752"/>
      <c r="K120" s="1752" t="str">
        <f>IF(D120=0,"故，本次评估不存在"&amp;A120,"故，本次评估"&amp;A120&amp;"为人民币"&amp;D120&amp;"万元整。")</f>
        <v>故，本次评估估价师知悉的法定优先受偿款为人民币1323万元整。</v>
      </c>
      <c r="L120" s="1752"/>
      <c r="M120" s="1752"/>
      <c r="N120" s="1752"/>
      <c r="O120" s="1752"/>
      <c r="P120" s="1752"/>
      <c r="Q120" s="1752"/>
      <c r="R120" s="1752"/>
      <c r="S120" s="1752"/>
    </row>
    <row r="121" spans="1:27" ht="18.75" customHeight="1">
      <c r="A121" s="3562" t="s">
        <v>1452</v>
      </c>
      <c r="B121" s="3564"/>
      <c r="C121" s="3563"/>
      <c r="D121" s="3562" t="str">
        <f>IF(D120=0,"零元整",NUMBERSTRING(INT(D120*10000),2)&amp;"元整")</f>
        <v>壹仟叁佰贰拾叁万元整</v>
      </c>
      <c r="E121" s="3564"/>
      <c r="F121" s="3564"/>
      <c r="G121" s="3564"/>
      <c r="H121" s="3564"/>
      <c r="I121" s="3563"/>
      <c r="AA121" s="725"/>
    </row>
    <row r="122" spans="1:27" ht="18.75" customHeight="1">
      <c r="A122" s="3568" t="str">
        <f>IF(项目基本情况!B9="房地产市场价值","",MID(E107,3,LEN(E107)-2))</f>
        <v>房地产抵押价值</v>
      </c>
      <c r="B122" s="3568"/>
      <c r="C122" s="3568"/>
      <c r="D122" s="3557">
        <f ca="1">H107</f>
        <v>12944</v>
      </c>
      <c r="E122" s="3558"/>
      <c r="F122" s="3558"/>
      <c r="G122" s="3558"/>
      <c r="H122" s="3558"/>
      <c r="I122" s="3559"/>
      <c r="AA122" s="725"/>
    </row>
    <row r="123" spans="1:27" ht="18.75" customHeight="1">
      <c r="A123" s="3556" t="s">
        <v>1452</v>
      </c>
      <c r="B123" s="3556"/>
      <c r="C123" s="3556"/>
      <c r="D123" s="3562" t="str">
        <f ca="1">NUMBERSTRING(INT(D122*10000),2)&amp;"元整"</f>
        <v>壹亿贰仟玖佰肆拾肆万元整</v>
      </c>
      <c r="E123" s="3564"/>
      <c r="F123" s="3564"/>
      <c r="G123" s="3564"/>
      <c r="H123" s="3564"/>
      <c r="I123" s="3563"/>
      <c r="AA123" s="725"/>
    </row>
    <row r="124" spans="1:27" ht="18.75" customHeight="1">
      <c r="A124" s="3568" t="str">
        <f>IF(项目基本情况!B9="房地产市场价值","",MID(E109,3,LEN(E109)-2))</f>
        <v/>
      </c>
      <c r="B124" s="3568"/>
      <c r="C124" s="3568"/>
      <c r="D124" s="3557" t="str">
        <f>H109</f>
        <v>——</v>
      </c>
      <c r="E124" s="3558"/>
      <c r="F124" s="3558"/>
      <c r="G124" s="3558"/>
      <c r="H124" s="3558"/>
      <c r="I124" s="3559"/>
      <c r="AA124" s="725"/>
    </row>
    <row r="125" spans="1:27" ht="18.75" customHeight="1">
      <c r="A125" s="3556" t="s">
        <v>1452</v>
      </c>
      <c r="B125" s="3556"/>
      <c r="C125" s="3556"/>
      <c r="D125" s="3562" t="e">
        <f>NUMBERSTRING(INT(D124*10000),2)&amp;"元整"</f>
        <v>#VALUE!</v>
      </c>
      <c r="E125" s="3564"/>
      <c r="F125" s="3564"/>
      <c r="G125" s="3564"/>
      <c r="H125" s="3564"/>
      <c r="I125" s="3563"/>
      <c r="AA125" s="725"/>
    </row>
    <row r="126" spans="1:27" ht="18.75" customHeight="1">
      <c r="A126" s="3568" t="str">
        <f>IF(项目基本情况!B9="房地产市场价值","",MID(E111,3,LEN(E111)-2))</f>
        <v>抵押净值</v>
      </c>
      <c r="B126" s="3568"/>
      <c r="C126" s="3568"/>
      <c r="D126" s="3557">
        <f ca="1">H111</f>
        <v>4726</v>
      </c>
      <c r="E126" s="3558"/>
      <c r="F126" s="3558"/>
      <c r="G126" s="3558"/>
      <c r="H126" s="3558"/>
      <c r="I126" s="3559"/>
      <c r="AA126" s="725"/>
    </row>
    <row r="127" spans="1:27" ht="18.75" customHeight="1">
      <c r="A127" s="3556" t="s">
        <v>1452</v>
      </c>
      <c r="B127" s="3556"/>
      <c r="C127" s="3556"/>
      <c r="D127" s="3562" t="str">
        <f ca="1">NUMBERSTRING(INT(D126*10000),2)&amp;"元整"</f>
        <v>肆仟柒佰贰拾陆万元整</v>
      </c>
      <c r="E127" s="3564"/>
      <c r="F127" s="3564"/>
      <c r="G127" s="3564"/>
      <c r="H127" s="3564"/>
      <c r="I127" s="3563"/>
      <c r="AA127" s="725"/>
    </row>
    <row r="128" spans="1:27" ht="21.75" customHeight="1">
      <c r="A128" s="3565" t="s">
        <v>1453</v>
      </c>
      <c r="B128" s="3565"/>
      <c r="C128" s="3565"/>
      <c r="D128" s="3565"/>
      <c r="E128" s="3565"/>
      <c r="F128" s="3565"/>
      <c r="G128" s="3565"/>
      <c r="H128" s="3565"/>
      <c r="I128" s="356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3" sqref="K3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3407</v>
      </c>
      <c r="C1" s="198"/>
      <c r="D1" s="198"/>
      <c r="E1" s="198"/>
      <c r="F1" s="198"/>
      <c r="G1" s="1126">
        <f>MATCH(B1,'数据-取费表'!A6:A16,0)+5</f>
        <v>6</v>
      </c>
    </row>
    <row r="2" spans="1:9" s="200" customFormat="1" ht="18" customHeight="1">
      <c r="A2" s="201" t="s">
        <v>1462</v>
      </c>
      <c r="B2" s="202">
        <f ca="1">IF(D2="——",C52,C52-E2)</f>
        <v>14431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13577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9037</v>
      </c>
      <c r="D5" s="211" t="s">
        <v>1469</v>
      </c>
      <c r="E5" s="212" t="s">
        <v>1470</v>
      </c>
      <c r="F5" s="212" t="s">
        <v>1471</v>
      </c>
      <c r="G5" s="213"/>
    </row>
    <row r="6" spans="1:9" s="214" customFormat="1" ht="13.5" customHeight="1">
      <c r="A6" s="778" t="s">
        <v>1472</v>
      </c>
      <c r="B6" s="215" t="s">
        <v>1473</v>
      </c>
      <c r="C6" s="216">
        <f>基准地价修正!B2</f>
        <v>8563</v>
      </c>
      <c r="D6" s="217"/>
      <c r="E6" s="218"/>
      <c r="F6" s="218"/>
      <c r="G6" s="219"/>
    </row>
    <row r="7" spans="1:9" s="214" customFormat="1" ht="13.5" customHeight="1">
      <c r="A7" s="778" t="s">
        <v>1474</v>
      </c>
      <c r="B7" s="215" t="s">
        <v>1475</v>
      </c>
      <c r="C7" s="220">
        <f>ROUND(C6*F7,0)</f>
        <v>261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213</v>
      </c>
      <c r="D8" s="222"/>
      <c r="E8" s="220"/>
      <c r="F8" s="221"/>
      <c r="G8" s="1856" t="s">
        <v>3420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3421</v>
      </c>
      <c r="H9" s="1137"/>
      <c r="I9" s="1858" t="s">
        <v>1479</v>
      </c>
    </row>
    <row r="10" spans="1:9" s="214" customFormat="1" ht="13.5" customHeight="1">
      <c r="A10" s="779" t="s">
        <v>356</v>
      </c>
      <c r="B10" s="224" t="s">
        <v>1480</v>
      </c>
      <c r="C10" s="225">
        <f ca="1">ROUND(D10*E10/10000,0)</f>
        <v>213</v>
      </c>
      <c r="D10" s="845">
        <f ca="1">IF(B1="",'数据-汇总表'!E6,IF(INDIRECT("'数据-取费表'!c"&amp;$G$1)="住宅",INDIRECT("'数据-取费表'!s"&amp;$G$1),INDIRECT("'数据-取费表'!k"&amp;$G$1)+INDIRECT("'数据-取费表'!s"&amp;$G$1)))</f>
        <v>10629.2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10629.2</v>
      </c>
      <c r="E19" s="211">
        <f>'数据-取费表'!B31</f>
        <v>200</v>
      </c>
      <c r="F19" s="231"/>
      <c r="G19" s="1856" t="s">
        <v>3422</v>
      </c>
    </row>
    <row r="20" spans="1:7" s="214" customFormat="1" ht="13.5" customHeight="1">
      <c r="A20" s="255" t="s">
        <v>1493</v>
      </c>
      <c r="B20" s="210" t="s">
        <v>1494</v>
      </c>
      <c r="C20" s="232">
        <f ca="1">ROUND((C5+C19)*F20,0)</f>
        <v>181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477</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472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922</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922</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11488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3383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2976</v>
      </c>
      <c r="D34" s="217"/>
      <c r="E34" s="220"/>
      <c r="F34" s="257">
        <f ca="1">IF('数据-取费表'!B24=0,1,IF(B1="",'数据-取费表'!N16,INDIRECT("'数据-取费表'!n"&amp;$G$1)))</f>
        <v>1</v>
      </c>
      <c r="G34" s="219" t="s">
        <v>1526</v>
      </c>
    </row>
    <row r="35" spans="1:7" ht="13.5" customHeight="1">
      <c r="A35" s="780" t="s">
        <v>351</v>
      </c>
      <c r="B35" s="215" t="s">
        <v>1527</v>
      </c>
      <c r="C35" s="220">
        <f ca="1">ROUND(C34*F35,0)</f>
        <v>149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213</v>
      </c>
      <c r="D37" s="217">
        <f ca="1">D19</f>
        <v>10629.2</v>
      </c>
      <c r="E37" s="249">
        <f>'数据-取费表'!B35</f>
        <v>200</v>
      </c>
      <c r="F37" s="259"/>
      <c r="G37" s="261" t="s">
        <v>1532</v>
      </c>
    </row>
    <row r="38" spans="1:7" ht="13.5" customHeight="1">
      <c r="A38" s="780" t="s">
        <v>354</v>
      </c>
      <c r="B38" s="215" t="s">
        <v>1533</v>
      </c>
      <c r="C38" s="220">
        <f ca="1">ROUND(C34*F38,0)</f>
        <v>45</v>
      </c>
      <c r="D38" s="220"/>
      <c r="E38" s="220"/>
      <c r="F38" s="259">
        <f>'数据-取费表'!B36</f>
        <v>1.4999999999999999E-2</v>
      </c>
      <c r="G38" s="219" t="s">
        <v>1528</v>
      </c>
    </row>
    <row r="39" spans="1:7" s="214" customFormat="1" ht="13.5" customHeight="1">
      <c r="A39" s="255" t="s">
        <v>1534</v>
      </c>
      <c r="B39" s="210" t="s">
        <v>1535</v>
      </c>
      <c r="C39" s="232">
        <f ca="1">ROUND(C33*F20,0)</f>
        <v>68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89</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87</v>
      </c>
      <c r="D42" s="238"/>
      <c r="E42" s="238"/>
      <c r="F42" s="239"/>
      <c r="G42" s="3635" t="s">
        <v>1544</v>
      </c>
    </row>
    <row r="43" spans="1:7" ht="13.5" customHeight="1">
      <c r="A43" s="780" t="s">
        <v>347</v>
      </c>
      <c r="B43" s="215" t="s">
        <v>1545</v>
      </c>
      <c r="C43" s="238">
        <f ca="1">ROUND(IF('数据-取费表'!B22&lt;=1,C39*F22*'数据-取费表'!B21/2,C39*(POWER((1+F22),'数据-取费表'!B21/2)-1)),0)</f>
        <v>2</v>
      </c>
      <c r="D43" s="238"/>
      <c r="E43" s="238"/>
      <c r="F43" s="239"/>
      <c r="G43" s="3636"/>
    </row>
    <row r="44" spans="1:7" ht="13.5" customHeight="1">
      <c r="A44" s="780" t="s">
        <v>348</v>
      </c>
      <c r="B44" s="215" t="s">
        <v>1546</v>
      </c>
      <c r="C44" s="238">
        <f ca="1">ROUND(IF('数据-取费表'!B22&lt;=1,C40*F22*'数据-取费表'!B21/2,C40*(POWER((1+F22),'数据-取费表'!B21/2)-1)),4)</f>
        <v>5.0000000000000001E-4</v>
      </c>
      <c r="D44" s="238"/>
      <c r="E44" s="238"/>
      <c r="F44" s="239"/>
      <c r="G44" s="3637"/>
    </row>
    <row r="45" spans="1:7" s="214" customFormat="1" ht="13.5" customHeight="1">
      <c r="A45" s="255" t="s">
        <v>1547</v>
      </c>
      <c r="B45" s="244" t="s">
        <v>1513</v>
      </c>
      <c r="C45" s="245">
        <f ca="1">C46</f>
        <v>345</v>
      </c>
      <c r="D45" s="235">
        <f ca="1">C47</f>
        <v>2E-3</v>
      </c>
      <c r="E45" s="236" t="s">
        <v>1539</v>
      </c>
      <c r="F45" s="246">
        <f ca="1">F27</f>
        <v>0.1</v>
      </c>
      <c r="G45" s="247" t="s">
        <v>1548</v>
      </c>
    </row>
    <row r="46" spans="1:7" s="214" customFormat="1" ht="13.5" customHeight="1">
      <c r="A46" s="780" t="s">
        <v>346</v>
      </c>
      <c r="B46" s="248" t="s">
        <v>1549</v>
      </c>
      <c r="C46" s="249">
        <f ca="1">ROUND((C33+C39)*F27,0)</f>
        <v>345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4204</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2943</v>
      </c>
      <c r="D51" s="232"/>
      <c r="E51" s="232"/>
      <c r="F51" s="264"/>
      <c r="G51" s="234" t="s">
        <v>1560</v>
      </c>
    </row>
    <row r="52" spans="1:7" s="208" customFormat="1" ht="16.5" thickBot="1">
      <c r="A52" s="265" t="s">
        <v>1561</v>
      </c>
      <c r="B52" s="266"/>
      <c r="C52" s="267">
        <f ca="1">C31+C51</f>
        <v>14431</v>
      </c>
      <c r="D52" s="266"/>
      <c r="E52" s="266"/>
      <c r="F52" s="266"/>
      <c r="G52" s="268"/>
    </row>
    <row r="55" spans="1:7" ht="15">
      <c r="B55" s="270" t="s">
        <v>1562</v>
      </c>
      <c r="C55" s="271"/>
    </row>
    <row r="56" spans="1:7">
      <c r="B56" s="273" t="s">
        <v>802</v>
      </c>
      <c r="C56" s="275">
        <f ca="1">1-C57</f>
        <v>0.79600000000000004</v>
      </c>
    </row>
    <row r="57" spans="1:7">
      <c r="B57" s="273" t="s">
        <v>803</v>
      </c>
      <c r="C57" s="274">
        <f ca="1">ROUND(C51/C52,3)</f>
        <v>0.20399999999999999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3481.9924999999998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3276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2125840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2125840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2125840</v>
      </c>
      <c r="D10" s="845">
        <f ca="1">IF(B1="",'数据-汇总表'!E6,IF(INDIRECT("'数据-取费表'!c"&amp;$G$1)="住宅",INDIRECT("'数据-取费表'!s"&amp;$G$1),INDIRECT("'数据-取费表'!k"&amp;$G$1)+INDIRECT("'数据-取费表'!s"&amp;$G$1)))</f>
        <v>10629.2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2125840</v>
      </c>
      <c r="D19" s="849">
        <f ca="1">D9+D10</f>
        <v>10629.2</v>
      </c>
      <c r="E19" s="211">
        <f>'数据-取费表'!B31</f>
        <v>200</v>
      </c>
      <c r="F19" s="231"/>
      <c r="G19" s="1856"/>
    </row>
    <row r="20" spans="1:7" s="214" customFormat="1" ht="13.5" customHeight="1">
      <c r="A20" s="255" t="s">
        <v>1574</v>
      </c>
      <c r="B20" s="210" t="s">
        <v>1575</v>
      </c>
      <c r="C20" s="232">
        <f ca="1">ROUND((C5+C19)*F20,0)</f>
        <v>85034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224103</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110956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110956</v>
      </c>
      <c r="D24" s="238"/>
      <c r="E24" s="238"/>
      <c r="F24" s="239"/>
      <c r="G24" s="240" t="s">
        <v>1586</v>
      </c>
    </row>
    <row r="25" spans="1:7" s="214" customFormat="1" ht="24">
      <c r="A25" s="780" t="s">
        <v>1476</v>
      </c>
      <c r="B25" s="215" t="s">
        <v>1587</v>
      </c>
      <c r="C25" s="1128">
        <f ca="1">ROUND(IF('数据-取费表'!B22&lt;=1,C20*F22*'数据-取费表'!B22/2,C20*(POWER((1+F22),'数据-取费表'!B22/2)-1)),0)</f>
        <v>2191</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433671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433671</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5404120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33822114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29761760</v>
      </c>
      <c r="D34" s="217"/>
      <c r="E34" s="220"/>
      <c r="F34" s="257"/>
      <c r="G34" s="219"/>
    </row>
    <row r="35" spans="1:7" ht="13.5" customHeight="1">
      <c r="A35" s="780" t="s">
        <v>351</v>
      </c>
      <c r="B35" s="215" t="s">
        <v>1527</v>
      </c>
      <c r="C35" s="220">
        <f ca="1">ROUND(C34*F35,0)</f>
        <v>1488088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2125840</v>
      </c>
      <c r="D37" s="217">
        <f ca="1">D19</f>
        <v>10629.2</v>
      </c>
      <c r="E37" s="249">
        <f>'数据-取费表'!B35</f>
        <v>200</v>
      </c>
      <c r="F37" s="259"/>
      <c r="G37" s="261"/>
    </row>
    <row r="38" spans="1:7" ht="13.5" customHeight="1">
      <c r="A38" s="780" t="s">
        <v>354</v>
      </c>
      <c r="B38" s="215" t="s">
        <v>1533</v>
      </c>
      <c r="C38" s="220">
        <f ca="1">ROUND(C34*F38,0)</f>
        <v>446426</v>
      </c>
      <c r="D38" s="220"/>
      <c r="E38" s="220"/>
      <c r="F38" s="259">
        <f>'数据-取费表'!B36</f>
        <v>1.4999999999999999E-2</v>
      </c>
      <c r="G38" s="219" t="s">
        <v>1528</v>
      </c>
    </row>
    <row r="39" spans="1:7" s="214" customFormat="1" ht="13.5" customHeight="1">
      <c r="A39" s="255" t="s">
        <v>1534</v>
      </c>
      <c r="B39" s="210" t="s">
        <v>1535</v>
      </c>
      <c r="C39" s="232">
        <f ca="1">ROUND(C33*F20,0)</f>
        <v>676442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888855</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871426</v>
      </c>
      <c r="D42" s="238"/>
      <c r="E42" s="238"/>
      <c r="F42" s="239"/>
      <c r="G42" s="3635" t="s">
        <v>1591</v>
      </c>
    </row>
    <row r="43" spans="1:7" ht="13.5" customHeight="1">
      <c r="A43" s="780" t="s">
        <v>347</v>
      </c>
      <c r="B43" s="215" t="s">
        <v>1545</v>
      </c>
      <c r="C43" s="238">
        <f ca="1">ROUND(IF('数据-取费表'!B22&lt;=1,C39*F22*'数据-取费表'!B20/2,C39*(POWER((1+F22),'数据-取费表'!B20/2)-1)),0)</f>
        <v>17429</v>
      </c>
      <c r="D43" s="238"/>
      <c r="E43" s="238"/>
      <c r="F43" s="239"/>
      <c r="G43" s="3636"/>
    </row>
    <row r="44" spans="1:7" ht="13.5" customHeight="1">
      <c r="A44" s="780" t="s">
        <v>348</v>
      </c>
      <c r="B44" s="215" t="s">
        <v>1546</v>
      </c>
      <c r="C44" s="238">
        <f ca="1">ROUND(IF('数据-取费表'!B22&lt;=1,C40*F22*'数据-取费表'!B20/2,C40*(POWER((1+F22),'数据-取费表'!B20/2)-1)),4)</f>
        <v>5.0000000000000001E-4</v>
      </c>
      <c r="D44" s="238"/>
      <c r="E44" s="238"/>
      <c r="F44" s="239"/>
      <c r="G44" s="3637"/>
    </row>
    <row r="45" spans="1:7" s="214" customFormat="1" ht="13.5" customHeight="1">
      <c r="A45" s="255" t="s">
        <v>1547</v>
      </c>
      <c r="B45" s="244" t="s">
        <v>1513</v>
      </c>
      <c r="C45" s="245">
        <f ca="1">C46</f>
        <v>3449856</v>
      </c>
      <c r="D45" s="235">
        <f ca="1">C47</f>
        <v>2E-3</v>
      </c>
      <c r="E45" s="236" t="s">
        <v>1539</v>
      </c>
      <c r="F45" s="246">
        <f ca="1">F27</f>
        <v>0.1</v>
      </c>
      <c r="G45" s="247" t="s">
        <v>1548</v>
      </c>
    </row>
    <row r="46" spans="1:7" s="214" customFormat="1" ht="13.5" customHeight="1">
      <c r="A46" s="780" t="s">
        <v>346</v>
      </c>
      <c r="B46" s="248" t="s">
        <v>1549</v>
      </c>
      <c r="C46" s="249">
        <f ca="1">ROUND((C33+C39)*F27,0)</f>
        <v>3449856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42022578</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29415805</v>
      </c>
      <c r="D51" s="232"/>
      <c r="E51" s="232"/>
      <c r="F51" s="264"/>
      <c r="G51" s="234" t="s">
        <v>1560</v>
      </c>
    </row>
    <row r="52" spans="1:7" s="208" customFormat="1" ht="16.5" thickBot="1">
      <c r="A52" s="265" t="s">
        <v>1561</v>
      </c>
      <c r="B52" s="266"/>
      <c r="C52" s="267">
        <f ca="1">C31+C51</f>
        <v>34819925</v>
      </c>
      <c r="D52" s="266"/>
      <c r="E52" s="266"/>
      <c r="F52" s="266"/>
      <c r="G52" s="268"/>
    </row>
    <row r="55" spans="1:7" ht="15">
      <c r="B55" s="270" t="s">
        <v>1562</v>
      </c>
      <c r="C55" s="271"/>
    </row>
    <row r="56" spans="1:7">
      <c r="B56" s="273" t="s">
        <v>802</v>
      </c>
      <c r="C56" s="275">
        <f ca="1">1-C57</f>
        <v>0.15500000000000003</v>
      </c>
    </row>
    <row r="57" spans="1:7">
      <c r="B57" s="273" t="s">
        <v>803</v>
      </c>
      <c r="C57" s="274">
        <f ca="1">ROUND(C51/C52,3)</f>
        <v>0.84499999999999997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10629.2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10629.2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213</v>
      </c>
      <c r="D20" s="846">
        <f ca="1">IF(C1="",'数据-汇总表'!E6,IF(INDIRECT("'数据-取费表'!c"&amp;$K$1)="住宅",INDIRECT("'数据-取费表'!s"&amp;$K$1),INDIRECT("'数据-取费表'!k"&amp;$K$1)+INDIRECT("'数据-取费表'!s"&amp;$K$1)))</f>
        <v>10629.2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0" zoomScaleNormal="80" zoomScaleSheetLayoutView="80" workbookViewId="0">
      <selection activeCell="I24" sqref="I2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10629.2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8563</v>
      </c>
      <c r="C2" s="1999" t="s">
        <v>1935</v>
      </c>
      <c r="D2" s="2000" t="s">
        <v>1936</v>
      </c>
      <c r="E2" s="3422" t="s">
        <v>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11104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8056</v>
      </c>
      <c r="C3" s="1999" t="s">
        <v>1941</v>
      </c>
      <c r="D3" s="2000" t="s">
        <v>1942</v>
      </c>
      <c r="E3" s="3420" t="s">
        <v>2483</v>
      </c>
      <c r="F3" s="2004" t="s">
        <v>3389</v>
      </c>
      <c r="G3" s="752">
        <f>IF(F3="宗地容积率",'数据-汇总表'!I4,IF(F3="估价对象容积率",'数据-汇总表'!I6,'数据-汇总表'!I7))</f>
        <v>1.1200000000000001</v>
      </c>
      <c r="H3" s="170" t="s">
        <v>1943</v>
      </c>
      <c r="I3" s="775"/>
      <c r="J3" s="2002" t="s">
        <v>1944</v>
      </c>
      <c r="K3" s="1119"/>
      <c r="L3" s="2003" t="s">
        <v>1945</v>
      </c>
      <c r="M3" s="864">
        <f>SUMPRODUCT((区片价!B30:B54=I2)*(区片价!C3:G3=E2)*(区片价!C30:G54))</f>
        <v>6700</v>
      </c>
      <c r="N3" s="866">
        <f>SUMPRODUCT((因素修正幅度!B30:B54=I2)*(因素修正幅度!C3:G3=E2)*(因素修正幅度!C30:G54))</f>
        <v>0.1</v>
      </c>
      <c r="O3" s="1119"/>
      <c r="P3" s="1119"/>
      <c r="Q3" s="1119"/>
      <c r="R3" s="1212">
        <v>2</v>
      </c>
      <c r="S3" s="3361">
        <f>ROUND(SUMPRODUCT((B106:B110=R3)*(C105:N105=G2)*(C106:N110)),4)</f>
        <v>1.1838</v>
      </c>
      <c r="T3" s="3361">
        <f t="shared" si="0"/>
        <v>8752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5"/>
      <c r="B4" s="3646"/>
      <c r="C4" s="3646"/>
      <c r="D4" s="3647"/>
      <c r="E4" s="3647"/>
      <c r="F4" s="3647"/>
      <c r="G4" s="3647"/>
      <c r="H4" s="3647"/>
      <c r="I4" s="3647"/>
      <c r="J4" s="36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7397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6640</v>
      </c>
      <c r="D5" s="1339">
        <f>ROUND(C6*C17+C20,0)</f>
        <v>6640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6524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6700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6269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1.1200000000000001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2" t="s">
        <v>1960</v>
      </c>
      <c r="X8" s="36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49" t="s">
        <v>3258</v>
      </c>
      <c r="B20" s="167" t="s">
        <v>1994</v>
      </c>
      <c r="C20" s="3325">
        <f>ROUND(IF(F21="与级别开发程度一致",0,(G21-E21)/C21),0)</f>
        <v>-60</v>
      </c>
      <c r="D20" s="3341" t="s">
        <v>1998</v>
      </c>
      <c r="E20" s="3342"/>
      <c r="F20" s="3655" t="s">
        <v>1995</v>
      </c>
      <c r="G20" s="3656"/>
      <c r="H20" s="3326" t="s">
        <v>3411</v>
      </c>
      <c r="I20" s="3326" t="s">
        <v>3412</v>
      </c>
      <c r="J20" s="3327" t="s">
        <v>3413</v>
      </c>
      <c r="K20" s="2047" t="s">
        <v>3414</v>
      </c>
      <c r="L20" s="2047" t="s">
        <v>3415</v>
      </c>
      <c r="M20" s="2047"/>
      <c r="N20" s="2047"/>
      <c r="O20" s="2048" t="s">
        <v>3416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650"/>
      <c r="B21" s="2164" t="s">
        <v>1997</v>
      </c>
      <c r="C21" s="2165">
        <f>IF(E3="M4科研用地",SUMPRODUCT((修正!A2:A7=E3)*(修正!B1:M1=G2)*(修正!B2:M7)),SUMPRODUCT((修正!A2:A7=E2)*(修正!B1:M1=G2)*(修正!B2:M7)))</f>
        <v>1.5</v>
      </c>
      <c r="D21" s="187" t="str">
        <f>IF(OR(G2="八级",G2="九级",G2="十级",G2="十一级",G2="十二级"),"五通一平","七通一平")</f>
        <v>七通一平</v>
      </c>
      <c r="E21" s="2155">
        <f>SUMPRODUCT((修正!B1:M1=G2)*(修正!B17:M17))</f>
        <v>315</v>
      </c>
      <c r="F21" s="2156"/>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45252</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1</v>
      </c>
      <c r="D24" s="2060" t="s">
        <v>2007</v>
      </c>
      <c r="E24" s="1335">
        <f>存贷款利率!E24/100</f>
        <v>4.3499999999999997E-2</v>
      </c>
      <c r="F24" s="2060" t="s">
        <v>1999</v>
      </c>
      <c r="G24" s="768">
        <f>SUMIF(M30:Q30,E2,M33:Q33)</f>
        <v>0.05</v>
      </c>
      <c r="H24" s="2060" t="s">
        <v>2008</v>
      </c>
      <c r="I24" s="769">
        <f>SUMIF('数据-取费表'!C6:C15,E2,'数据-取费表'!F6:F15)/COUNTIF('数据-取费表'!C6:C15,E2)</f>
        <v>50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1.0896999999999999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1.0896999999999999</v>
      </c>
      <c r="E26" s="752">
        <f>ROUNDDOWN(G3,1)</f>
        <v>1.1000000000000001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1.0948</v>
      </c>
      <c r="G26" s="752">
        <f>ROUNDUP(G3,1)</f>
        <v>1.2000000000000002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1.0690999999999999</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8563</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8056</v>
      </c>
      <c r="D33" s="2098">
        <f>'数据-基础表'!I13</f>
        <v>10629.2</v>
      </c>
      <c r="E33" s="773">
        <f>ROUND(C33*D33/10000,0)</f>
        <v>8563</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1208</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3"/>
      <c r="B37" s="2113" t="s">
        <v>2036</v>
      </c>
      <c r="C37" s="175">
        <f>ROUND(D5*C22*C23*C24*C28*F37,0)</f>
        <v>4436</v>
      </c>
      <c r="D37" s="2098"/>
      <c r="E37" s="171">
        <f>ROUND(C37*D37/10000,0)</f>
        <v>0</v>
      </c>
      <c r="F37" s="171">
        <f>SUMIF(修正!A57:A68,G2,修正!B57:B68)</f>
        <v>0.6</v>
      </c>
      <c r="G37" s="171">
        <f>ROUND(IF(E2="工业",C37*$M$42,C37*$M$41),0)</f>
        <v>665</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4"/>
      <c r="B38" s="2041" t="s">
        <v>2037</v>
      </c>
      <c r="C38" s="175">
        <f>ROUND(D5*C22*C23*C24*C28*F38,0)</f>
        <v>2218</v>
      </c>
      <c r="D38" s="2098"/>
      <c r="E38" s="171">
        <f t="shared" ref="E38:E42" si="4">ROUND(C38*D38/10000,0)</f>
        <v>0</v>
      </c>
      <c r="F38" s="171">
        <f>SUMIF(修正!A57:A68,G2,修正!C57:C68)</f>
        <v>0.3</v>
      </c>
      <c r="G38" s="171">
        <f>ROUND(IF(E2="工业",C38*$M$42,C38*$M$41),0)</f>
        <v>333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4"/>
      <c r="B39" s="2041" t="s">
        <v>3263</v>
      </c>
      <c r="C39" s="175">
        <f>ROUND(D5*C22*C23*C24*C28*F39,0)</f>
        <v>1848</v>
      </c>
      <c r="D39" s="2098"/>
      <c r="E39" s="171">
        <f t="shared" si="4"/>
        <v>0</v>
      </c>
      <c r="F39" s="171">
        <f>SUMIF(修正!A57:A68,G2,修正!D57:D68)</f>
        <v>0.25</v>
      </c>
      <c r="G39" s="171">
        <f>ROUND(IF(E2="工业",C39*$M$42,C39*$M$41),0)</f>
        <v>277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1848</v>
      </c>
      <c r="D40" s="2098"/>
      <c r="E40" s="171">
        <f t="shared" si="4"/>
        <v>0</v>
      </c>
      <c r="F40" s="175">
        <f>SUMIF(修正!A57:A68,G2,修正!E57:E68)</f>
        <v>0.25</v>
      </c>
      <c r="G40" s="171">
        <f>ROUND(IF(E2="工业",C40*$M$42,C40*$M$41),0)</f>
        <v>277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1.0429999999999999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3417</v>
      </c>
      <c r="D83" s="1065">
        <f t="shared" ref="D83:D90" si="22">SUMIF($J$82:$N$82,C83,J83:N83)</f>
        <v>0</v>
      </c>
      <c r="E83" s="744">
        <f>ROUND(SUM(D83:D90),4)</f>
        <v>4.2999999999999997E-2</v>
      </c>
      <c r="F83" s="1814">
        <f>IF(E2="工业",SUMIF(L1:L12,G2,N1:N12),"——")</f>
        <v>0.1</v>
      </c>
      <c r="G83" s="1063">
        <f>H83</f>
        <v>1.2999999999999999E-2</v>
      </c>
      <c r="H83" s="1066">
        <f t="shared" ref="H83:H90" si="23">IFERROR(ROUNDDOWN($F$83*I83/2,4),"——")</f>
        <v>1.2999999999999999E-2</v>
      </c>
      <c r="I83" s="3367">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3418</v>
      </c>
      <c r="D84" s="1065">
        <f t="shared" si="22"/>
        <v>1.4999999999999999E-2</v>
      </c>
      <c r="E84" s="747"/>
      <c r="F84" s="1814"/>
      <c r="G84" s="1063">
        <f t="shared" ref="G84:G90" si="27">H84</f>
        <v>1.4999999999999999E-2</v>
      </c>
      <c r="H84" s="1066">
        <f t="shared" si="23"/>
        <v>1.4999999999999999E-2</v>
      </c>
      <c r="I84" s="3367">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9" t="s">
        <v>3274</v>
      </c>
      <c r="B85" s="2134">
        <f>估价对象房地状况!G17</f>
        <v>0</v>
      </c>
      <c r="C85" s="2044" t="s">
        <v>3418</v>
      </c>
      <c r="D85" s="1065">
        <f t="shared" si="22"/>
        <v>5.0000000000000001E-3</v>
      </c>
      <c r="E85" s="747"/>
      <c r="F85" s="1814"/>
      <c r="G85" s="1063">
        <f t="shared" si="27"/>
        <v>5.0000000000000001E-3</v>
      </c>
      <c r="H85" s="1066">
        <f t="shared" si="23"/>
        <v>5.0000000000000001E-3</v>
      </c>
      <c r="I85" s="3367">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2067</v>
      </c>
      <c r="B86" s="2134">
        <f>估价对象房地状况!G22</f>
        <v>0</v>
      </c>
      <c r="C86" s="2044" t="s">
        <v>3418</v>
      </c>
      <c r="D86" s="1065">
        <f t="shared" si="22"/>
        <v>2.5000000000000001E-3</v>
      </c>
      <c r="E86" s="747"/>
      <c r="F86" s="1814"/>
      <c r="G86" s="1063">
        <f t="shared" si="27"/>
        <v>2.5000000000000001E-3</v>
      </c>
      <c r="H86" s="1066">
        <f t="shared" si="23"/>
        <v>2.5000000000000001E-3</v>
      </c>
      <c r="I86" s="3367">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2059</v>
      </c>
      <c r="B87" s="1326" t="str">
        <f>估价对象房地状况!G19</f>
        <v>估价对象所在区域公共配套设施齐备情况</v>
      </c>
      <c r="C87" s="2044" t="s">
        <v>3418</v>
      </c>
      <c r="D87" s="1065">
        <f t="shared" si="22"/>
        <v>3.0000000000000001E-3</v>
      </c>
      <c r="E87" s="747"/>
      <c r="F87" s="1814"/>
      <c r="G87" s="1063">
        <f t="shared" si="27"/>
        <v>3.0000000000000001E-3</v>
      </c>
      <c r="H87" s="1066">
        <f t="shared" si="23"/>
        <v>3.0000000000000001E-3</v>
      </c>
      <c r="I87" s="3367">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2060</v>
      </c>
      <c r="B88" s="1326" t="str">
        <f>估价对象房地状况!G20</f>
        <v>估价对象所在区域基础设施水平</v>
      </c>
      <c r="C88" s="2044" t="s">
        <v>3419</v>
      </c>
      <c r="D88" s="1065">
        <f t="shared" si="22"/>
        <v>1.2E-2</v>
      </c>
      <c r="E88" s="747"/>
      <c r="F88" s="1814"/>
      <c r="G88" s="1063">
        <f t="shared" si="27"/>
        <v>6.0000000000000001E-3</v>
      </c>
      <c r="H88" s="1066">
        <f t="shared" si="23"/>
        <v>6.0000000000000001E-3</v>
      </c>
      <c r="I88" s="3367">
        <v>0.12</v>
      </c>
      <c r="J88" s="1064">
        <f t="shared" si="24"/>
        <v>1.2E-2</v>
      </c>
      <c r="K88" s="1064">
        <f t="shared" si="25"/>
        <v>6.0000000000000001E-3</v>
      </c>
      <c r="L88" s="1064">
        <v>0</v>
      </c>
      <c r="M88" s="1064">
        <f t="shared" si="26"/>
        <v>-6.0000000000000001E-3</v>
      </c>
      <c r="N88" s="1064">
        <f t="shared" si="26"/>
        <v>-1.2E-2</v>
      </c>
    </row>
    <row r="89" spans="1:37" ht="24">
      <c r="A89" s="2130" t="s">
        <v>2057</v>
      </c>
      <c r="B89" s="2136" t="s">
        <v>2071</v>
      </c>
      <c r="C89" s="2044" t="s">
        <v>3418</v>
      </c>
      <c r="D89" s="1065">
        <f t="shared" si="22"/>
        <v>3.0000000000000001E-3</v>
      </c>
      <c r="E89" s="747"/>
      <c r="F89" s="1814"/>
      <c r="G89" s="1063">
        <f t="shared" si="27"/>
        <v>3.0000000000000001E-3</v>
      </c>
      <c r="H89" s="1066">
        <f t="shared" si="23"/>
        <v>3.0000000000000001E-3</v>
      </c>
      <c r="I89" s="3367">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2072</v>
      </c>
      <c r="B90" s="2143" t="str">
        <f>估价对象房地状况!G18</f>
        <v>该园区内是否有污染型企业，绿化情况，卫生条件，整体环境状况判断</v>
      </c>
      <c r="C90" s="2044" t="s">
        <v>3418</v>
      </c>
      <c r="D90" s="1065">
        <f t="shared" si="22"/>
        <v>2.5000000000000001E-3</v>
      </c>
      <c r="E90" s="748"/>
      <c r="F90" s="1814"/>
      <c r="G90" s="1063">
        <f t="shared" si="27"/>
        <v>2.5000000000000001E-3</v>
      </c>
      <c r="H90" s="1066">
        <f t="shared" si="23"/>
        <v>2.5000000000000001E-3</v>
      </c>
      <c r="I90" s="3368">
        <v>0.05</v>
      </c>
      <c r="J90" s="1064">
        <f t="shared" si="24"/>
        <v>5.0000000000000001E-3</v>
      </c>
      <c r="K90" s="1064">
        <f t="shared" si="25"/>
        <v>2.5000000000000001E-3</v>
      </c>
      <c r="L90" s="1064">
        <v>0</v>
      </c>
      <c r="M90" s="1064">
        <f t="shared" si="26"/>
        <v>-2.5000000000000001E-3</v>
      </c>
      <c r="N90" s="1064">
        <f t="shared" si="26"/>
        <v>-5.0000000000000001E-3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1" t="s">
        <v>3298</v>
      </c>
      <c r="B103" s="3651"/>
      <c r="C103" s="3651"/>
      <c r="D103" s="3651"/>
      <c r="E103" s="3651"/>
      <c r="F103" s="3651"/>
      <c r="G103" s="3651"/>
      <c r="H103" s="3651"/>
      <c r="I103" s="3651"/>
      <c r="J103" s="3651"/>
      <c r="K103" s="3390"/>
      <c r="L103" s="3390"/>
      <c r="M103" s="3390"/>
      <c r="N103" s="3390"/>
    </row>
    <row r="104" spans="1:14">
      <c r="A104" s="3652" t="s">
        <v>3299</v>
      </c>
      <c r="B104" s="3652" t="s">
        <v>3300</v>
      </c>
      <c r="C104" s="3391" t="s">
        <v>3301</v>
      </c>
      <c r="D104" s="3392"/>
      <c r="E104" s="3392"/>
      <c r="F104" s="3392"/>
      <c r="G104" s="3392"/>
      <c r="H104" s="3392"/>
      <c r="I104" s="3392"/>
      <c r="J104" s="3393"/>
      <c r="K104" s="3394"/>
      <c r="L104" s="3394"/>
      <c r="M104" s="3394"/>
      <c r="N104" s="3394"/>
    </row>
    <row r="105" spans="1:14">
      <c r="A105" s="3652"/>
      <c r="B105" s="365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63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39"/>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1" t="s">
        <v>3315</v>
      </c>
      <c r="B113" s="3641"/>
      <c r="C113" s="3641"/>
      <c r="D113" s="3641"/>
      <c r="E113" s="3641"/>
      <c r="F113" s="3641"/>
      <c r="G113" s="3641"/>
      <c r="H113" s="3641"/>
      <c r="I113" s="3641"/>
      <c r="J113" s="36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1.1200000000000001</v>
      </c>
      <c r="C116" s="3400" t="s">
        <v>3317</v>
      </c>
      <c r="D116" s="3401">
        <f>SUMPRODUCT((A118:A122=F116)*(B117:M117=H116)*B118:M122)</f>
        <v>0.73619999999999997</v>
      </c>
      <c r="E116" s="2000" t="s">
        <v>3318</v>
      </c>
      <c r="F116" s="3402" t="str">
        <f>E2</f>
        <v>工业</v>
      </c>
      <c r="G116" s="2000" t="s">
        <v>3319</v>
      </c>
      <c r="H116" s="3402" t="str">
        <f>G2</f>
        <v>三级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0.98450000000000004</v>
      </c>
      <c r="C118" s="3388">
        <f>B118</f>
        <v>0.98450000000000004</v>
      </c>
      <c r="D118" s="3388">
        <f>ROUND(0.949-0.014*B116,4)</f>
        <v>0.93330000000000002</v>
      </c>
      <c r="E118" s="3388">
        <f>D118</f>
        <v>0.93330000000000002</v>
      </c>
      <c r="F118" s="3388">
        <f>E118</f>
        <v>0.93330000000000002</v>
      </c>
      <c r="G118" s="3388">
        <f>F118</f>
        <v>0.93330000000000002</v>
      </c>
      <c r="H118" s="3388">
        <f>G118</f>
        <v>0.93330000000000002</v>
      </c>
      <c r="I118" s="3388">
        <f>ROUND(0.8486-0.018*B116,4)</f>
        <v>0.82840000000000003</v>
      </c>
      <c r="J118" s="3388">
        <f t="shared" ref="J118:M122" si="36">I118</f>
        <v>0.82840000000000003</v>
      </c>
      <c r="K118" s="3388">
        <f t="shared" si="36"/>
        <v>0.82840000000000003</v>
      </c>
      <c r="L118" s="3388">
        <f t="shared" si="36"/>
        <v>0.82840000000000003</v>
      </c>
      <c r="M118" s="3411">
        <f t="shared" si="36"/>
        <v>0.82840000000000003</v>
      </c>
      <c r="N118" s="3398"/>
    </row>
    <row r="119" spans="1:14">
      <c r="A119" s="3410" t="s">
        <v>3333</v>
      </c>
      <c r="B119" s="3388">
        <f>ROUND(0.993-0.0112*B116,4)</f>
        <v>0.98050000000000004</v>
      </c>
      <c r="C119" s="3388">
        <f>B119</f>
        <v>0.98050000000000004</v>
      </c>
      <c r="D119" s="3388">
        <f>ROUND(0.9415-0.0142*B116,4)</f>
        <v>0.92559999999999998</v>
      </c>
      <c r="E119" s="3388">
        <f t="shared" ref="E119:H120" si="37">D119</f>
        <v>0.92559999999999998</v>
      </c>
      <c r="F119" s="3388">
        <f t="shared" si="37"/>
        <v>0.92559999999999998</v>
      </c>
      <c r="G119" s="3388">
        <f t="shared" si="37"/>
        <v>0.92559999999999998</v>
      </c>
      <c r="H119" s="3388">
        <f t="shared" si="37"/>
        <v>0.92559999999999998</v>
      </c>
      <c r="I119" s="3388">
        <f>ROUND(0.838-0.0182*B116,4)</f>
        <v>0.81759999999999999</v>
      </c>
      <c r="J119" s="3388">
        <f t="shared" si="36"/>
        <v>0.81759999999999999</v>
      </c>
      <c r="K119" s="3388">
        <f t="shared" si="36"/>
        <v>0.81759999999999999</v>
      </c>
      <c r="L119" s="3388">
        <f t="shared" si="36"/>
        <v>0.81759999999999999</v>
      </c>
      <c r="M119" s="3411">
        <f t="shared" si="36"/>
        <v>0.81759999999999999</v>
      </c>
      <c r="N119" s="3398"/>
    </row>
    <row r="120" spans="1:14">
      <c r="A120" s="3410" t="s">
        <v>3334</v>
      </c>
      <c r="B120" s="3388">
        <f>ROUND(0.9448-0.0115*B116,4)</f>
        <v>0.93189999999999995</v>
      </c>
      <c r="C120" s="3388">
        <f>B120</f>
        <v>0.93189999999999995</v>
      </c>
      <c r="D120" s="3388">
        <f>ROUND(0.937-0.0145*B116,4)</f>
        <v>0.92079999999999995</v>
      </c>
      <c r="E120" s="3388">
        <f t="shared" si="37"/>
        <v>0.92079999999999995</v>
      </c>
      <c r="F120" s="3388">
        <f t="shared" si="37"/>
        <v>0.92079999999999995</v>
      </c>
      <c r="G120" s="3388">
        <f t="shared" si="37"/>
        <v>0.92079999999999995</v>
      </c>
      <c r="H120" s="3388">
        <f t="shared" si="37"/>
        <v>0.92079999999999995</v>
      </c>
      <c r="I120" s="3388">
        <f>ROUND(0.7965-0.0185*B116,4)</f>
        <v>0.77580000000000005</v>
      </c>
      <c r="J120" s="3388">
        <f t="shared" si="36"/>
        <v>0.77580000000000005</v>
      </c>
      <c r="K120" s="3388">
        <f t="shared" si="36"/>
        <v>0.77580000000000005</v>
      </c>
      <c r="L120" s="3388">
        <f t="shared" si="36"/>
        <v>0.77580000000000005</v>
      </c>
      <c r="M120" s="3411">
        <f t="shared" si="36"/>
        <v>0.77580000000000005</v>
      </c>
      <c r="N120" s="3398"/>
    </row>
    <row r="121" spans="1:14" ht="13.5" thickBot="1">
      <c r="A121" s="3412" t="s">
        <v>3335</v>
      </c>
      <c r="B121" s="3413">
        <f>ROUND(0.7836-0.012*B116,4)</f>
        <v>0.7702</v>
      </c>
      <c r="C121" s="3413">
        <f>B121</f>
        <v>0.7702</v>
      </c>
      <c r="D121" s="3413">
        <f>ROUND(0.753-0.015*B116,4)</f>
        <v>0.73619999999999997</v>
      </c>
      <c r="E121" s="3413">
        <f>D121</f>
        <v>0.73619999999999997</v>
      </c>
      <c r="F121" s="3413">
        <f>E121</f>
        <v>0.73619999999999997</v>
      </c>
      <c r="G121" s="3413">
        <f>ROUND(0.6612-0.018*B116,4)</f>
        <v>0.64100000000000001</v>
      </c>
      <c r="H121" s="3413">
        <f>G121</f>
        <v>0.64100000000000001</v>
      </c>
      <c r="I121" s="3413">
        <f>ROUND(0.5905-0.019*B116,4)</f>
        <v>0.56920000000000004</v>
      </c>
      <c r="J121" s="3413">
        <f t="shared" si="36"/>
        <v>0.56920000000000004</v>
      </c>
      <c r="K121" s="3413">
        <f t="shared" si="36"/>
        <v>0.56920000000000004</v>
      </c>
      <c r="L121" s="3413">
        <f t="shared" si="36"/>
        <v>0.56920000000000004</v>
      </c>
      <c r="M121" s="3414">
        <f t="shared" si="36"/>
        <v>0.56920000000000004</v>
      </c>
      <c r="N121" s="3398"/>
    </row>
    <row r="122" spans="1:14">
      <c r="A122" s="3415" t="s">
        <v>2616</v>
      </c>
      <c r="B122" s="3388">
        <f>ROUND(0.9404-0.0106*B116,4)</f>
        <v>0.92849999999999999</v>
      </c>
      <c r="C122" s="3388">
        <f>B122</f>
        <v>0.92849999999999999</v>
      </c>
      <c r="D122" s="3388">
        <f>ROUND(0.8955-0.0135*B116,4)</f>
        <v>0.88039999999999996</v>
      </c>
      <c r="E122" s="3388">
        <f t="shared" ref="E122:H122" si="38">D122</f>
        <v>0.88039999999999996</v>
      </c>
      <c r="F122" s="3388">
        <f t="shared" si="38"/>
        <v>0.88039999999999996</v>
      </c>
      <c r="G122" s="3388">
        <f t="shared" si="38"/>
        <v>0.88039999999999996</v>
      </c>
      <c r="H122" s="3388">
        <f t="shared" si="38"/>
        <v>0.88039999999999996</v>
      </c>
      <c r="I122" s="3388">
        <f>ROUND(0.7632-0.0166*B116,4)</f>
        <v>0.74460000000000004</v>
      </c>
      <c r="J122" s="3388">
        <f t="shared" si="36"/>
        <v>0.74460000000000004</v>
      </c>
      <c r="K122" s="3388">
        <f t="shared" si="36"/>
        <v>0.74460000000000004</v>
      </c>
      <c r="L122" s="3388">
        <f t="shared" si="36"/>
        <v>0.74460000000000004</v>
      </c>
      <c r="M122" s="3411">
        <f t="shared" si="36"/>
        <v>0.74460000000000004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3407</v>
      </c>
      <c r="D1" s="1362" t="s">
        <v>43</v>
      </c>
      <c r="E1" s="1363" t="s">
        <v>678</v>
      </c>
      <c r="F1" s="1062">
        <f ca="1">J53</f>
        <v>50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14102</v>
      </c>
      <c r="C2" s="1387" t="s">
        <v>805</v>
      </c>
      <c r="D2" s="1387"/>
      <c r="E2" s="1388"/>
      <c r="F2" s="1389"/>
      <c r="G2" s="2706"/>
      <c r="H2" s="2695"/>
      <c r="I2" s="2695"/>
      <c r="J2" s="2695"/>
      <c r="K2" s="2696"/>
      <c r="L2" s="2695"/>
      <c r="M2" s="2695"/>
    </row>
    <row r="3" spans="1:37" ht="18" customHeight="1" thickBot="1">
      <c r="A3" s="1390" t="s">
        <v>806</v>
      </c>
      <c r="B3" s="1391">
        <f ca="1">IF(ISERROR(B2*10000/F43),0,ROUND(B2*10000/F43,0))</f>
        <v>13267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769</v>
      </c>
      <c r="D5" s="1364" t="s">
        <v>693</v>
      </c>
      <c r="E5" s="1071"/>
      <c r="F5" s="1072"/>
      <c r="G5" s="1384"/>
      <c r="H5" s="299">
        <v>1</v>
      </c>
      <c r="I5" s="300" t="s">
        <v>692</v>
      </c>
      <c r="J5" s="1070">
        <f ca="1">J6+J10+J12</f>
        <v>0</v>
      </c>
      <c r="K5" s="1364" t="s">
        <v>693</v>
      </c>
      <c r="L5" s="1071"/>
      <c r="M5" s="1072"/>
    </row>
    <row r="6" spans="1:37" ht="18" customHeight="1">
      <c r="A6" s="1069" t="s">
        <v>398</v>
      </c>
      <c r="B6" s="3659" t="s">
        <v>694</v>
      </c>
      <c r="C6" s="1074">
        <f ca="1">ROUND(F6*F8*F7*(1-F9)/10000,0)</f>
        <v>768</v>
      </c>
      <c r="D6" s="155" t="s">
        <v>2109</v>
      </c>
      <c r="E6" s="302" t="s">
        <v>696</v>
      </c>
      <c r="F6" s="303">
        <f ca="1">INDIRECT("'数据-取费表'!u"&amp;$G$1)</f>
        <v>2.2000000000000002</v>
      </c>
      <c r="G6" s="1384"/>
      <c r="H6" s="1069" t="s">
        <v>398</v>
      </c>
      <c r="I6" s="3659" t="s">
        <v>694</v>
      </c>
      <c r="J6" s="301">
        <f ca="1">ROUND(M6*M8*M7*(1-M9)/10000,0)</f>
        <v>0</v>
      </c>
      <c r="K6" s="155" t="s">
        <v>2108</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10629.2</v>
      </c>
      <c r="G7" s="1384"/>
      <c r="H7" s="304"/>
      <c r="I7" s="3660"/>
      <c r="J7" s="306"/>
      <c r="K7" s="307"/>
      <c r="L7" s="302" t="s">
        <v>697</v>
      </c>
      <c r="M7" s="303">
        <f ca="1">F7</f>
        <v>10629.2</v>
      </c>
    </row>
    <row r="8" spans="1:37" ht="18" customHeight="1">
      <c r="A8" s="304"/>
      <c r="B8" s="3660"/>
      <c r="C8" s="306"/>
      <c r="D8" s="307"/>
      <c r="E8" s="302" t="s">
        <v>698</v>
      </c>
      <c r="F8" s="303">
        <f ca="1">INDIRECT("'数据-取费表'!ai"&amp;$G$1)</f>
        <v>365</v>
      </c>
      <c r="G8" s="1384"/>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3426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2943</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2976</v>
      </c>
      <c r="D14" s="1345" t="s">
        <v>708</v>
      </c>
      <c r="E14" s="1342"/>
      <c r="F14" s="319"/>
      <c r="G14" s="1384"/>
      <c r="H14" s="982" t="s">
        <v>398</v>
      </c>
      <c r="I14" s="302" t="s">
        <v>709</v>
      </c>
      <c r="J14" s="21">
        <f ca="1">C29</f>
        <v>4204</v>
      </c>
      <c r="K14" s="12"/>
      <c r="L14" s="807"/>
      <c r="M14" s="808"/>
    </row>
    <row r="15" spans="1:37" s="1397" customFormat="1" ht="18" customHeight="1" thickBot="1">
      <c r="A15" s="982" t="s">
        <v>399</v>
      </c>
      <c r="B15" s="302" t="s">
        <v>710</v>
      </c>
      <c r="C15" s="21">
        <f ca="1">ROUND(C14*F15,0)</f>
        <v>149</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74</v>
      </c>
      <c r="K16" s="1087" t="s">
        <v>715</v>
      </c>
      <c r="L16" s="1088"/>
      <c r="M16" s="1072"/>
    </row>
    <row r="17" spans="1:37" s="1397" customFormat="1" ht="18" customHeight="1">
      <c r="A17" s="982" t="s">
        <v>681</v>
      </c>
      <c r="B17" s="302" t="s">
        <v>716</v>
      </c>
      <c r="C17" s="21">
        <f ca="1">ROUND(F17*(F43+INDIRECT("'数据-取费表'!S"&amp;$G$1))/10000,0)</f>
        <v>213</v>
      </c>
      <c r="D17" s="302" t="s">
        <v>717</v>
      </c>
      <c r="E17" s="302" t="s">
        <v>718</v>
      </c>
      <c r="F17" s="23">
        <f>'数据-取费表'!B35</f>
        <v>200</v>
      </c>
      <c r="G17" s="1396"/>
      <c r="H17" s="982" t="s">
        <v>398</v>
      </c>
      <c r="I17" s="302" t="s">
        <v>719</v>
      </c>
      <c r="J17" s="2316">
        <f ca="1">ROUND(IF(AND(项目基本情况!B11="自然人",项目基本情况!B10="北京市"),J6*M17/(1+'数据-取费表'!C42),J18+J19+J20),2)</f>
        <v>11.4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3383</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68</v>
      </c>
      <c r="D20" s="323" t="s">
        <v>729</v>
      </c>
      <c r="E20" s="302" t="s">
        <v>712</v>
      </c>
      <c r="F20" s="322">
        <f>'数据-取费表'!B37</f>
        <v>0.02</v>
      </c>
      <c r="G20" s="1396"/>
      <c r="H20" s="982" t="s">
        <v>680</v>
      </c>
      <c r="I20" s="155" t="s">
        <v>730</v>
      </c>
      <c r="J20" s="22">
        <f ca="1">ROUND(M20*M21/10000,2)</f>
        <v>11.4</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9500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63.06</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89</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-74</v>
      </c>
      <c r="K25" s="1095" t="s">
        <v>753</v>
      </c>
      <c r="L25" s="1096"/>
      <c r="M25" s="1097"/>
    </row>
    <row r="26" spans="1:37">
      <c r="A26" s="982" t="s">
        <v>397</v>
      </c>
      <c r="B26" s="302" t="s">
        <v>754</v>
      </c>
      <c r="C26" s="21">
        <f ca="1">ROUND((C19+C20)*F26,0)</f>
        <v>345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4204</v>
      </c>
      <c r="D29" s="1092"/>
      <c r="E29" s="1090"/>
      <c r="F29" s="1093"/>
      <c r="G29" s="1396"/>
      <c r="H29" s="334" t="s">
        <v>396</v>
      </c>
      <c r="I29" s="335" t="s">
        <v>768</v>
      </c>
      <c r="J29" s="336">
        <f ca="1">ROUND(J26/(1+F40)^F41,0)</f>
        <v>0</v>
      </c>
      <c r="K29" s="337" t="s">
        <v>769</v>
      </c>
      <c r="L29" s="338"/>
      <c r="M29" s="339">
        <f ca="1">INDIRECT("'数据-取费表'!k"&amp;$G$1)</f>
        <v>10629.2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140.13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40.96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87.77</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11.4</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9500</v>
      </c>
      <c r="G35" s="1384"/>
      <c r="H35" s="2697"/>
      <c r="I35" s="1398"/>
      <c r="J35" s="1399"/>
      <c r="K35" s="2701"/>
      <c r="L35" s="2700"/>
      <c r="M35" s="2700"/>
    </row>
    <row r="36" spans="1:18" ht="18" customHeight="1">
      <c r="A36" s="1102" t="s">
        <v>402</v>
      </c>
      <c r="B36" s="302" t="s">
        <v>738</v>
      </c>
      <c r="C36" s="21">
        <f ca="1">ROUND(C29*F36,2)</f>
        <v>63.06</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4.41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7.69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554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14102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50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13267</v>
      </c>
      <c r="D43" s="337" t="s">
        <v>777</v>
      </c>
      <c r="E43" s="338" t="s">
        <v>778</v>
      </c>
      <c r="F43" s="339">
        <f ca="1">INDIRECT("'数据-取费表'!k"&amp;$G$1)</f>
        <v>10629.2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-15423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3427</v>
      </c>
      <c r="K47" s="1416" t="s">
        <v>816</v>
      </c>
      <c r="L47" s="1417">
        <f ca="1">INDIRECT("'数据-取费表'!d"&amp;$G$1)</f>
        <v>50</v>
      </c>
      <c r="M47" s="1380" t="str">
        <f>IF(ISNUMBER(FIND("住宅",C1)),"住宅","非住宅")</f>
        <v>非住宅</v>
      </c>
      <c r="O47" s="1418" t="s">
        <v>403</v>
      </c>
      <c r="P47" s="1419" t="s">
        <v>817</v>
      </c>
      <c r="Q47" s="1420">
        <f ca="1">C40+J29</f>
        <v>14102</v>
      </c>
      <c r="R47" s="1420" t="s">
        <v>818</v>
      </c>
    </row>
    <row r="48" spans="1:18" s="1384" customFormat="1" ht="28.5" thickBot="1">
      <c r="A48" s="1110" t="s">
        <v>438</v>
      </c>
      <c r="B48" s="300" t="s">
        <v>692</v>
      </c>
      <c r="C48" s="1359">
        <f ca="1">C49+C53+C55</f>
        <v>0</v>
      </c>
      <c r="D48" s="1112"/>
      <c r="E48" s="1113"/>
      <c r="F48" s="962"/>
      <c r="G48" s="722"/>
      <c r="H48" s="723"/>
      <c r="I48" s="1421" t="s">
        <v>819</v>
      </c>
      <c r="J48" s="1422" t="s">
        <v>3428</v>
      </c>
      <c r="K48" s="1423" t="s">
        <v>820</v>
      </c>
      <c r="L48" s="1424">
        <f ca="1">INDIRECT("'数据-取费表'!f"&amp;$G$1)</f>
        <v>50</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4204</v>
      </c>
      <c r="R49" s="1420" t="s">
        <v>818</v>
      </c>
    </row>
    <row r="50" spans="1:18" s="1384" customFormat="1" ht="13.5" thickBot="1">
      <c r="A50" s="976"/>
      <c r="B50" s="979"/>
      <c r="C50" s="1118"/>
      <c r="D50" s="953"/>
      <c r="E50" s="1056" t="s">
        <v>697</v>
      </c>
      <c r="F50" s="1057">
        <f ca="1">F7</f>
        <v>10629.2</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6353</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50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50</v>
      </c>
      <c r="K53" s="3657" t="s">
        <v>837</v>
      </c>
      <c r="L53" s="3658"/>
      <c r="O53" s="1418" t="s">
        <v>409</v>
      </c>
      <c r="P53" s="1419" t="s">
        <v>838</v>
      </c>
      <c r="Q53" s="1420">
        <f ca="1">Q47+Q48</f>
        <v>14102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2943</v>
      </c>
      <c r="D56" s="1447"/>
      <c r="E56" s="1448"/>
      <c r="F56" s="1440"/>
      <c r="I56" s="1449" t="s">
        <v>842</v>
      </c>
      <c r="J56" s="1450" t="s">
        <v>3388</v>
      </c>
      <c r="K56" s="1421" t="s">
        <v>843</v>
      </c>
      <c r="L56" s="1424">
        <f ca="1">IF(L48&lt;J51,"——",L48-J53)</f>
        <v>0</v>
      </c>
      <c r="O56" s="1418" t="s">
        <v>403</v>
      </c>
      <c r="P56" s="1419" t="s">
        <v>817</v>
      </c>
      <c r="Q56" s="1420">
        <f ca="1">C40+J29</f>
        <v>14102</v>
      </c>
      <c r="R56" s="1420" t="s">
        <v>818</v>
      </c>
    </row>
    <row r="57" spans="1:18" s="1384" customFormat="1" ht="24.75" thickBot="1">
      <c r="A57" s="1451"/>
      <c r="B57" s="950" t="s">
        <v>767</v>
      </c>
      <c r="C57" s="238">
        <f ca="1">C29</f>
        <v>4204</v>
      </c>
      <c r="D57" s="1452"/>
      <c r="E57" s="1453"/>
      <c r="F57" s="1454"/>
      <c r="I57" s="1455" t="s">
        <v>844</v>
      </c>
      <c r="J57" s="1456" t="str">
        <f ca="1">IF(OR(M47="住宅",J51&lt;L48,J56="是"),"——",J51-L48)</f>
        <v>——</v>
      </c>
      <c r="K57" s="1421" t="s">
        <v>845</v>
      </c>
      <c r="L57" s="1424">
        <f ca="1">IF(L48&lt;J51,"——",IF(L55="比较法",L49,IF(L55="基准地价",L50,L51)))</f>
        <v>6353</v>
      </c>
      <c r="O57" s="1418" t="s">
        <v>404</v>
      </c>
      <c r="P57" s="1419" t="s">
        <v>846</v>
      </c>
      <c r="Q57" s="1420" t="e">
        <f ca="1">L60</f>
        <v>#DIV/0!</v>
      </c>
      <c r="R57" s="1420" t="s">
        <v>847</v>
      </c>
    </row>
    <row r="58" spans="1:18" s="1384" customFormat="1" ht="24.75" thickBot="1">
      <c r="A58" s="315" t="s">
        <v>393</v>
      </c>
      <c r="B58" s="958" t="s">
        <v>714</v>
      </c>
      <c r="C58" s="316">
        <f ca="1">ROUND(C59+C64+C65+C66,0)</f>
        <v>78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11.4</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9500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63.06</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4.41</v>
      </c>
      <c r="D65" s="964" t="s">
        <v>743</v>
      </c>
      <c r="E65" s="950" t="s">
        <v>744</v>
      </c>
      <c r="F65" s="330">
        <f t="shared" ca="1" si="0"/>
        <v>1.5E-3</v>
      </c>
      <c r="I65" s="1462" t="s">
        <v>867</v>
      </c>
      <c r="J65" s="1463">
        <v>40</v>
      </c>
      <c r="K65" s="1463">
        <v>30</v>
      </c>
      <c r="L65" s="1463">
        <v>50</v>
      </c>
      <c r="M65" s="1465">
        <v>0.02</v>
      </c>
      <c r="O65" s="1418" t="s">
        <v>403</v>
      </c>
      <c r="P65" s="1419" t="s">
        <v>868</v>
      </c>
      <c r="Q65" s="1420">
        <f ca="1">C40+J29</f>
        <v>14102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t="e">
        <f ca="1">L60</f>
        <v>#DIV/0!</v>
      </c>
      <c r="R66" s="1420" t="s">
        <v>869</v>
      </c>
    </row>
    <row r="67" spans="1:18" s="1384" customFormat="1" ht="16.5" thickBot="1">
      <c r="A67" s="957" t="s">
        <v>394</v>
      </c>
      <c r="B67" s="967" t="s">
        <v>752</v>
      </c>
      <c r="C67" s="316">
        <f ca="1">C48-C58</f>
        <v>-78</v>
      </c>
      <c r="D67" s="963" t="s">
        <v>753</v>
      </c>
      <c r="E67" s="968"/>
      <c r="F67" s="969"/>
      <c r="O67" s="1428" t="s">
        <v>405</v>
      </c>
      <c r="P67" s="1419" t="s">
        <v>850</v>
      </c>
      <c r="Q67" s="1466">
        <f ca="1">L51</f>
        <v>6353</v>
      </c>
      <c r="R67" s="1420" t="s">
        <v>870</v>
      </c>
    </row>
    <row r="68" spans="1:18" s="1384" customFormat="1" ht="16.5" thickBot="1">
      <c r="A68" s="947" t="s">
        <v>395</v>
      </c>
      <c r="B68" s="948" t="s">
        <v>774</v>
      </c>
      <c r="C68" s="301">
        <f ca="1">ROUND(C67*(1-((1+F70)/(1+F68))^F69)/(F68-F70),0)</f>
        <v>-1321</v>
      </c>
      <c r="D68" s="965" t="s">
        <v>758</v>
      </c>
      <c r="E68" s="950" t="s">
        <v>759</v>
      </c>
      <c r="F68" s="312">
        <f ca="1">F40</f>
        <v>5.5E-2</v>
      </c>
      <c r="O68" s="1428" t="s">
        <v>406</v>
      </c>
      <c r="P68" s="1467" t="s">
        <v>871</v>
      </c>
      <c r="Q68" s="1420">
        <f ca="1">ROUND(Q69-Q70*Q71,0)</f>
        <v>348</v>
      </c>
      <c r="R68" s="1420" t="s">
        <v>414</v>
      </c>
    </row>
    <row r="69" spans="1:18" s="1384" customFormat="1" ht="13.5" thickBot="1">
      <c r="A69" s="951"/>
      <c r="B69" s="952"/>
      <c r="C69" s="306"/>
      <c r="D69" s="970" t="s">
        <v>762</v>
      </c>
      <c r="E69" s="950" t="s">
        <v>763</v>
      </c>
      <c r="F69" s="333">
        <f ca="1">F41</f>
        <v>50</v>
      </c>
      <c r="O69" s="1428" t="s">
        <v>411</v>
      </c>
      <c r="P69" s="1467" t="s">
        <v>872</v>
      </c>
      <c r="Q69" s="1420">
        <f ca="1">C39</f>
        <v>554</v>
      </c>
      <c r="R69" s="1420" t="s">
        <v>818</v>
      </c>
    </row>
    <row r="70" spans="1:18" s="1384" customFormat="1" ht="13.5" thickBot="1">
      <c r="A70" s="954"/>
      <c r="B70" s="955"/>
      <c r="C70" s="310"/>
      <c r="D70" s="966"/>
      <c r="E70" s="950" t="s">
        <v>766</v>
      </c>
      <c r="F70" s="1054"/>
      <c r="O70" s="1428" t="s">
        <v>412</v>
      </c>
      <c r="P70" s="1467" t="s">
        <v>873</v>
      </c>
      <c r="Q70" s="1420">
        <f ca="1">C13</f>
        <v>2943</v>
      </c>
      <c r="R70" s="1420" t="s">
        <v>818</v>
      </c>
    </row>
    <row r="71" spans="1:18" s="1384" customFormat="1" ht="13.5" thickBot="1">
      <c r="A71" s="971" t="s">
        <v>396</v>
      </c>
      <c r="B71" s="972" t="s">
        <v>776</v>
      </c>
      <c r="C71" s="336">
        <f ca="1">ROUND(C68*10000/F71,0)</f>
        <v>-1243</v>
      </c>
      <c r="D71" s="973" t="s">
        <v>777</v>
      </c>
      <c r="E71" s="974" t="s">
        <v>778</v>
      </c>
      <c r="F71" s="339">
        <f ca="1">F43</f>
        <v>10629.2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206</v>
      </c>
      <c r="D75" s="1384"/>
      <c r="E75" s="1384"/>
      <c r="F75" s="1384"/>
      <c r="K75" s="1402"/>
      <c r="L75" s="1384"/>
      <c r="O75" s="1418" t="s">
        <v>409</v>
      </c>
      <c r="P75" s="1419" t="s">
        <v>838</v>
      </c>
      <c r="Q75" s="1420" t="e">
        <f ca="1">Q65+Q66</f>
        <v>#DIV/0!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0.628</v>
      </c>
    </row>
    <row r="80" spans="1:18">
      <c r="B80" s="340" t="s">
        <v>800</v>
      </c>
      <c r="C80" s="274">
        <f ca="1">ROUND(C75/C39,3)</f>
        <v>0.372</v>
      </c>
    </row>
    <row r="81" spans="2:3">
      <c r="B81" s="270" t="s">
        <v>801</v>
      </c>
      <c r="C81" s="238"/>
    </row>
    <row r="82" spans="2:3">
      <c r="B82" s="273" t="s">
        <v>802</v>
      </c>
      <c r="C82" s="275">
        <f ca="1">1-C83</f>
        <v>0.79100000000000004</v>
      </c>
    </row>
    <row r="83" spans="2:3">
      <c r="B83" s="273" t="s">
        <v>803</v>
      </c>
      <c r="C83" s="274">
        <f ca="1">ROUND(C13/C40,3)</f>
        <v>0.20899999999999999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9" t="s">
        <v>694</v>
      </c>
      <c r="C6" s="1074">
        <f ca="1">ROUND(F6*F8*F7*(1-F9),0)</f>
        <v>0</v>
      </c>
      <c r="D6" s="155" t="s">
        <v>2106</v>
      </c>
      <c r="E6" s="302" t="s">
        <v>696</v>
      </c>
      <c r="F6" s="303">
        <f ca="1">INDIRECT("'数据-取费表'!u"&amp;$G$1)</f>
        <v>0</v>
      </c>
      <c r="G6" s="1384"/>
      <c r="H6" s="1069" t="s">
        <v>398</v>
      </c>
      <c r="I6" s="3659" t="s">
        <v>694</v>
      </c>
      <c r="J6" s="301">
        <f ca="1">ROUND(M6*M8*M7*(1-M9),0)</f>
        <v>0</v>
      </c>
      <c r="K6" s="1376"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62" t="s">
        <v>2321</v>
      </c>
      <c r="K2" s="3663"/>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4" t="s">
        <v>2331</v>
      </c>
      <c r="K3" s="3665"/>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4" t="s">
        <v>2333</v>
      </c>
      <c r="K4" s="3665"/>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6" t="s">
        <v>2337</v>
      </c>
      <c r="B6" s="3667"/>
      <c r="C6" s="3668"/>
      <c r="D6" s="2870"/>
      <c r="E6" s="2871"/>
      <c r="F6" s="2872"/>
      <c r="G6" s="2873"/>
      <c r="H6" s="2848"/>
      <c r="I6" s="2849"/>
      <c r="J6" s="3669">
        <v>1</v>
      </c>
      <c r="K6" s="367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9"/>
      <c r="K7" s="367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3" t="s">
        <v>2351</v>
      </c>
      <c r="C8" s="3674"/>
      <c r="D8" s="2889" t="s">
        <v>2352</v>
      </c>
      <c r="E8" s="2890" t="s">
        <v>2353</v>
      </c>
      <c r="F8" s="2891" t="s">
        <v>2354</v>
      </c>
      <c r="G8" s="2892"/>
      <c r="H8" s="2848"/>
      <c r="I8" s="2849"/>
      <c r="J8" s="3669"/>
      <c r="K8" s="367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3" t="s">
        <v>2357</v>
      </c>
      <c r="C9" s="3674"/>
      <c r="D9" s="2889">
        <f>ROUND(D6*E9,0)</f>
        <v>0</v>
      </c>
      <c r="E9" s="2893"/>
      <c r="F9" s="2894" t="s">
        <v>2358</v>
      </c>
      <c r="G9" s="2873"/>
      <c r="H9" s="2848"/>
      <c r="I9" s="2849"/>
      <c r="J9" s="3669"/>
      <c r="K9" s="3671"/>
      <c r="L9" s="2883" t="s">
        <v>2359</v>
      </c>
      <c r="M9" s="2884"/>
      <c r="N9" s="2860"/>
      <c r="O9" s="2885"/>
      <c r="P9" s="2885"/>
      <c r="Q9" s="2886">
        <v>365</v>
      </c>
      <c r="R9" s="2887">
        <f t="shared" si="0"/>
        <v>0</v>
      </c>
      <c r="S9" s="2841"/>
      <c r="T9" s="2841"/>
      <c r="U9" s="2841"/>
      <c r="V9" s="2849"/>
    </row>
    <row r="10" spans="1:22" s="2853" customFormat="1" ht="13.15" customHeight="1">
      <c r="A10" s="2888">
        <v>2</v>
      </c>
      <c r="B10" s="3673" t="s">
        <v>2360</v>
      </c>
      <c r="C10" s="3674"/>
      <c r="D10" s="2889">
        <f>ROUND(D6*E10,0)</f>
        <v>0</v>
      </c>
      <c r="E10" s="2893"/>
      <c r="F10" s="2894" t="s">
        <v>2361</v>
      </c>
      <c r="G10" s="2873"/>
      <c r="H10" s="2848"/>
      <c r="I10" s="2849"/>
      <c r="J10" s="3669"/>
      <c r="K10" s="3671"/>
      <c r="L10" s="2883" t="s">
        <v>2362</v>
      </c>
      <c r="M10" s="2884"/>
      <c r="N10" s="2860"/>
      <c r="O10" s="2885"/>
      <c r="P10" s="2885"/>
      <c r="Q10" s="2886">
        <v>365</v>
      </c>
      <c r="R10" s="2887">
        <f t="shared" si="0"/>
        <v>0</v>
      </c>
      <c r="S10" s="2841"/>
      <c r="T10" s="2841"/>
      <c r="U10" s="2841"/>
      <c r="V10" s="2849"/>
    </row>
    <row r="11" spans="1:22" s="2853" customFormat="1" ht="13.15" customHeight="1">
      <c r="A11" s="2888">
        <v>3</v>
      </c>
      <c r="B11" s="3673" t="s">
        <v>2363</v>
      </c>
      <c r="C11" s="3674"/>
      <c r="D11" s="2889">
        <f>D12+D14+D15+D16</f>
        <v>0</v>
      </c>
      <c r="E11" s="2895" t="e">
        <f>D11/D6</f>
        <v>#DIV/0!</v>
      </c>
      <c r="F11" s="2891"/>
      <c r="G11" s="2892"/>
      <c r="H11" s="2848"/>
      <c r="I11" s="2849"/>
      <c r="J11" s="3669"/>
      <c r="K11" s="367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5" t="s">
        <v>2366</v>
      </c>
      <c r="C12" s="3676"/>
      <c r="D12" s="2897">
        <f>ROUND(D13*1.2%*(1-30%),0)</f>
        <v>0</v>
      </c>
      <c r="E12" s="2898">
        <v>1.2E-2</v>
      </c>
      <c r="F12" s="2891" t="s">
        <v>2367</v>
      </c>
      <c r="G12" s="2892"/>
      <c r="H12" s="2848"/>
      <c r="I12" s="2849"/>
      <c r="J12" s="3669"/>
      <c r="K12" s="367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9"/>
      <c r="K13" s="367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5" t="s">
        <v>2372</v>
      </c>
      <c r="C14" s="3676"/>
      <c r="D14" s="2897">
        <f>ROUND(E14*B5/10000,0)</f>
        <v>0</v>
      </c>
      <c r="E14" s="2886"/>
      <c r="F14" s="2891" t="s">
        <v>2373</v>
      </c>
      <c r="G14" s="2892"/>
      <c r="H14" s="2848"/>
      <c r="I14" s="2849"/>
      <c r="J14" s="3669"/>
      <c r="K14" s="367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5" t="s">
        <v>2376</v>
      </c>
      <c r="C15" s="3676"/>
      <c r="D15" s="2897">
        <f>ROUND(D6*E15,0)</f>
        <v>0</v>
      </c>
      <c r="E15" s="2898">
        <v>5.5E-2</v>
      </c>
      <c r="F15" s="2891" t="s">
        <v>2377</v>
      </c>
      <c r="G15" s="2873"/>
      <c r="H15" s="2848"/>
      <c r="I15" s="2849"/>
      <c r="J15" s="3669">
        <v>2</v>
      </c>
      <c r="K15" s="367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5" t="s">
        <v>2385</v>
      </c>
      <c r="C16" s="3676"/>
      <c r="D16" s="2908">
        <f>D6*E16</f>
        <v>0</v>
      </c>
      <c r="E16" s="2909"/>
      <c r="F16" s="2894" t="s">
        <v>2386</v>
      </c>
      <c r="G16" s="2873"/>
      <c r="H16" s="2848"/>
      <c r="I16" s="2849"/>
      <c r="J16" s="3669"/>
      <c r="K16" s="367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7" t="s">
        <v>2388</v>
      </c>
      <c r="C17" s="3678"/>
      <c r="D17" s="2911">
        <f>ROUND(D6*E17,0)</f>
        <v>0</v>
      </c>
      <c r="E17" s="2912"/>
      <c r="F17" s="2913" t="s">
        <v>2389</v>
      </c>
      <c r="G17" s="2873"/>
      <c r="H17" s="2848"/>
      <c r="I17" s="2849"/>
      <c r="J17" s="3669"/>
      <c r="K17" s="367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9"/>
      <c r="K18" s="367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9"/>
      <c r="K19" s="367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9">
        <v>3</v>
      </c>
      <c r="K20" s="367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9"/>
      <c r="K21" s="367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9"/>
      <c r="K22" s="367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9"/>
      <c r="K23" s="367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9"/>
      <c r="K24" s="367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8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2" t="s">
        <v>2321</v>
      </c>
      <c r="K32" s="3663"/>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4" t="s">
        <v>2331</v>
      </c>
      <c r="K33" s="3665"/>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4" t="s">
        <v>2333</v>
      </c>
      <c r="K34" s="366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9">
        <v>1</v>
      </c>
      <c r="K36" s="367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9"/>
      <c r="K37" s="367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9"/>
      <c r="K38" s="367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9"/>
      <c r="K39" s="367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9"/>
      <c r="K40" s="367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8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14102</v>
      </c>
      <c r="C2" s="1872" t="s">
        <v>1651</v>
      </c>
      <c r="D2" s="1873" t="s">
        <v>1652</v>
      </c>
      <c r="E2" s="2607">
        <f>SUM(E6:E13)</f>
        <v>10629.2</v>
      </c>
      <c r="F2" s="2707"/>
      <c r="G2" s="1489"/>
      <c r="H2" s="1489"/>
      <c r="I2" s="1489"/>
      <c r="J2" s="1489"/>
      <c r="K2" s="1489"/>
      <c r="L2" s="1489"/>
      <c r="M2" s="1489"/>
      <c r="N2" s="1489"/>
      <c r="O2" s="1489"/>
      <c r="P2" s="1489"/>
      <c r="Q2" s="1489"/>
      <c r="R2" s="1489"/>
      <c r="S2" s="1489"/>
    </row>
    <row r="3" spans="1:22" ht="15.75">
      <c r="A3" s="1870" t="s">
        <v>686</v>
      </c>
      <c r="B3" s="2601">
        <f ca="1">ROUND(B2*10000/E2,0)</f>
        <v>13267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1" t="s">
        <v>1654</v>
      </c>
      <c r="C5" s="368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14102</v>
      </c>
      <c r="C6" s="1872" t="s">
        <v>1651</v>
      </c>
      <c r="D6" s="2709"/>
      <c r="E6" s="2606">
        <f>IF(OR(A6=0,F6="否"),0,'数据-取费表'!K6+'数据-取费表'!S6)</f>
        <v>10629.2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10629.2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1" t="s">
        <v>1667</v>
      </c>
      <c r="D4" s="3702"/>
      <c r="E4" s="3703" t="s">
        <v>1668</v>
      </c>
      <c r="F4" s="3704"/>
      <c r="G4" s="3701" t="s">
        <v>1669</v>
      </c>
      <c r="H4" s="3702"/>
      <c r="I4" s="3701" t="s">
        <v>1670</v>
      </c>
      <c r="J4" s="3702"/>
      <c r="K4" s="1889" t="s">
        <v>1671</v>
      </c>
      <c r="L4" s="2715"/>
      <c r="M4" s="2716"/>
      <c r="N4" s="2716"/>
      <c r="O4" s="2716"/>
      <c r="P4" s="3705" t="s">
        <v>1672</v>
      </c>
      <c r="Q4" s="3706"/>
      <c r="R4" s="3688" t="s">
        <v>1668</v>
      </c>
      <c r="S4" s="3689"/>
      <c r="T4" s="3688" t="s">
        <v>1669</v>
      </c>
      <c r="U4" s="3689"/>
      <c r="V4" s="3713" t="s">
        <v>1670</v>
      </c>
      <c r="W4" s="3713"/>
      <c r="X4" s="1355"/>
      <c r="Y4" s="3688" t="s">
        <v>1672</v>
      </c>
      <c r="Z4" s="3689"/>
      <c r="AA4" s="3683" t="s">
        <v>1668</v>
      </c>
      <c r="AB4" s="3683" t="s">
        <v>1669</v>
      </c>
      <c r="AC4" s="3683" t="s">
        <v>1670</v>
      </c>
    </row>
    <row r="5" spans="1:29" ht="15">
      <c r="A5" s="358"/>
      <c r="B5" s="359"/>
      <c r="C5" s="3694" t="s">
        <v>1673</v>
      </c>
      <c r="D5" s="3695"/>
      <c r="E5" s="3692" t="s">
        <v>1674</v>
      </c>
      <c r="F5" s="3693"/>
      <c r="G5" s="3694" t="s">
        <v>1675</v>
      </c>
      <c r="H5" s="3695"/>
      <c r="I5" s="3694" t="s">
        <v>1676</v>
      </c>
      <c r="J5" s="3695"/>
      <c r="K5" s="1890"/>
      <c r="L5" s="2715"/>
      <c r="M5" s="2716"/>
      <c r="N5" s="2716"/>
      <c r="O5" s="2716"/>
      <c r="P5" s="3707"/>
      <c r="Q5" s="3708"/>
      <c r="R5" s="3690"/>
      <c r="S5" s="3691"/>
      <c r="T5" s="3690"/>
      <c r="U5" s="3691"/>
      <c r="V5" s="3713"/>
      <c r="W5" s="3713"/>
      <c r="X5" s="1355"/>
      <c r="Y5" s="3690"/>
      <c r="Z5" s="3691"/>
      <c r="AA5" s="3684"/>
      <c r="AB5" s="3684"/>
      <c r="AC5" s="3684"/>
    </row>
    <row r="6" spans="1:29" ht="15.75" thickBot="1">
      <c r="A6" s="360"/>
      <c r="B6" s="361"/>
      <c r="C6" s="3696" t="s">
        <v>1677</v>
      </c>
      <c r="D6" s="3697"/>
      <c r="E6" s="3698" t="s">
        <v>1677</v>
      </c>
      <c r="F6" s="3699"/>
      <c r="G6" s="3696" t="s">
        <v>1677</v>
      </c>
      <c r="H6" s="3697"/>
      <c r="I6" s="3696" t="s">
        <v>1677</v>
      </c>
      <c r="J6" s="3697"/>
      <c r="K6" s="1890" t="s">
        <v>1678</v>
      </c>
      <c r="L6" s="2715"/>
      <c r="M6" s="2716"/>
      <c r="N6" s="2716"/>
      <c r="O6" s="2716"/>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45252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6" t="s">
        <v>1680</v>
      </c>
      <c r="Q7" s="3714"/>
      <c r="R7" s="701" t="s">
        <v>20</v>
      </c>
      <c r="S7" s="702">
        <f t="shared" ref="S7:S15" si="0">F7</f>
        <v>0</v>
      </c>
      <c r="T7" s="701" t="s">
        <v>20</v>
      </c>
      <c r="U7" s="702">
        <f t="shared" ref="U7:U15" si="1">H7</f>
        <v>0</v>
      </c>
      <c r="V7" s="701" t="s">
        <v>20</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6" t="s">
        <v>1683</v>
      </c>
      <c r="Q8" s="3687"/>
      <c r="R8" s="701" t="s">
        <v>20</v>
      </c>
      <c r="S8" s="702">
        <f t="shared" si="0"/>
        <v>100</v>
      </c>
      <c r="T8" s="701" t="s">
        <v>20</v>
      </c>
      <c r="U8" s="702">
        <f t="shared" si="1"/>
        <v>100</v>
      </c>
      <c r="V8" s="701" t="s">
        <v>20</v>
      </c>
      <c r="W8" s="702">
        <f t="shared" si="2"/>
        <v>100</v>
      </c>
      <c r="X8" s="703"/>
      <c r="Y8" s="3686" t="s">
        <v>1683</v>
      </c>
      <c r="Z8" s="368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0"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0"/>
      <c r="Q11" s="1343" t="str">
        <f t="shared" si="6"/>
        <v>容积率</v>
      </c>
      <c r="R11" s="701" t="s">
        <v>18</v>
      </c>
      <c r="S11" s="702" t="e">
        <f t="shared" si="0"/>
        <v>#N/A</v>
      </c>
      <c r="T11" s="701" t="s">
        <v>18</v>
      </c>
      <c r="U11" s="702" t="e">
        <f t="shared" si="1"/>
        <v>#N/A</v>
      </c>
      <c r="V11" s="701" t="s">
        <v>18</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0"/>
      <c r="Q12" s="1343">
        <f t="shared" si="6"/>
        <v>111</v>
      </c>
      <c r="R12" s="701" t="s">
        <v>18</v>
      </c>
      <c r="S12" s="702">
        <f t="shared" si="0"/>
        <v>100</v>
      </c>
      <c r="T12" s="701" t="s">
        <v>18</v>
      </c>
      <c r="U12" s="702">
        <f t="shared" si="1"/>
        <v>100</v>
      </c>
      <c r="V12" s="701" t="s">
        <v>18</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0"/>
      <c r="Q13" s="1343">
        <f t="shared" si="6"/>
        <v>111</v>
      </c>
      <c r="R13" s="701" t="s">
        <v>18</v>
      </c>
      <c r="S13" s="702">
        <f t="shared" si="0"/>
        <v>100</v>
      </c>
      <c r="T13" s="701" t="s">
        <v>18</v>
      </c>
      <c r="U13" s="702">
        <f t="shared" si="1"/>
        <v>100</v>
      </c>
      <c r="V13" s="701" t="s">
        <v>18</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0"/>
      <c r="Q14" s="1343">
        <f t="shared" si="6"/>
        <v>111</v>
      </c>
      <c r="R14" s="701" t="s">
        <v>18</v>
      </c>
      <c r="S14" s="702">
        <f t="shared" si="0"/>
        <v>100</v>
      </c>
      <c r="T14" s="701" t="s">
        <v>18</v>
      </c>
      <c r="U14" s="702">
        <f t="shared" si="1"/>
        <v>100</v>
      </c>
      <c r="V14" s="701" t="s">
        <v>18</v>
      </c>
      <c r="W14" s="702">
        <f t="shared" si="2"/>
        <v>100</v>
      </c>
      <c r="X14" s="703"/>
      <c r="Y14" s="361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7" t="s">
        <v>1691</v>
      </c>
      <c r="Q15" s="1352" t="str">
        <f t="shared" si="6"/>
        <v>居住社区成熟度</v>
      </c>
      <c r="R15" s="705" t="s">
        <v>18</v>
      </c>
      <c r="S15" s="706">
        <f t="shared" si="0"/>
        <v>100</v>
      </c>
      <c r="T15" s="705" t="s">
        <v>18</v>
      </c>
      <c r="U15" s="706">
        <f t="shared" si="1"/>
        <v>100</v>
      </c>
      <c r="V15" s="705" t="s">
        <v>18</v>
      </c>
      <c r="W15" s="706">
        <f t="shared" si="2"/>
        <v>100</v>
      </c>
      <c r="X15" s="1355"/>
      <c r="Y15" s="372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8"/>
      <c r="Q16" s="1352"/>
      <c r="R16" s="705"/>
      <c r="S16" s="706"/>
      <c r="T16" s="705"/>
      <c r="U16" s="706"/>
      <c r="V16" s="705"/>
      <c r="W16" s="706"/>
      <c r="X16" s="1355"/>
      <c r="Y16" s="372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8"/>
      <c r="Q17" s="1352" t="str">
        <f>B17</f>
        <v>交通便捷度</v>
      </c>
      <c r="R17" s="705" t="s">
        <v>18</v>
      </c>
      <c r="S17" s="706">
        <f>F17</f>
        <v>100</v>
      </c>
      <c r="T17" s="705" t="s">
        <v>18</v>
      </c>
      <c r="U17" s="706">
        <f>H17</f>
        <v>100</v>
      </c>
      <c r="V17" s="705" t="s">
        <v>18</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8"/>
      <c r="Q18" s="1352"/>
      <c r="R18" s="705"/>
      <c r="S18" s="706"/>
      <c r="T18" s="705"/>
      <c r="U18" s="706"/>
      <c r="V18" s="705"/>
      <c r="W18" s="706"/>
      <c r="X18" s="1355"/>
      <c r="Y18" s="372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8"/>
      <c r="Q19" s="1352" t="str">
        <f>B19</f>
        <v>公共配套设施</v>
      </c>
      <c r="R19" s="705" t="s">
        <v>18</v>
      </c>
      <c r="S19" s="706">
        <f>F19</f>
        <v>100</v>
      </c>
      <c r="T19" s="705" t="s">
        <v>18</v>
      </c>
      <c r="U19" s="706">
        <f>H19</f>
        <v>100</v>
      </c>
      <c r="V19" s="705" t="s">
        <v>18</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8"/>
      <c r="Q20" s="1352"/>
      <c r="R20" s="705"/>
      <c r="S20" s="706"/>
      <c r="T20" s="705"/>
      <c r="U20" s="706"/>
      <c r="V20" s="705"/>
      <c r="W20" s="706"/>
      <c r="X20" s="1355"/>
      <c r="Y20" s="372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8"/>
      <c r="Q22" s="1352"/>
      <c r="R22" s="705"/>
      <c r="S22" s="706"/>
      <c r="T22" s="705"/>
      <c r="U22" s="706"/>
      <c r="V22" s="705"/>
      <c r="W22" s="706"/>
      <c r="X22" s="1355"/>
      <c r="Y22" s="372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8"/>
      <c r="Q23" s="1352" t="str">
        <f>B23</f>
        <v>自然及人文环境</v>
      </c>
      <c r="R23" s="705" t="s">
        <v>18</v>
      </c>
      <c r="S23" s="706">
        <f>F23</f>
        <v>100</v>
      </c>
      <c r="T23" s="705" t="s">
        <v>18</v>
      </c>
      <c r="U23" s="706">
        <f>H23</f>
        <v>100</v>
      </c>
      <c r="V23" s="705" t="s">
        <v>18</v>
      </c>
      <c r="W23" s="706">
        <f>J23</f>
        <v>100</v>
      </c>
      <c r="X23" s="1355"/>
      <c r="Y23" s="372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8"/>
      <c r="Q24" s="1352"/>
      <c r="R24" s="705"/>
      <c r="S24" s="706"/>
      <c r="T24" s="705"/>
      <c r="U24" s="706"/>
      <c r="V24" s="705"/>
      <c r="W24" s="706"/>
      <c r="X24" s="1355"/>
      <c r="Y24" s="372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8"/>
      <c r="Q26" s="1352" t="str">
        <f t="shared" si="11"/>
        <v>朝向</v>
      </c>
      <c r="R26" s="705" t="s">
        <v>18</v>
      </c>
      <c r="S26" s="706">
        <f t="shared" si="12"/>
        <v>100</v>
      </c>
      <c r="T26" s="705" t="s">
        <v>18</v>
      </c>
      <c r="U26" s="706">
        <f t="shared" si="13"/>
        <v>100</v>
      </c>
      <c r="V26" s="705" t="s">
        <v>18</v>
      </c>
      <c r="W26" s="706">
        <f t="shared" si="14"/>
        <v>100</v>
      </c>
      <c r="X26" s="1355"/>
      <c r="Y26" s="372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8"/>
      <c r="Q27" s="1343">
        <f t="shared" si="11"/>
        <v>111</v>
      </c>
      <c r="R27" s="701" t="s">
        <v>18</v>
      </c>
      <c r="S27" s="702">
        <f t="shared" si="12"/>
        <v>100</v>
      </c>
      <c r="T27" s="701" t="s">
        <v>18</v>
      </c>
      <c r="U27" s="702">
        <f t="shared" si="13"/>
        <v>100</v>
      </c>
      <c r="V27" s="701" t="s">
        <v>18</v>
      </c>
      <c r="W27" s="702">
        <f t="shared" si="14"/>
        <v>100</v>
      </c>
      <c r="X27" s="703"/>
      <c r="Y27" s="372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8"/>
      <c r="Q28" s="1352">
        <f t="shared" si="11"/>
        <v>111</v>
      </c>
      <c r="R28" s="705" t="s">
        <v>18</v>
      </c>
      <c r="S28" s="706">
        <f t="shared" si="12"/>
        <v>100</v>
      </c>
      <c r="T28" s="705" t="s">
        <v>18</v>
      </c>
      <c r="U28" s="706">
        <f t="shared" si="13"/>
        <v>100</v>
      </c>
      <c r="V28" s="705" t="s">
        <v>18</v>
      </c>
      <c r="W28" s="706">
        <f t="shared" si="14"/>
        <v>100</v>
      </c>
      <c r="X28" s="1355"/>
      <c r="Y28" s="372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8"/>
      <c r="Q29" s="1352">
        <f t="shared" si="11"/>
        <v>111</v>
      </c>
      <c r="R29" s="705" t="s">
        <v>18</v>
      </c>
      <c r="S29" s="706">
        <f t="shared" si="12"/>
        <v>100</v>
      </c>
      <c r="T29" s="705" t="s">
        <v>18</v>
      </c>
      <c r="U29" s="706">
        <f t="shared" si="13"/>
        <v>100</v>
      </c>
      <c r="V29" s="705" t="s">
        <v>18</v>
      </c>
      <c r="W29" s="706">
        <f t="shared" si="14"/>
        <v>100</v>
      </c>
      <c r="X29" s="1355"/>
      <c r="Y29" s="372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8"/>
      <c r="Q30" s="1352">
        <f t="shared" si="11"/>
        <v>111</v>
      </c>
      <c r="R30" s="705" t="s">
        <v>18</v>
      </c>
      <c r="S30" s="706">
        <f t="shared" si="12"/>
        <v>100</v>
      </c>
      <c r="T30" s="705" t="s">
        <v>18</v>
      </c>
      <c r="U30" s="706">
        <f t="shared" si="13"/>
        <v>100</v>
      </c>
      <c r="V30" s="705" t="s">
        <v>18</v>
      </c>
      <c r="W30" s="706">
        <f t="shared" si="14"/>
        <v>100</v>
      </c>
      <c r="X30" s="1355"/>
      <c r="Y30" s="372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8"/>
      <c r="Q31" s="1352">
        <f t="shared" si="11"/>
        <v>111</v>
      </c>
      <c r="R31" s="705" t="s">
        <v>18</v>
      </c>
      <c r="S31" s="706">
        <f t="shared" si="12"/>
        <v>100</v>
      </c>
      <c r="T31" s="705" t="s">
        <v>18</v>
      </c>
      <c r="U31" s="706">
        <f t="shared" si="13"/>
        <v>100</v>
      </c>
      <c r="V31" s="705" t="s">
        <v>18</v>
      </c>
      <c r="W31" s="706">
        <f t="shared" si="14"/>
        <v>100</v>
      </c>
      <c r="X31" s="1355"/>
      <c r="Y31" s="372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2" t="s">
        <v>1696</v>
      </c>
      <c r="Q32" s="1352" t="str">
        <f t="shared" si="11"/>
        <v>建筑类型</v>
      </c>
      <c r="R32" s="705" t="s">
        <v>18</v>
      </c>
      <c r="S32" s="706">
        <f t="shared" si="12"/>
        <v>100</v>
      </c>
      <c r="T32" s="705" t="s">
        <v>18</v>
      </c>
      <c r="U32" s="706">
        <f t="shared" si="13"/>
        <v>100</v>
      </c>
      <c r="V32" s="705" t="s">
        <v>18</v>
      </c>
      <c r="W32" s="706">
        <f t="shared" si="14"/>
        <v>100</v>
      </c>
      <c r="X32" s="1355"/>
      <c r="Y32" s="372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3"/>
      <c r="Q33" s="707" t="str">
        <f t="shared" si="11"/>
        <v>项目建筑规模</v>
      </c>
      <c r="R33" s="708" t="s">
        <v>18</v>
      </c>
      <c r="S33" s="709" t="e">
        <f t="shared" si="12"/>
        <v>#N/A</v>
      </c>
      <c r="T33" s="708" t="s">
        <v>18</v>
      </c>
      <c r="U33" s="709" t="e">
        <f t="shared" si="13"/>
        <v>#N/A</v>
      </c>
      <c r="V33" s="708" t="s">
        <v>18</v>
      </c>
      <c r="W33" s="709" t="e">
        <f t="shared" si="14"/>
        <v>#N/A</v>
      </c>
      <c r="X33" s="710"/>
      <c r="Y33" s="372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3"/>
      <c r="Q34" s="1352" t="str">
        <f t="shared" si="11"/>
        <v>建筑结构</v>
      </c>
      <c r="R34" s="705" t="s">
        <v>18</v>
      </c>
      <c r="S34" s="706">
        <f t="shared" si="12"/>
        <v>100</v>
      </c>
      <c r="T34" s="705" t="s">
        <v>18</v>
      </c>
      <c r="U34" s="706">
        <f t="shared" si="13"/>
        <v>100</v>
      </c>
      <c r="V34" s="705" t="s">
        <v>18</v>
      </c>
      <c r="W34" s="706">
        <f t="shared" si="14"/>
        <v>100</v>
      </c>
      <c r="X34" s="1355"/>
      <c r="Y34" s="372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3"/>
      <c r="Q35" s="1352" t="str">
        <f t="shared" si="11"/>
        <v>建筑品质</v>
      </c>
      <c r="R35" s="705" t="s">
        <v>18</v>
      </c>
      <c r="S35" s="706">
        <f t="shared" si="12"/>
        <v>100</v>
      </c>
      <c r="T35" s="705" t="s">
        <v>18</v>
      </c>
      <c r="U35" s="706">
        <f t="shared" si="13"/>
        <v>100</v>
      </c>
      <c r="V35" s="705" t="s">
        <v>18</v>
      </c>
      <c r="W35" s="706">
        <f t="shared" si="14"/>
        <v>100</v>
      </c>
      <c r="X35" s="1355"/>
      <c r="Y35" s="372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3"/>
      <c r="Q36" s="1352" t="str">
        <f t="shared" si="11"/>
        <v>公共部分装修</v>
      </c>
      <c r="R36" s="705" t="s">
        <v>18</v>
      </c>
      <c r="S36" s="706">
        <f t="shared" si="12"/>
        <v>100</v>
      </c>
      <c r="T36" s="705" t="s">
        <v>18</v>
      </c>
      <c r="U36" s="706">
        <f t="shared" si="13"/>
        <v>100</v>
      </c>
      <c r="V36" s="705" t="s">
        <v>18</v>
      </c>
      <c r="W36" s="706">
        <f t="shared" si="14"/>
        <v>100</v>
      </c>
      <c r="X36" s="1355"/>
      <c r="Y36" s="372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3"/>
      <c r="Q37" s="1343" t="str">
        <f t="shared" si="11"/>
        <v>成新度</v>
      </c>
      <c r="R37" s="701" t="s">
        <v>18</v>
      </c>
      <c r="S37" s="702" t="e">
        <f t="shared" si="12"/>
        <v>#N/A</v>
      </c>
      <c r="T37" s="701" t="s">
        <v>18</v>
      </c>
      <c r="U37" s="702" t="e">
        <f t="shared" si="13"/>
        <v>#N/A</v>
      </c>
      <c r="V37" s="701" t="s">
        <v>18</v>
      </c>
      <c r="W37" s="702" t="e">
        <f t="shared" si="14"/>
        <v>#N/A</v>
      </c>
      <c r="X37" s="703"/>
      <c r="Y37" s="372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3" t="s">
        <v>1696</v>
      </c>
      <c r="Q38" s="1352" t="str">
        <f t="shared" si="11"/>
        <v>物业管理</v>
      </c>
      <c r="R38" s="705" t="s">
        <v>18</v>
      </c>
      <c r="S38" s="706">
        <f t="shared" si="12"/>
        <v>100</v>
      </c>
      <c r="T38" s="705" t="s">
        <v>18</v>
      </c>
      <c r="U38" s="706">
        <f t="shared" si="13"/>
        <v>100</v>
      </c>
      <c r="V38" s="705" t="s">
        <v>18</v>
      </c>
      <c r="W38" s="706">
        <f t="shared" si="14"/>
        <v>100</v>
      </c>
      <c r="X38" s="1355"/>
      <c r="Y38" s="372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3"/>
      <c r="Q39" s="1352" t="str">
        <f t="shared" si="11"/>
        <v>市政基础设施</v>
      </c>
      <c r="R39" s="705" t="s">
        <v>18</v>
      </c>
      <c r="S39" s="706">
        <f t="shared" si="12"/>
        <v>100</v>
      </c>
      <c r="T39" s="705" t="s">
        <v>18</v>
      </c>
      <c r="U39" s="706">
        <f t="shared" si="13"/>
        <v>100</v>
      </c>
      <c r="V39" s="705" t="s">
        <v>18</v>
      </c>
      <c r="W39" s="706">
        <f t="shared" si="14"/>
        <v>100</v>
      </c>
      <c r="X39" s="1355"/>
      <c r="Y39" s="372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3"/>
      <c r="Q40" s="1352" t="str">
        <f t="shared" si="11"/>
        <v>房型</v>
      </c>
      <c r="R40" s="705" t="s">
        <v>18</v>
      </c>
      <c r="S40" s="706">
        <f t="shared" si="12"/>
        <v>100</v>
      </c>
      <c r="T40" s="705" t="s">
        <v>18</v>
      </c>
      <c r="U40" s="706">
        <f t="shared" si="13"/>
        <v>100</v>
      </c>
      <c r="V40" s="705" t="s">
        <v>18</v>
      </c>
      <c r="W40" s="706">
        <f t="shared" si="14"/>
        <v>100</v>
      </c>
      <c r="X40" s="1355"/>
      <c r="Y40" s="372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3"/>
      <c r="Q41" s="707" t="str">
        <f t="shared" si="11"/>
        <v>单套/主力户型建筑面积</v>
      </c>
      <c r="R41" s="708" t="s">
        <v>18</v>
      </c>
      <c r="S41" s="709">
        <f t="shared" si="12"/>
        <v>100</v>
      </c>
      <c r="T41" s="708" t="s">
        <v>18</v>
      </c>
      <c r="U41" s="709">
        <f t="shared" si="13"/>
        <v>100</v>
      </c>
      <c r="V41" s="708" t="s">
        <v>18</v>
      </c>
      <c r="W41" s="709">
        <f t="shared" si="14"/>
        <v>100</v>
      </c>
      <c r="X41" s="710"/>
      <c r="Y41" s="372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3"/>
      <c r="Q42" s="1352" t="str">
        <f t="shared" si="11"/>
        <v>内部装修</v>
      </c>
      <c r="R42" s="705" t="s">
        <v>18</v>
      </c>
      <c r="S42" s="706">
        <f t="shared" si="12"/>
        <v>100</v>
      </c>
      <c r="T42" s="705" t="s">
        <v>18</v>
      </c>
      <c r="U42" s="706">
        <f t="shared" si="13"/>
        <v>100</v>
      </c>
      <c r="V42" s="705" t="s">
        <v>18</v>
      </c>
      <c r="W42" s="706">
        <f t="shared" si="14"/>
        <v>100</v>
      </c>
      <c r="X42" s="1355"/>
      <c r="Y42" s="372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3"/>
      <c r="Q43" s="1352" t="str">
        <f t="shared" si="11"/>
        <v>内部装修维护情况</v>
      </c>
      <c r="R43" s="705" t="s">
        <v>18</v>
      </c>
      <c r="S43" s="706">
        <f t="shared" si="12"/>
        <v>100</v>
      </c>
      <c r="T43" s="705" t="s">
        <v>18</v>
      </c>
      <c r="U43" s="706">
        <f t="shared" si="13"/>
        <v>100</v>
      </c>
      <c r="V43" s="705" t="s">
        <v>18</v>
      </c>
      <c r="W43" s="706">
        <f t="shared" si="14"/>
        <v>100</v>
      </c>
      <c r="X43" s="1355"/>
      <c r="Y43" s="372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3"/>
      <c r="Q44" s="1343">
        <f t="shared" si="11"/>
        <v>111</v>
      </c>
      <c r="R44" s="701" t="s">
        <v>18</v>
      </c>
      <c r="S44" s="702">
        <f t="shared" si="12"/>
        <v>100</v>
      </c>
      <c r="T44" s="701" t="s">
        <v>18</v>
      </c>
      <c r="U44" s="702">
        <f t="shared" si="13"/>
        <v>100</v>
      </c>
      <c r="V44" s="701" t="s">
        <v>18</v>
      </c>
      <c r="W44" s="702">
        <f t="shared" si="14"/>
        <v>100</v>
      </c>
      <c r="X44" s="703"/>
      <c r="Y44" s="372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3"/>
      <c r="Q45" s="1352">
        <f t="shared" si="11"/>
        <v>111</v>
      </c>
      <c r="R45" s="705" t="s">
        <v>18</v>
      </c>
      <c r="S45" s="706">
        <f t="shared" si="12"/>
        <v>100</v>
      </c>
      <c r="T45" s="705" t="s">
        <v>18</v>
      </c>
      <c r="U45" s="706">
        <f t="shared" si="13"/>
        <v>100</v>
      </c>
      <c r="V45" s="705" t="s">
        <v>18</v>
      </c>
      <c r="W45" s="706">
        <f t="shared" si="14"/>
        <v>100</v>
      </c>
      <c r="X45" s="1355"/>
      <c r="Y45" s="372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4"/>
      <c r="Q46" s="1352">
        <f t="shared" si="11"/>
        <v>111</v>
      </c>
      <c r="R46" s="705" t="s">
        <v>17</v>
      </c>
      <c r="S46" s="706">
        <f t="shared" si="12"/>
        <v>100</v>
      </c>
      <c r="T46" s="705" t="s">
        <v>17</v>
      </c>
      <c r="U46" s="706">
        <f t="shared" si="13"/>
        <v>100</v>
      </c>
      <c r="V46" s="705" t="s">
        <v>17</v>
      </c>
      <c r="W46" s="706">
        <f t="shared" si="14"/>
        <v>100</v>
      </c>
      <c r="X46" s="1355"/>
      <c r="Y46" s="372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8" t="str">
        <f>A47</f>
        <v>成交单价（元/平方米）</v>
      </c>
      <c r="Q47" s="3718"/>
      <c r="R47" s="3719">
        <f>E47</f>
        <v>0</v>
      </c>
      <c r="S47" s="3719"/>
      <c r="T47" s="3719">
        <f>G47</f>
        <v>0</v>
      </c>
      <c r="U47" s="3719"/>
      <c r="V47" s="3719">
        <f>I47</f>
        <v>0</v>
      </c>
      <c r="W47" s="371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H2" sqref="H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3407</v>
      </c>
      <c r="E1" s="3426" t="s">
        <v>3438</v>
      </c>
      <c r="F1" s="1879" t="s">
        <v>3437</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10629.2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713" t="s">
        <v>1772</v>
      </c>
      <c r="AC4" s="3683" t="s">
        <v>1773</v>
      </c>
    </row>
    <row r="5" spans="1:29"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713"/>
      <c r="AC5" s="3684"/>
    </row>
    <row r="6" spans="1:29" ht="15.75" thickBot="1">
      <c r="A6" s="360"/>
      <c r="B6" s="361"/>
      <c r="C6" s="3696" t="s">
        <v>1677</v>
      </c>
      <c r="D6" s="3697"/>
      <c r="E6" s="3698" t="s">
        <v>1677</v>
      </c>
      <c r="F6" s="3699"/>
      <c r="G6" s="3696" t="s">
        <v>1677</v>
      </c>
      <c r="H6" s="3697"/>
      <c r="I6" s="3696" t="s">
        <v>1677</v>
      </c>
      <c r="J6" s="3697"/>
      <c r="K6" s="559" t="s">
        <v>1678</v>
      </c>
      <c r="L6" s="2715"/>
      <c r="M6" s="2716"/>
      <c r="N6" s="2716"/>
      <c r="O6" s="2716"/>
      <c r="P6" s="3709"/>
      <c r="Q6" s="3710"/>
      <c r="R6" s="3690"/>
      <c r="S6" s="3691"/>
      <c r="T6" s="3711"/>
      <c r="U6" s="3712"/>
      <c r="V6" s="3713"/>
      <c r="W6" s="3713"/>
      <c r="X6" s="1355"/>
      <c r="Y6" s="3711"/>
      <c r="Z6" s="3712"/>
      <c r="AA6" s="3685"/>
      <c r="AB6" s="3713"/>
      <c r="AC6" s="3685"/>
    </row>
    <row r="7" spans="1:29" s="108" customFormat="1" ht="15.75" thickBot="1">
      <c r="A7" s="362" t="s">
        <v>1679</v>
      </c>
      <c r="B7" s="363"/>
      <c r="C7" s="364">
        <f>'数据-取费表'!B2</f>
        <v>45252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6" t="s">
        <v>1683</v>
      </c>
      <c r="Q8" s="3687"/>
      <c r="R8" s="701" t="s">
        <v>14</v>
      </c>
      <c r="S8" s="702">
        <f t="shared" si="0"/>
        <v>100</v>
      </c>
      <c r="T8" s="701" t="s">
        <v>14</v>
      </c>
      <c r="U8" s="702">
        <f t="shared" si="1"/>
        <v>100</v>
      </c>
      <c r="V8" s="701" t="s">
        <v>14</v>
      </c>
      <c r="W8" s="702">
        <f t="shared" si="2"/>
        <v>100</v>
      </c>
      <c r="X8" s="703"/>
      <c r="Y8" s="3686" t="s">
        <v>1683</v>
      </c>
      <c r="Z8" s="368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0"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0"/>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0"/>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7" t="s">
        <v>1691</v>
      </c>
      <c r="Q15" s="1352" t="str">
        <f t="shared" si="6"/>
        <v>商业繁华度</v>
      </c>
      <c r="R15" s="705" t="s">
        <v>14</v>
      </c>
      <c r="S15" s="706">
        <f t="shared" si="0"/>
        <v>100</v>
      </c>
      <c r="T15" s="705" t="s">
        <v>14</v>
      </c>
      <c r="U15" s="706">
        <f t="shared" si="1"/>
        <v>100</v>
      </c>
      <c r="V15" s="705" t="s">
        <v>14</v>
      </c>
      <c r="W15" s="706">
        <f t="shared" si="2"/>
        <v>100</v>
      </c>
      <c r="X15" s="1355"/>
      <c r="Y15" s="372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8"/>
      <c r="Q16" s="1352"/>
      <c r="R16" s="705"/>
      <c r="S16" s="706"/>
      <c r="T16" s="705"/>
      <c r="U16" s="706"/>
      <c r="V16" s="705"/>
      <c r="W16" s="706"/>
      <c r="X16" s="1355"/>
      <c r="Y16" s="372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8"/>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8"/>
      <c r="Q18" s="1352"/>
      <c r="R18" s="705"/>
      <c r="S18" s="706"/>
      <c r="T18" s="705"/>
      <c r="U18" s="706"/>
      <c r="V18" s="705"/>
      <c r="W18" s="706"/>
      <c r="X18" s="1355"/>
      <c r="Y18" s="372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8"/>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8"/>
      <c r="Q20" s="1352"/>
      <c r="R20" s="705"/>
      <c r="S20" s="706"/>
      <c r="T20" s="705"/>
      <c r="U20" s="706"/>
      <c r="V20" s="705"/>
      <c r="W20" s="706"/>
      <c r="X20" s="1355"/>
      <c r="Y20" s="372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8"/>
      <c r="Q22" s="1352"/>
      <c r="R22" s="705"/>
      <c r="S22" s="706"/>
      <c r="T22" s="705"/>
      <c r="U22" s="706"/>
      <c r="V22" s="705"/>
      <c r="W22" s="706"/>
      <c r="X22" s="1355"/>
      <c r="Y22" s="372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8"/>
      <c r="Q23" s="1352" t="str">
        <f>B23</f>
        <v>自然及人文环境</v>
      </c>
      <c r="R23" s="705" t="s">
        <v>14</v>
      </c>
      <c r="S23" s="706">
        <f>F23</f>
        <v>100</v>
      </c>
      <c r="T23" s="705" t="s">
        <v>14</v>
      </c>
      <c r="U23" s="706">
        <f>H23</f>
        <v>100</v>
      </c>
      <c r="V23" s="705" t="s">
        <v>14</v>
      </c>
      <c r="W23" s="706">
        <f>J23</f>
        <v>100</v>
      </c>
      <c r="X23" s="1355"/>
      <c r="Y23" s="372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8"/>
      <c r="Q24" s="1352"/>
      <c r="R24" s="705"/>
      <c r="S24" s="706"/>
      <c r="T24" s="705"/>
      <c r="U24" s="706"/>
      <c r="V24" s="705"/>
      <c r="W24" s="706"/>
      <c r="X24" s="1355"/>
      <c r="Y24" s="372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8"/>
      <c r="Q25" s="1352" t="str">
        <f t="shared" ref="Q25:Q46" si="11">B25</f>
        <v>临街状况</v>
      </c>
      <c r="R25" s="705" t="s">
        <v>14</v>
      </c>
      <c r="S25" s="706">
        <f>F25</f>
        <v>100</v>
      </c>
      <c r="T25" s="705" t="s">
        <v>14</v>
      </c>
      <c r="U25" s="706">
        <f>H25</f>
        <v>100</v>
      </c>
      <c r="V25" s="705" t="s">
        <v>14</v>
      </c>
      <c r="W25" s="706">
        <f>J25</f>
        <v>100</v>
      </c>
      <c r="X25" s="1355"/>
      <c r="Y25" s="372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8"/>
      <c r="Q26" s="1352" t="str">
        <f t="shared" si="11"/>
        <v>平面位置/可视性</v>
      </c>
      <c r="R26" s="705" t="s">
        <v>14</v>
      </c>
      <c r="S26" s="706">
        <f>F26</f>
        <v>100</v>
      </c>
      <c r="T26" s="705" t="s">
        <v>14</v>
      </c>
      <c r="U26" s="706">
        <f>H26</f>
        <v>100</v>
      </c>
      <c r="V26" s="705" t="s">
        <v>14</v>
      </c>
      <c r="W26" s="706">
        <f>J26</f>
        <v>100</v>
      </c>
      <c r="X26" s="1355"/>
      <c r="Y26" s="372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8"/>
      <c r="Q27" s="1343" t="str">
        <f t="shared" si="11"/>
        <v>人流量</v>
      </c>
      <c r="R27" s="701" t="s">
        <v>14</v>
      </c>
      <c r="S27" s="702">
        <f>F27</f>
        <v>100</v>
      </c>
      <c r="T27" s="701" t="s">
        <v>14</v>
      </c>
      <c r="U27" s="702">
        <f>H27</f>
        <v>100</v>
      </c>
      <c r="V27" s="701" t="s">
        <v>14</v>
      </c>
      <c r="W27" s="702">
        <f>J27</f>
        <v>100</v>
      </c>
      <c r="X27" s="703"/>
      <c r="Y27" s="372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8"/>
      <c r="Q29" s="1352">
        <f t="shared" si="11"/>
        <v>111</v>
      </c>
      <c r="R29" s="705" t="s">
        <v>14</v>
      </c>
      <c r="S29" s="706">
        <f t="shared" si="12"/>
        <v>100</v>
      </c>
      <c r="T29" s="705" t="s">
        <v>14</v>
      </c>
      <c r="U29" s="706">
        <f t="shared" si="13"/>
        <v>100</v>
      </c>
      <c r="V29" s="705" t="s">
        <v>14</v>
      </c>
      <c r="W29" s="706">
        <f t="shared" si="14"/>
        <v>100</v>
      </c>
      <c r="X29" s="1355"/>
      <c r="Y29" s="372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8"/>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8"/>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2" t="s">
        <v>1696</v>
      </c>
      <c r="Q32" s="1352" t="str">
        <f t="shared" si="11"/>
        <v>商业类型</v>
      </c>
      <c r="R32" s="705" t="s">
        <v>14</v>
      </c>
      <c r="S32" s="706">
        <f t="shared" si="12"/>
        <v>100</v>
      </c>
      <c r="T32" s="705" t="s">
        <v>14</v>
      </c>
      <c r="U32" s="706">
        <f t="shared" si="13"/>
        <v>100</v>
      </c>
      <c r="V32" s="705" t="s">
        <v>14</v>
      </c>
      <c r="W32" s="706">
        <f t="shared" si="14"/>
        <v>100</v>
      </c>
      <c r="X32" s="1355"/>
      <c r="Y32" s="372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3"/>
      <c r="Q33" s="707" t="str">
        <f t="shared" si="11"/>
        <v>项目建筑规模</v>
      </c>
      <c r="R33" s="708" t="s">
        <v>14</v>
      </c>
      <c r="S33" s="709" t="e">
        <f t="shared" si="12"/>
        <v>#N/A</v>
      </c>
      <c r="T33" s="708" t="s">
        <v>14</v>
      </c>
      <c r="U33" s="709" t="e">
        <f t="shared" si="13"/>
        <v>#N/A</v>
      </c>
      <c r="V33" s="708" t="s">
        <v>14</v>
      </c>
      <c r="W33" s="709" t="e">
        <f t="shared" si="14"/>
        <v>#N/A</v>
      </c>
      <c r="X33" s="710"/>
      <c r="Y33" s="372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3"/>
      <c r="Q34" s="1352" t="str">
        <f t="shared" si="11"/>
        <v>建筑结构</v>
      </c>
      <c r="R34" s="705" t="s">
        <v>14</v>
      </c>
      <c r="S34" s="706">
        <f t="shared" si="12"/>
        <v>100</v>
      </c>
      <c r="T34" s="705" t="s">
        <v>14</v>
      </c>
      <c r="U34" s="706">
        <f t="shared" si="13"/>
        <v>100</v>
      </c>
      <c r="V34" s="705" t="s">
        <v>14</v>
      </c>
      <c r="W34" s="706">
        <f t="shared" si="14"/>
        <v>100</v>
      </c>
      <c r="X34" s="1355"/>
      <c r="Y34" s="372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3"/>
      <c r="Q35" s="1352" t="str">
        <f t="shared" si="11"/>
        <v>公共部分装修</v>
      </c>
      <c r="R35" s="705" t="s">
        <v>14</v>
      </c>
      <c r="S35" s="706">
        <f t="shared" si="12"/>
        <v>100</v>
      </c>
      <c r="T35" s="705" t="s">
        <v>14</v>
      </c>
      <c r="U35" s="706">
        <f t="shared" si="13"/>
        <v>100</v>
      </c>
      <c r="V35" s="705" t="s">
        <v>14</v>
      </c>
      <c r="W35" s="706">
        <f t="shared" si="14"/>
        <v>100</v>
      </c>
      <c r="X35" s="1355"/>
      <c r="Y35" s="372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3"/>
      <c r="Q36" s="1352" t="str">
        <f t="shared" si="11"/>
        <v>成新度</v>
      </c>
      <c r="R36" s="705" t="s">
        <v>14</v>
      </c>
      <c r="S36" s="706" t="e">
        <f t="shared" si="12"/>
        <v>#N/A</v>
      </c>
      <c r="T36" s="705" t="s">
        <v>14</v>
      </c>
      <c r="U36" s="706" t="e">
        <f t="shared" si="13"/>
        <v>#N/A</v>
      </c>
      <c r="V36" s="705" t="s">
        <v>14</v>
      </c>
      <c r="W36" s="706" t="e">
        <f t="shared" si="14"/>
        <v>#N/A</v>
      </c>
      <c r="X36" s="1355"/>
      <c r="Y36" s="372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3"/>
      <c r="Q37" s="1343" t="str">
        <f t="shared" si="11"/>
        <v>市政基础设施</v>
      </c>
      <c r="R37" s="701" t="s">
        <v>14</v>
      </c>
      <c r="S37" s="702">
        <f t="shared" si="12"/>
        <v>100</v>
      </c>
      <c r="T37" s="701" t="s">
        <v>14</v>
      </c>
      <c r="U37" s="702">
        <f t="shared" si="13"/>
        <v>100</v>
      </c>
      <c r="V37" s="701" t="s">
        <v>14</v>
      </c>
      <c r="W37" s="702">
        <f t="shared" si="14"/>
        <v>100</v>
      </c>
      <c r="X37" s="703"/>
      <c r="Y37" s="372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3" t="s">
        <v>1696</v>
      </c>
      <c r="Q38" s="1352" t="str">
        <f t="shared" si="11"/>
        <v>业态</v>
      </c>
      <c r="R38" s="705" t="s">
        <v>14</v>
      </c>
      <c r="S38" s="706">
        <f t="shared" si="12"/>
        <v>100</v>
      </c>
      <c r="T38" s="705" t="s">
        <v>14</v>
      </c>
      <c r="U38" s="706">
        <f t="shared" si="13"/>
        <v>100</v>
      </c>
      <c r="V38" s="705" t="s">
        <v>14</v>
      </c>
      <c r="W38" s="706">
        <f t="shared" si="14"/>
        <v>100</v>
      </c>
      <c r="X38" s="1355"/>
      <c r="Y38" s="372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3"/>
      <c r="Q39" s="1352" t="str">
        <f t="shared" si="11"/>
        <v>层高</v>
      </c>
      <c r="R39" s="705" t="s">
        <v>14</v>
      </c>
      <c r="S39" s="706">
        <f t="shared" si="12"/>
        <v>100</v>
      </c>
      <c r="T39" s="705" t="s">
        <v>14</v>
      </c>
      <c r="U39" s="706">
        <f t="shared" si="13"/>
        <v>100</v>
      </c>
      <c r="V39" s="705" t="s">
        <v>14</v>
      </c>
      <c r="W39" s="706">
        <f t="shared" si="14"/>
        <v>100</v>
      </c>
      <c r="X39" s="1355"/>
      <c r="Y39" s="372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3"/>
      <c r="Q40" s="1352" t="str">
        <f t="shared" si="11"/>
        <v>单套建筑面积</v>
      </c>
      <c r="R40" s="705" t="s">
        <v>14</v>
      </c>
      <c r="S40" s="706">
        <f t="shared" si="12"/>
        <v>100</v>
      </c>
      <c r="T40" s="705" t="s">
        <v>14</v>
      </c>
      <c r="U40" s="706">
        <f t="shared" si="13"/>
        <v>100</v>
      </c>
      <c r="V40" s="705" t="s">
        <v>14</v>
      </c>
      <c r="W40" s="706">
        <f t="shared" si="14"/>
        <v>100</v>
      </c>
      <c r="X40" s="1355"/>
      <c r="Y40" s="372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3"/>
      <c r="Q41" s="707" t="str">
        <f t="shared" si="11"/>
        <v>进深比</v>
      </c>
      <c r="R41" s="708" t="s">
        <v>14</v>
      </c>
      <c r="S41" s="709">
        <f t="shared" si="12"/>
        <v>100</v>
      </c>
      <c r="T41" s="708" t="s">
        <v>14</v>
      </c>
      <c r="U41" s="709">
        <f t="shared" si="13"/>
        <v>100</v>
      </c>
      <c r="V41" s="708" t="s">
        <v>14</v>
      </c>
      <c r="W41" s="709">
        <f t="shared" si="14"/>
        <v>100</v>
      </c>
      <c r="X41" s="710"/>
      <c r="Y41" s="372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3"/>
      <c r="Q42" s="1352" t="str">
        <f t="shared" si="11"/>
        <v>内部装修</v>
      </c>
      <c r="R42" s="705" t="s">
        <v>14</v>
      </c>
      <c r="S42" s="706">
        <f t="shared" si="12"/>
        <v>100</v>
      </c>
      <c r="T42" s="705" t="s">
        <v>14</v>
      </c>
      <c r="U42" s="706">
        <f t="shared" si="13"/>
        <v>100</v>
      </c>
      <c r="V42" s="705" t="s">
        <v>14</v>
      </c>
      <c r="W42" s="706">
        <f t="shared" si="14"/>
        <v>100</v>
      </c>
      <c r="X42" s="1355"/>
      <c r="Y42" s="372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3"/>
      <c r="Q43" s="1352" t="str">
        <f t="shared" si="11"/>
        <v>内部装修维护情况</v>
      </c>
      <c r="R43" s="705" t="s">
        <v>14</v>
      </c>
      <c r="S43" s="706">
        <f t="shared" si="12"/>
        <v>100</v>
      </c>
      <c r="T43" s="705" t="s">
        <v>14</v>
      </c>
      <c r="U43" s="706">
        <f t="shared" si="13"/>
        <v>100</v>
      </c>
      <c r="V43" s="705" t="s">
        <v>14</v>
      </c>
      <c r="W43" s="706">
        <f t="shared" si="14"/>
        <v>100</v>
      </c>
      <c r="X43" s="1355"/>
      <c r="Y43" s="372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3"/>
      <c r="Q44" s="1343">
        <f t="shared" si="11"/>
        <v>111</v>
      </c>
      <c r="R44" s="701" t="s">
        <v>14</v>
      </c>
      <c r="S44" s="702">
        <f t="shared" si="12"/>
        <v>100</v>
      </c>
      <c r="T44" s="701" t="s">
        <v>14</v>
      </c>
      <c r="U44" s="702">
        <f t="shared" si="13"/>
        <v>100</v>
      </c>
      <c r="V44" s="701" t="s">
        <v>14</v>
      </c>
      <c r="W44" s="702">
        <f t="shared" si="14"/>
        <v>100</v>
      </c>
      <c r="X44" s="703"/>
      <c r="Y44" s="372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3"/>
      <c r="Q45" s="1352">
        <f t="shared" si="11"/>
        <v>111</v>
      </c>
      <c r="R45" s="705" t="s">
        <v>14</v>
      </c>
      <c r="S45" s="706">
        <f t="shared" si="12"/>
        <v>100</v>
      </c>
      <c r="T45" s="705" t="s">
        <v>14</v>
      </c>
      <c r="U45" s="706">
        <f t="shared" si="13"/>
        <v>100</v>
      </c>
      <c r="V45" s="705" t="s">
        <v>14</v>
      </c>
      <c r="W45" s="706">
        <f t="shared" si="14"/>
        <v>100</v>
      </c>
      <c r="X45" s="1355"/>
      <c r="Y45" s="372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4"/>
      <c r="Q46" s="1352">
        <f t="shared" si="11"/>
        <v>111</v>
      </c>
      <c r="R46" s="705" t="s">
        <v>14</v>
      </c>
      <c r="S46" s="706">
        <f t="shared" si="12"/>
        <v>100</v>
      </c>
      <c r="T46" s="705" t="s">
        <v>14</v>
      </c>
      <c r="U46" s="706">
        <f t="shared" si="13"/>
        <v>100</v>
      </c>
      <c r="V46" s="705" t="s">
        <v>14</v>
      </c>
      <c r="W46" s="706">
        <f t="shared" si="14"/>
        <v>100</v>
      </c>
      <c r="X46" s="1355"/>
      <c r="Y46" s="372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8" t="str">
        <f>A47</f>
        <v>成交单价（元/平方米）</v>
      </c>
      <c r="Q47" s="3718"/>
      <c r="R47" s="3713">
        <f>E47</f>
        <v>0</v>
      </c>
      <c r="S47" s="3713"/>
      <c r="T47" s="3713">
        <f>G47</f>
        <v>0</v>
      </c>
      <c r="U47" s="3713"/>
      <c r="V47" s="3713">
        <f>I47</f>
        <v>0</v>
      </c>
      <c r="W47" s="371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估价对象为北京市房地产，为所有。根据《国有土地使用证》[]，估价对象（分摊）出让国有建设用地使用权面积为9500平方米，建筑面积为10629.2平方米。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估价对象为北京市房地产,属开发建设的，该项目尚在开发建设中。根据《国有土地使用证》[]，估价对象（分摊）出让国有建设用地使用权面积为9500平方米，规划建筑面积为10629.2平方米。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7" sqref="M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10629.2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35" t="s">
        <v>1775</v>
      </c>
      <c r="Q4" s="3736"/>
      <c r="R4" s="3730" t="s">
        <v>1771</v>
      </c>
      <c r="S4" s="3731"/>
      <c r="T4" s="3730" t="s">
        <v>1772</v>
      </c>
      <c r="U4" s="3731"/>
      <c r="V4" s="3739" t="s">
        <v>1773</v>
      </c>
      <c r="W4" s="3739"/>
      <c r="X4" s="1958"/>
      <c r="Y4" s="3730" t="s">
        <v>1775</v>
      </c>
      <c r="Z4" s="3731"/>
      <c r="AA4" s="3729" t="s">
        <v>1771</v>
      </c>
      <c r="AB4" s="3729" t="s">
        <v>1772</v>
      </c>
      <c r="AC4" s="3732" t="s">
        <v>1773</v>
      </c>
    </row>
    <row r="5" spans="1:29" ht="15">
      <c r="A5" s="358"/>
      <c r="B5" s="359"/>
      <c r="C5" s="3694" t="s">
        <v>1673</v>
      </c>
      <c r="D5" s="3695"/>
      <c r="E5" s="3692" t="s">
        <v>1674</v>
      </c>
      <c r="F5" s="3693"/>
      <c r="G5" s="3694" t="s">
        <v>1675</v>
      </c>
      <c r="H5" s="3695"/>
      <c r="I5" s="3694" t="s">
        <v>1676</v>
      </c>
      <c r="J5" s="3695"/>
      <c r="K5" s="559"/>
      <c r="L5" s="2715"/>
      <c r="M5" s="2716"/>
      <c r="N5" s="2716"/>
      <c r="O5" s="2716"/>
      <c r="P5" s="3737"/>
      <c r="Q5" s="3708"/>
      <c r="R5" s="3690"/>
      <c r="S5" s="3691"/>
      <c r="T5" s="3690"/>
      <c r="U5" s="3691"/>
      <c r="V5" s="3713"/>
      <c r="W5" s="3713"/>
      <c r="X5" s="1355"/>
      <c r="Y5" s="3690"/>
      <c r="Z5" s="3691"/>
      <c r="AA5" s="3684"/>
      <c r="AB5" s="3684"/>
      <c r="AC5" s="3733"/>
    </row>
    <row r="6" spans="1:29" ht="15.75" thickBot="1">
      <c r="A6" s="360"/>
      <c r="B6" s="361"/>
      <c r="C6" s="3696" t="s">
        <v>1677</v>
      </c>
      <c r="D6" s="3697"/>
      <c r="E6" s="3698" t="s">
        <v>1677</v>
      </c>
      <c r="F6" s="3699"/>
      <c r="G6" s="3696" t="s">
        <v>1677</v>
      </c>
      <c r="H6" s="3697"/>
      <c r="I6" s="3696" t="s">
        <v>1677</v>
      </c>
      <c r="J6" s="3697"/>
      <c r="K6" s="559" t="s">
        <v>1678</v>
      </c>
      <c r="L6" s="2715"/>
      <c r="M6" s="2716"/>
      <c r="N6" s="2716"/>
      <c r="O6" s="2716"/>
      <c r="P6" s="3738"/>
      <c r="Q6" s="3710"/>
      <c r="R6" s="3690"/>
      <c r="S6" s="3691"/>
      <c r="T6" s="3711"/>
      <c r="U6" s="3712"/>
      <c r="V6" s="3713"/>
      <c r="W6" s="3713"/>
      <c r="X6" s="1355"/>
      <c r="Y6" s="3711"/>
      <c r="Z6" s="3712"/>
      <c r="AA6" s="3685"/>
      <c r="AB6" s="3685"/>
      <c r="AC6" s="3734"/>
    </row>
    <row r="7" spans="1:29" s="108" customFormat="1" ht="15.75" thickBot="1">
      <c r="A7" s="362" t="s">
        <v>1679</v>
      </c>
      <c r="B7" s="363"/>
      <c r="C7" s="364">
        <f>'数据-取费表'!B2</f>
        <v>45252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0"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0" t="s">
        <v>1683</v>
      </c>
      <c r="Q8" s="3687"/>
      <c r="R8" s="701" t="s">
        <v>14</v>
      </c>
      <c r="S8" s="702">
        <f t="shared" si="0"/>
        <v>100</v>
      </c>
      <c r="T8" s="701" t="s">
        <v>14</v>
      </c>
      <c r="U8" s="702">
        <f t="shared" si="1"/>
        <v>100</v>
      </c>
      <c r="V8" s="701" t="s">
        <v>14</v>
      </c>
      <c r="W8" s="702">
        <f t="shared" si="2"/>
        <v>100</v>
      </c>
      <c r="X8" s="703"/>
      <c r="Y8" s="3686" t="s">
        <v>1683</v>
      </c>
      <c r="Z8" s="368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0"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0"/>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0"/>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7" t="s">
        <v>1691</v>
      </c>
      <c r="Q15" s="1352" t="str">
        <f t="shared" si="6"/>
        <v>办公集聚程度</v>
      </c>
      <c r="R15" s="705" t="s">
        <v>14</v>
      </c>
      <c r="S15" s="706">
        <f t="shared" si="0"/>
        <v>100</v>
      </c>
      <c r="T15" s="705" t="s">
        <v>14</v>
      </c>
      <c r="U15" s="706">
        <f t="shared" si="1"/>
        <v>100</v>
      </c>
      <c r="V15" s="705" t="s">
        <v>14</v>
      </c>
      <c r="W15" s="706">
        <f t="shared" si="2"/>
        <v>100</v>
      </c>
      <c r="X15" s="1355"/>
      <c r="Y15" s="372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8"/>
      <c r="Q16" s="1352"/>
      <c r="R16" s="705"/>
      <c r="S16" s="706"/>
      <c r="T16" s="705"/>
      <c r="U16" s="706"/>
      <c r="V16" s="705"/>
      <c r="W16" s="706"/>
      <c r="X16" s="1355"/>
      <c r="Y16" s="372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8"/>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8"/>
      <c r="Q18" s="1352"/>
      <c r="R18" s="705"/>
      <c r="S18" s="706"/>
      <c r="T18" s="705"/>
      <c r="U18" s="706"/>
      <c r="V18" s="705"/>
      <c r="W18" s="706"/>
      <c r="X18" s="1355"/>
      <c r="Y18" s="372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8"/>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8"/>
      <c r="Q20" s="1352"/>
      <c r="R20" s="705"/>
      <c r="S20" s="706"/>
      <c r="T20" s="705"/>
      <c r="U20" s="706"/>
      <c r="V20" s="705"/>
      <c r="W20" s="706"/>
      <c r="X20" s="1355"/>
      <c r="Y20" s="372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8"/>
      <c r="Q22" s="1352"/>
      <c r="R22" s="705"/>
      <c r="S22" s="706"/>
      <c r="T22" s="705"/>
      <c r="U22" s="706"/>
      <c r="V22" s="705"/>
      <c r="W22" s="706"/>
      <c r="X22" s="1355"/>
      <c r="Y22" s="372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8"/>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8"/>
      <c r="Q24" s="1352"/>
      <c r="R24" s="705"/>
      <c r="S24" s="706"/>
      <c r="T24" s="705"/>
      <c r="U24" s="706"/>
      <c r="V24" s="705"/>
      <c r="W24" s="706"/>
      <c r="X24" s="1355"/>
      <c r="Y24" s="372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8"/>
      <c r="Q25" s="1352" t="str">
        <f>B25</f>
        <v>毗邻道路的类型与等级</v>
      </c>
      <c r="R25" s="705" t="s">
        <v>14</v>
      </c>
      <c r="S25" s="706">
        <f>F25</f>
        <v>100</v>
      </c>
      <c r="T25" s="705" t="s">
        <v>14</v>
      </c>
      <c r="U25" s="706">
        <f>H25</f>
        <v>100</v>
      </c>
      <c r="V25" s="705" t="s">
        <v>14</v>
      </c>
      <c r="W25" s="706">
        <f>J25</f>
        <v>100</v>
      </c>
      <c r="X25" s="1355"/>
      <c r="Y25" s="372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8"/>
      <c r="Q26" s="1352"/>
      <c r="R26" s="705"/>
      <c r="S26" s="706"/>
      <c r="T26" s="705"/>
      <c r="U26" s="706"/>
      <c r="V26" s="705"/>
      <c r="W26" s="706"/>
      <c r="X26" s="1355"/>
      <c r="Y26" s="372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8"/>
      <c r="Q27" s="1352" t="str">
        <f t="shared" ref="Q27:Q47" si="11">B27</f>
        <v>楼层</v>
      </c>
      <c r="R27" s="705" t="s">
        <v>14</v>
      </c>
      <c r="S27" s="706">
        <f>F27</f>
        <v>100</v>
      </c>
      <c r="T27" s="705" t="s">
        <v>14</v>
      </c>
      <c r="U27" s="706">
        <f>H27</f>
        <v>100</v>
      </c>
      <c r="V27" s="705" t="s">
        <v>14</v>
      </c>
      <c r="W27" s="706">
        <f>J27</f>
        <v>100</v>
      </c>
      <c r="X27" s="1355"/>
      <c r="Y27" s="372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8"/>
      <c r="Q28" s="1343" t="str">
        <f t="shared" si="11"/>
        <v>朝向</v>
      </c>
      <c r="R28" s="701" t="s">
        <v>14</v>
      </c>
      <c r="S28" s="702">
        <f>F28</f>
        <v>100</v>
      </c>
      <c r="T28" s="701" t="s">
        <v>14</v>
      </c>
      <c r="U28" s="702">
        <f>H28</f>
        <v>100</v>
      </c>
      <c r="V28" s="701" t="s">
        <v>14</v>
      </c>
      <c r="W28" s="702">
        <f>J28</f>
        <v>100</v>
      </c>
      <c r="X28" s="703"/>
      <c r="Y28" s="372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8"/>
      <c r="Q29" s="1352">
        <f t="shared" si="11"/>
        <v>111</v>
      </c>
      <c r="R29" s="705" t="s">
        <v>14</v>
      </c>
      <c r="S29" s="706">
        <f t="shared" ref="S29:S47" si="12">F29</f>
        <v>100</v>
      </c>
      <c r="T29" s="705" t="s">
        <v>14</v>
      </c>
      <c r="U29" s="706">
        <f t="shared" ref="U29:U47" si="13">H29</f>
        <v>100</v>
      </c>
      <c r="V29" s="705" t="s">
        <v>14</v>
      </c>
      <c r="W29" s="706">
        <f t="shared" ref="W29:W47" si="14">J29</f>
        <v>100</v>
      </c>
      <c r="X29" s="1355"/>
      <c r="Y29" s="372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8"/>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8"/>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8"/>
      <c r="Q32" s="1352">
        <f t="shared" si="11"/>
        <v>111</v>
      </c>
      <c r="R32" s="705" t="s">
        <v>14</v>
      </c>
      <c r="S32" s="706">
        <f t="shared" si="12"/>
        <v>100</v>
      </c>
      <c r="T32" s="705" t="s">
        <v>14</v>
      </c>
      <c r="U32" s="706">
        <f t="shared" si="13"/>
        <v>100</v>
      </c>
      <c r="V32" s="705" t="s">
        <v>14</v>
      </c>
      <c r="W32" s="706">
        <f t="shared" si="14"/>
        <v>100</v>
      </c>
      <c r="X32" s="1355"/>
      <c r="Y32" s="372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2" t="s">
        <v>1696</v>
      </c>
      <c r="Q33" s="1352" t="str">
        <f t="shared" si="11"/>
        <v>建筑类型</v>
      </c>
      <c r="R33" s="705" t="s">
        <v>14</v>
      </c>
      <c r="S33" s="706">
        <f t="shared" si="12"/>
        <v>100</v>
      </c>
      <c r="T33" s="705" t="s">
        <v>14</v>
      </c>
      <c r="U33" s="706">
        <f t="shared" si="13"/>
        <v>100</v>
      </c>
      <c r="V33" s="705" t="s">
        <v>14</v>
      </c>
      <c r="W33" s="706">
        <f t="shared" si="14"/>
        <v>100</v>
      </c>
      <c r="X33" s="1355"/>
      <c r="Y33" s="372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3"/>
      <c r="Q34" s="707" t="str">
        <f t="shared" si="11"/>
        <v>项目建筑规模</v>
      </c>
      <c r="R34" s="708" t="s">
        <v>14</v>
      </c>
      <c r="S34" s="709" t="e">
        <f t="shared" si="12"/>
        <v>#N/A</v>
      </c>
      <c r="T34" s="708" t="s">
        <v>14</v>
      </c>
      <c r="U34" s="709" t="e">
        <f t="shared" si="13"/>
        <v>#N/A</v>
      </c>
      <c r="V34" s="708" t="s">
        <v>14</v>
      </c>
      <c r="W34" s="709" t="e">
        <f t="shared" si="14"/>
        <v>#N/A</v>
      </c>
      <c r="X34" s="710"/>
      <c r="Y34" s="372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3"/>
      <c r="Q35" s="1352" t="str">
        <f t="shared" si="11"/>
        <v>建筑结构</v>
      </c>
      <c r="R35" s="705" t="s">
        <v>14</v>
      </c>
      <c r="S35" s="706">
        <f t="shared" si="12"/>
        <v>100</v>
      </c>
      <c r="T35" s="705" t="s">
        <v>14</v>
      </c>
      <c r="U35" s="706">
        <f t="shared" si="13"/>
        <v>100</v>
      </c>
      <c r="V35" s="705" t="s">
        <v>14</v>
      </c>
      <c r="W35" s="706">
        <f t="shared" si="14"/>
        <v>100</v>
      </c>
      <c r="X35" s="1355"/>
      <c r="Y35" s="372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3"/>
      <c r="Q36" s="1352" t="str">
        <f t="shared" si="11"/>
        <v>公共部分装修</v>
      </c>
      <c r="R36" s="705" t="s">
        <v>14</v>
      </c>
      <c r="S36" s="706">
        <f t="shared" si="12"/>
        <v>100</v>
      </c>
      <c r="T36" s="705" t="s">
        <v>14</v>
      </c>
      <c r="U36" s="706">
        <f t="shared" si="13"/>
        <v>100</v>
      </c>
      <c r="V36" s="705" t="s">
        <v>14</v>
      </c>
      <c r="W36" s="706">
        <f t="shared" si="14"/>
        <v>100</v>
      </c>
      <c r="X36" s="1355"/>
      <c r="Y36" s="372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3"/>
      <c r="Q37" s="1352" t="str">
        <f t="shared" si="11"/>
        <v>成新度</v>
      </c>
      <c r="R37" s="705" t="s">
        <v>14</v>
      </c>
      <c r="S37" s="706" t="e">
        <f t="shared" si="12"/>
        <v>#N/A</v>
      </c>
      <c r="T37" s="705" t="s">
        <v>14</v>
      </c>
      <c r="U37" s="706" t="e">
        <f t="shared" si="13"/>
        <v>#N/A</v>
      </c>
      <c r="V37" s="705" t="s">
        <v>14</v>
      </c>
      <c r="W37" s="706" t="e">
        <f t="shared" si="14"/>
        <v>#N/A</v>
      </c>
      <c r="X37" s="1355"/>
      <c r="Y37" s="372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3"/>
      <c r="Q38" s="1343" t="str">
        <f t="shared" si="11"/>
        <v>写字楼等级</v>
      </c>
      <c r="R38" s="701" t="s">
        <v>14</v>
      </c>
      <c r="S38" s="702">
        <f t="shared" si="12"/>
        <v>100</v>
      </c>
      <c r="T38" s="701" t="s">
        <v>14</v>
      </c>
      <c r="U38" s="702">
        <f t="shared" si="13"/>
        <v>100</v>
      </c>
      <c r="V38" s="701" t="s">
        <v>14</v>
      </c>
      <c r="W38" s="702">
        <f t="shared" si="14"/>
        <v>100</v>
      </c>
      <c r="X38" s="703"/>
      <c r="Y38" s="372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3" t="s">
        <v>1696</v>
      </c>
      <c r="Q39" s="1352" t="str">
        <f t="shared" si="11"/>
        <v>物业管理</v>
      </c>
      <c r="R39" s="705" t="s">
        <v>14</v>
      </c>
      <c r="S39" s="706">
        <f t="shared" si="12"/>
        <v>100</v>
      </c>
      <c r="T39" s="705" t="s">
        <v>14</v>
      </c>
      <c r="U39" s="706">
        <f t="shared" si="13"/>
        <v>100</v>
      </c>
      <c r="V39" s="705" t="s">
        <v>14</v>
      </c>
      <c r="W39" s="706">
        <f t="shared" si="14"/>
        <v>100</v>
      </c>
      <c r="X39" s="1355"/>
      <c r="Y39" s="372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3"/>
      <c r="Q40" s="1352" t="str">
        <f t="shared" si="11"/>
        <v>市政基础设施</v>
      </c>
      <c r="R40" s="705" t="s">
        <v>14</v>
      </c>
      <c r="S40" s="706">
        <f t="shared" si="12"/>
        <v>100</v>
      </c>
      <c r="T40" s="705" t="s">
        <v>14</v>
      </c>
      <c r="U40" s="706">
        <f t="shared" si="13"/>
        <v>100</v>
      </c>
      <c r="V40" s="705" t="s">
        <v>14</v>
      </c>
      <c r="W40" s="706">
        <f t="shared" si="14"/>
        <v>100</v>
      </c>
      <c r="X40" s="1355"/>
      <c r="Y40" s="372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3"/>
      <c r="Q41" s="1352" t="str">
        <f t="shared" si="11"/>
        <v>层高</v>
      </c>
      <c r="R41" s="705" t="s">
        <v>14</v>
      </c>
      <c r="S41" s="706">
        <f t="shared" si="12"/>
        <v>100</v>
      </c>
      <c r="T41" s="705" t="s">
        <v>14</v>
      </c>
      <c r="U41" s="706">
        <f t="shared" si="13"/>
        <v>100</v>
      </c>
      <c r="V41" s="705" t="s">
        <v>14</v>
      </c>
      <c r="W41" s="706">
        <f t="shared" si="14"/>
        <v>100</v>
      </c>
      <c r="X41" s="1355"/>
      <c r="Y41" s="372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3"/>
      <c r="Q42" s="707" t="str">
        <f t="shared" si="11"/>
        <v>单套建筑面积</v>
      </c>
      <c r="R42" s="708" t="s">
        <v>14</v>
      </c>
      <c r="S42" s="709">
        <f t="shared" si="12"/>
        <v>100</v>
      </c>
      <c r="T42" s="708" t="s">
        <v>14</v>
      </c>
      <c r="U42" s="709">
        <f t="shared" si="13"/>
        <v>100</v>
      </c>
      <c r="V42" s="708" t="s">
        <v>14</v>
      </c>
      <c r="W42" s="709">
        <f t="shared" si="14"/>
        <v>100</v>
      </c>
      <c r="X42" s="710"/>
      <c r="Y42" s="372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3"/>
      <c r="Q43" s="1352" t="str">
        <f t="shared" si="11"/>
        <v>内部装修</v>
      </c>
      <c r="R43" s="705" t="s">
        <v>14</v>
      </c>
      <c r="S43" s="706">
        <f t="shared" si="12"/>
        <v>100</v>
      </c>
      <c r="T43" s="705" t="s">
        <v>14</v>
      </c>
      <c r="U43" s="706">
        <f t="shared" si="13"/>
        <v>100</v>
      </c>
      <c r="V43" s="705" t="s">
        <v>14</v>
      </c>
      <c r="W43" s="706">
        <f t="shared" si="14"/>
        <v>100</v>
      </c>
      <c r="X43" s="1355"/>
      <c r="Y43" s="372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3"/>
      <c r="Q44" s="1352" t="str">
        <f t="shared" si="11"/>
        <v>内部装修维护情况</v>
      </c>
      <c r="R44" s="705" t="s">
        <v>14</v>
      </c>
      <c r="S44" s="706">
        <f t="shared" si="12"/>
        <v>100</v>
      </c>
      <c r="T44" s="705" t="s">
        <v>14</v>
      </c>
      <c r="U44" s="706">
        <f t="shared" si="13"/>
        <v>100</v>
      </c>
      <c r="V44" s="705" t="s">
        <v>14</v>
      </c>
      <c r="W44" s="706">
        <f t="shared" si="14"/>
        <v>100</v>
      </c>
      <c r="X44" s="1355"/>
      <c r="Y44" s="372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3"/>
      <c r="Q45" s="1343">
        <f t="shared" si="11"/>
        <v>111</v>
      </c>
      <c r="R45" s="701" t="s">
        <v>14</v>
      </c>
      <c r="S45" s="702">
        <f t="shared" si="12"/>
        <v>100</v>
      </c>
      <c r="T45" s="701" t="s">
        <v>14</v>
      </c>
      <c r="U45" s="702">
        <f t="shared" si="13"/>
        <v>100</v>
      </c>
      <c r="V45" s="701" t="s">
        <v>14</v>
      </c>
      <c r="W45" s="702">
        <f t="shared" si="14"/>
        <v>100</v>
      </c>
      <c r="X45" s="703"/>
      <c r="Y45" s="372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4"/>
      <c r="Q47" s="1352">
        <f t="shared" si="11"/>
        <v>111</v>
      </c>
      <c r="R47" s="705" t="s">
        <v>14</v>
      </c>
      <c r="S47" s="706">
        <f t="shared" si="12"/>
        <v>100</v>
      </c>
      <c r="T47" s="705" t="s">
        <v>14</v>
      </c>
      <c r="U47" s="706">
        <f t="shared" si="13"/>
        <v>100</v>
      </c>
      <c r="V47" s="705" t="s">
        <v>14</v>
      </c>
      <c r="W47" s="706">
        <f t="shared" si="14"/>
        <v>100</v>
      </c>
      <c r="X47" s="1355"/>
      <c r="Y47" s="372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0" t="str">
        <f>A48</f>
        <v>成交单价（元/平方米）</v>
      </c>
      <c r="Q48" s="3718"/>
      <c r="R48" s="3719">
        <f>E48</f>
        <v>0</v>
      </c>
      <c r="S48" s="3719"/>
      <c r="T48" s="3719">
        <f>G48</f>
        <v>0</v>
      </c>
      <c r="U48" s="3719"/>
      <c r="V48" s="3719">
        <f>I48</f>
        <v>0</v>
      </c>
      <c r="W48" s="371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0" t="str">
        <f>A49</f>
        <v>比较价值（元/平方米）</v>
      </c>
      <c r="Q49" s="3718"/>
      <c r="R49" s="3719" t="e">
        <f>IF(F1="售价",ROUND(PRODUCT(R48,AA7:AA47),0),ROUND(PRODUCT(R48,AA7:AA47),1))</f>
        <v>#DIV/0!</v>
      </c>
      <c r="S49" s="3719"/>
      <c r="T49" s="3719" t="e">
        <f>IF(F1="售价",ROUND(PRODUCT(T48,AB7:AB47),0),ROUND(PRODUCT(T48,AB7:AB47),1))</f>
        <v>#DIV/0!</v>
      </c>
      <c r="U49" s="3719"/>
      <c r="V49" s="3719" t="e">
        <f>IF(F1="售价",ROUND(PRODUCT(V48,AC7:AC47),0),ROUND(PRODUCT(V48,AC7:AC47),1))</f>
        <v>#DIV/0!</v>
      </c>
      <c r="W49" s="371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10629.2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913"/>
      <c r="M4" s="914"/>
      <c r="N4" s="914"/>
      <c r="O4" s="914"/>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9"/>
      <c r="L5" s="913"/>
      <c r="M5" s="914"/>
      <c r="N5" s="914"/>
      <c r="O5" s="914"/>
      <c r="P5" s="3707"/>
      <c r="Q5" s="3708"/>
      <c r="R5" s="3690"/>
      <c r="S5" s="3691"/>
      <c r="T5" s="3690"/>
      <c r="U5" s="3691"/>
      <c r="V5" s="3713"/>
      <c r="W5" s="3713"/>
      <c r="X5" s="1355"/>
      <c r="Y5" s="3690"/>
      <c r="Z5" s="3691"/>
      <c r="AA5" s="3684"/>
      <c r="AB5" s="3684"/>
      <c r="AC5" s="3684"/>
    </row>
    <row r="6" spans="1:29" ht="15.75" thickBot="1">
      <c r="A6" s="360"/>
      <c r="B6" s="361"/>
      <c r="C6" s="3696" t="s">
        <v>1677</v>
      </c>
      <c r="D6" s="3697"/>
      <c r="E6" s="3698" t="s">
        <v>1677</v>
      </c>
      <c r="F6" s="3699"/>
      <c r="G6" s="3696" t="s">
        <v>1677</v>
      </c>
      <c r="H6" s="3697"/>
      <c r="I6" s="3696" t="s">
        <v>1677</v>
      </c>
      <c r="J6" s="3697"/>
      <c r="K6" s="559" t="s">
        <v>1678</v>
      </c>
      <c r="L6" s="913"/>
      <c r="M6" s="914"/>
      <c r="N6" s="914"/>
      <c r="O6" s="914"/>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45252</v>
      </c>
      <c r="D7" s="365">
        <v>100</v>
      </c>
      <c r="E7" s="366"/>
      <c r="F7" s="367">
        <f>SUMIF(52:52,YEAR(E7)&amp;"-"&amp;MONTH(E7),53:53)</f>
        <v>0</v>
      </c>
      <c r="G7" s="366"/>
      <c r="H7" s="365">
        <f>SUMIF(52:52,YEAR(G7)&amp;"-"&amp;MONTH(G7),53:53)</f>
        <v>0</v>
      </c>
      <c r="I7" s="366"/>
      <c r="J7" s="365">
        <f>SUMIF(52:52,YEAR(I7)&amp;"-"&amp;MONTH(I7),53:53)</f>
        <v>0</v>
      </c>
      <c r="K7" s="560"/>
      <c r="L7" s="915"/>
      <c r="M7" s="916"/>
      <c r="N7" s="916"/>
      <c r="O7" s="916"/>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6" t="s">
        <v>1683</v>
      </c>
      <c r="Q8" s="3687"/>
      <c r="R8" s="701" t="s">
        <v>14</v>
      </c>
      <c r="S8" s="702">
        <f t="shared" si="0"/>
        <v>100</v>
      </c>
      <c r="T8" s="701" t="s">
        <v>14</v>
      </c>
      <c r="U8" s="702">
        <f t="shared" si="1"/>
        <v>100</v>
      </c>
      <c r="V8" s="701" t="s">
        <v>14</v>
      </c>
      <c r="W8" s="702">
        <f t="shared" si="2"/>
        <v>100</v>
      </c>
      <c r="X8" s="703"/>
      <c r="Y8" s="3686" t="s">
        <v>1683</v>
      </c>
      <c r="Z8" s="368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8"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8"/>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8"/>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8"/>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8"/>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8"/>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0" t="s">
        <v>1691</v>
      </c>
      <c r="Q15" s="1352" t="str">
        <f t="shared" si="6"/>
        <v>产业集聚程度</v>
      </c>
      <c r="R15" s="705" t="s">
        <v>14</v>
      </c>
      <c r="S15" s="706">
        <f t="shared" si="0"/>
        <v>100</v>
      </c>
      <c r="T15" s="705" t="s">
        <v>14</v>
      </c>
      <c r="U15" s="706">
        <f t="shared" si="1"/>
        <v>100</v>
      </c>
      <c r="V15" s="705" t="s">
        <v>14</v>
      </c>
      <c r="W15" s="706">
        <f t="shared" si="2"/>
        <v>100</v>
      </c>
      <c r="X15" s="1355"/>
      <c r="Y15" s="372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1"/>
      <c r="Q16" s="1352"/>
      <c r="R16" s="705"/>
      <c r="S16" s="706"/>
      <c r="T16" s="705"/>
      <c r="U16" s="706"/>
      <c r="V16" s="705"/>
      <c r="W16" s="706"/>
      <c r="X16" s="1355"/>
      <c r="Y16" s="372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1"/>
      <c r="Q18" s="1352"/>
      <c r="R18" s="705"/>
      <c r="S18" s="706"/>
      <c r="T18" s="705"/>
      <c r="U18" s="706"/>
      <c r="V18" s="705"/>
      <c r="W18" s="706"/>
      <c r="X18" s="1355"/>
      <c r="Y18" s="372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1"/>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1"/>
      <c r="Q20" s="1352"/>
      <c r="R20" s="705"/>
      <c r="S20" s="706"/>
      <c r="T20" s="705"/>
      <c r="U20" s="706"/>
      <c r="V20" s="705"/>
      <c r="W20" s="706"/>
      <c r="X20" s="1355"/>
      <c r="Y20" s="372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1"/>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1"/>
      <c r="Q22" s="1352"/>
      <c r="R22" s="705"/>
      <c r="S22" s="706"/>
      <c r="T22" s="705"/>
      <c r="U22" s="706"/>
      <c r="V22" s="705"/>
      <c r="W22" s="706"/>
      <c r="X22" s="1355"/>
      <c r="Y22" s="372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1"/>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1"/>
      <c r="Q24" s="1352"/>
      <c r="R24" s="705"/>
      <c r="S24" s="706"/>
      <c r="T24" s="705"/>
      <c r="U24" s="706"/>
      <c r="V24" s="705"/>
      <c r="W24" s="706"/>
      <c r="X24" s="1355"/>
      <c r="Y24" s="372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1"/>
      <c r="Q25" s="1352">
        <f>B25</f>
        <v>111</v>
      </c>
      <c r="R25" s="705" t="s">
        <v>14</v>
      </c>
      <c r="S25" s="706">
        <f>F25</f>
        <v>100</v>
      </c>
      <c r="T25" s="705" t="s">
        <v>14</v>
      </c>
      <c r="U25" s="706">
        <f>H25</f>
        <v>100</v>
      </c>
      <c r="V25" s="705" t="s">
        <v>14</v>
      </c>
      <c r="W25" s="706">
        <f>J25</f>
        <v>100</v>
      </c>
      <c r="X25" s="1355"/>
      <c r="Y25" s="372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1"/>
      <c r="Q26" s="1352">
        <f t="shared" ref="Q26:Q40" si="11">B26</f>
        <v>111</v>
      </c>
      <c r="R26" s="705" t="s">
        <v>14</v>
      </c>
      <c r="S26" s="706">
        <f>F26</f>
        <v>100</v>
      </c>
      <c r="T26" s="705" t="s">
        <v>14</v>
      </c>
      <c r="U26" s="706">
        <f>H26</f>
        <v>100</v>
      </c>
      <c r="V26" s="705" t="s">
        <v>14</v>
      </c>
      <c r="W26" s="706">
        <f>J26</f>
        <v>100</v>
      </c>
      <c r="X26" s="1355"/>
      <c r="Y26" s="372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1"/>
      <c r="Q27" s="1343">
        <f t="shared" si="11"/>
        <v>111</v>
      </c>
      <c r="R27" s="701" t="s">
        <v>14</v>
      </c>
      <c r="S27" s="702">
        <f>F27</f>
        <v>100</v>
      </c>
      <c r="T27" s="701" t="s">
        <v>14</v>
      </c>
      <c r="U27" s="702">
        <f>H27</f>
        <v>100</v>
      </c>
      <c r="V27" s="701" t="s">
        <v>14</v>
      </c>
      <c r="W27" s="702">
        <f>J27</f>
        <v>100</v>
      </c>
      <c r="X27" s="703"/>
      <c r="Y27" s="372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1"/>
      <c r="Q28" s="1352">
        <f t="shared" si="11"/>
        <v>111</v>
      </c>
      <c r="R28" s="705" t="s">
        <v>14</v>
      </c>
      <c r="S28" s="706">
        <f t="shared" ref="S28:S40" si="12">F28</f>
        <v>100</v>
      </c>
      <c r="T28" s="705" t="s">
        <v>14</v>
      </c>
      <c r="U28" s="706">
        <f t="shared" ref="U28:U40" si="13">H28</f>
        <v>100</v>
      </c>
      <c r="V28" s="705" t="s">
        <v>14</v>
      </c>
      <c r="W28" s="706">
        <f t="shared" ref="W28:W40" si="14">J28</f>
        <v>100</v>
      </c>
      <c r="X28" s="1355"/>
      <c r="Y28" s="372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72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5"/>
      <c r="Q30" s="707" t="str">
        <f t="shared" si="11"/>
        <v>项目建筑规模</v>
      </c>
      <c r="R30" s="708" t="s">
        <v>14</v>
      </c>
      <c r="S30" s="709" t="e">
        <f t="shared" si="12"/>
        <v>#N/A</v>
      </c>
      <c r="T30" s="708" t="s">
        <v>14</v>
      </c>
      <c r="U30" s="709" t="e">
        <f t="shared" si="13"/>
        <v>#N/A</v>
      </c>
      <c r="V30" s="708" t="s">
        <v>14</v>
      </c>
      <c r="W30" s="709" t="e">
        <f t="shared" si="14"/>
        <v>#N/A</v>
      </c>
      <c r="X30" s="710"/>
      <c r="Y30" s="372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5"/>
      <c r="Q31" s="1352" t="str">
        <f t="shared" si="11"/>
        <v>建筑结构</v>
      </c>
      <c r="R31" s="705" t="s">
        <v>14</v>
      </c>
      <c r="S31" s="706">
        <f t="shared" si="12"/>
        <v>100</v>
      </c>
      <c r="T31" s="705" t="s">
        <v>14</v>
      </c>
      <c r="U31" s="706">
        <f t="shared" si="13"/>
        <v>100</v>
      </c>
      <c r="V31" s="705" t="s">
        <v>14</v>
      </c>
      <c r="W31" s="706">
        <f t="shared" si="14"/>
        <v>100</v>
      </c>
      <c r="X31" s="1355"/>
      <c r="Y31" s="372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5"/>
      <c r="Q32" s="1352" t="str">
        <f t="shared" si="11"/>
        <v>公共部分装修</v>
      </c>
      <c r="R32" s="705" t="s">
        <v>14</v>
      </c>
      <c r="S32" s="706">
        <f t="shared" si="12"/>
        <v>100</v>
      </c>
      <c r="T32" s="705" t="s">
        <v>14</v>
      </c>
      <c r="U32" s="706">
        <f t="shared" si="13"/>
        <v>100</v>
      </c>
      <c r="V32" s="705" t="s">
        <v>14</v>
      </c>
      <c r="W32" s="706">
        <f t="shared" si="14"/>
        <v>100</v>
      </c>
      <c r="X32" s="1355"/>
      <c r="Y32" s="372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5"/>
      <c r="Q33" s="1352" t="str">
        <f t="shared" si="11"/>
        <v>成新度</v>
      </c>
      <c r="R33" s="705" t="s">
        <v>14</v>
      </c>
      <c r="S33" s="706" t="e">
        <f t="shared" si="12"/>
        <v>#N/A</v>
      </c>
      <c r="T33" s="705" t="s">
        <v>14</v>
      </c>
      <c r="U33" s="706" t="e">
        <f t="shared" si="13"/>
        <v>#N/A</v>
      </c>
      <c r="V33" s="705" t="s">
        <v>14</v>
      </c>
      <c r="W33" s="706" t="e">
        <f t="shared" si="14"/>
        <v>#N/A</v>
      </c>
      <c r="X33" s="1355"/>
      <c r="Y33" s="372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5"/>
      <c r="Q34" s="1343" t="str">
        <f t="shared" si="11"/>
        <v>物业管理</v>
      </c>
      <c r="R34" s="701" t="s">
        <v>14</v>
      </c>
      <c r="S34" s="702">
        <f t="shared" si="12"/>
        <v>100</v>
      </c>
      <c r="T34" s="701" t="s">
        <v>14</v>
      </c>
      <c r="U34" s="702">
        <f t="shared" si="13"/>
        <v>100</v>
      </c>
      <c r="V34" s="701" t="s">
        <v>14</v>
      </c>
      <c r="W34" s="702">
        <f t="shared" si="14"/>
        <v>100</v>
      </c>
      <c r="X34" s="703"/>
      <c r="Y34" s="372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5" t="s">
        <v>1696</v>
      </c>
      <c r="Q35" s="1352" t="str">
        <f t="shared" si="11"/>
        <v>市政基础设施</v>
      </c>
      <c r="R35" s="705" t="s">
        <v>14</v>
      </c>
      <c r="S35" s="706">
        <f t="shared" si="12"/>
        <v>100</v>
      </c>
      <c r="T35" s="705" t="s">
        <v>14</v>
      </c>
      <c r="U35" s="706">
        <f t="shared" si="13"/>
        <v>100</v>
      </c>
      <c r="V35" s="705" t="s">
        <v>14</v>
      </c>
      <c r="W35" s="706">
        <f t="shared" si="14"/>
        <v>100</v>
      </c>
      <c r="X35" s="1355"/>
      <c r="Y35" s="372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5"/>
      <c r="Q36" s="1352" t="str">
        <f t="shared" si="11"/>
        <v>内部装修</v>
      </c>
      <c r="R36" s="705" t="s">
        <v>14</v>
      </c>
      <c r="S36" s="706">
        <f t="shared" si="12"/>
        <v>100</v>
      </c>
      <c r="T36" s="705" t="s">
        <v>14</v>
      </c>
      <c r="U36" s="706">
        <f t="shared" si="13"/>
        <v>100</v>
      </c>
      <c r="V36" s="705" t="s">
        <v>14</v>
      </c>
      <c r="W36" s="706">
        <f t="shared" si="14"/>
        <v>100</v>
      </c>
      <c r="X36" s="1355"/>
      <c r="Y36" s="372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5"/>
      <c r="Q37" s="1352" t="str">
        <f t="shared" si="11"/>
        <v>内部装修状况</v>
      </c>
      <c r="R37" s="705" t="s">
        <v>14</v>
      </c>
      <c r="S37" s="706">
        <f t="shared" si="12"/>
        <v>100</v>
      </c>
      <c r="T37" s="705" t="s">
        <v>14</v>
      </c>
      <c r="U37" s="706">
        <f t="shared" si="13"/>
        <v>100</v>
      </c>
      <c r="V37" s="705" t="s">
        <v>14</v>
      </c>
      <c r="W37" s="706">
        <f t="shared" si="14"/>
        <v>100</v>
      </c>
      <c r="X37" s="1355"/>
      <c r="Y37" s="372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5"/>
      <c r="Q38" s="707">
        <f t="shared" si="11"/>
        <v>111</v>
      </c>
      <c r="R38" s="708" t="s">
        <v>14</v>
      </c>
      <c r="S38" s="709">
        <f t="shared" si="12"/>
        <v>100</v>
      </c>
      <c r="T38" s="708" t="s">
        <v>14</v>
      </c>
      <c r="U38" s="709">
        <f t="shared" si="13"/>
        <v>100</v>
      </c>
      <c r="V38" s="708" t="s">
        <v>14</v>
      </c>
      <c r="W38" s="709">
        <f t="shared" si="14"/>
        <v>100</v>
      </c>
      <c r="X38" s="710"/>
      <c r="Y38" s="372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5"/>
      <c r="Q39" s="1352">
        <f t="shared" si="11"/>
        <v>111</v>
      </c>
      <c r="R39" s="705" t="s">
        <v>14</v>
      </c>
      <c r="S39" s="706">
        <f t="shared" si="12"/>
        <v>100</v>
      </c>
      <c r="T39" s="705" t="s">
        <v>14</v>
      </c>
      <c r="U39" s="706">
        <f t="shared" si="13"/>
        <v>100</v>
      </c>
      <c r="V39" s="705" t="s">
        <v>14</v>
      </c>
      <c r="W39" s="706">
        <f t="shared" si="14"/>
        <v>100</v>
      </c>
      <c r="X39" s="1355"/>
      <c r="Y39" s="372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6"/>
      <c r="Q40" s="1352">
        <f t="shared" si="11"/>
        <v>111</v>
      </c>
      <c r="R40" s="705" t="s">
        <v>14</v>
      </c>
      <c r="S40" s="706">
        <f t="shared" si="12"/>
        <v>100</v>
      </c>
      <c r="T40" s="705" t="s">
        <v>14</v>
      </c>
      <c r="U40" s="706">
        <f t="shared" si="13"/>
        <v>100</v>
      </c>
      <c r="V40" s="705" t="s">
        <v>14</v>
      </c>
      <c r="W40" s="706">
        <f t="shared" si="14"/>
        <v>100</v>
      </c>
      <c r="X40" s="1355"/>
      <c r="Y40" s="372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8" t="str">
        <f>A41</f>
        <v>成交单价（元/平方米）</v>
      </c>
      <c r="Q41" s="3718"/>
      <c r="R41" s="3719">
        <f>E41</f>
        <v>0</v>
      </c>
      <c r="S41" s="3719"/>
      <c r="T41" s="3719">
        <f>G41</f>
        <v>0</v>
      </c>
      <c r="U41" s="3719"/>
      <c r="V41" s="3719">
        <f>I41</f>
        <v>0</v>
      </c>
      <c r="W41" s="371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684"/>
      <c r="AC5" s="3684"/>
    </row>
    <row r="6" spans="1:29" ht="15.75" thickBot="1">
      <c r="A6" s="360"/>
      <c r="B6" s="361"/>
      <c r="C6" s="3696" t="s">
        <v>1677</v>
      </c>
      <c r="D6" s="3697"/>
      <c r="E6" s="3698" t="s">
        <v>1677</v>
      </c>
      <c r="F6" s="3699"/>
      <c r="G6" s="3696" t="s">
        <v>1677</v>
      </c>
      <c r="H6" s="3697"/>
      <c r="I6" s="3696" t="s">
        <v>1677</v>
      </c>
      <c r="J6" s="3697"/>
      <c r="K6" s="559" t="s">
        <v>1678</v>
      </c>
      <c r="L6" s="2715"/>
      <c r="M6" s="2716"/>
      <c r="N6" s="2716"/>
      <c r="O6" s="2716"/>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45252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6" t="s">
        <v>1680</v>
      </c>
      <c r="Q7" s="3714"/>
      <c r="R7" s="701" t="s">
        <v>14</v>
      </c>
      <c r="S7" s="702">
        <f t="shared" ref="S7:S14" si="0">F7</f>
        <v>0</v>
      </c>
      <c r="T7" s="701" t="s">
        <v>14</v>
      </c>
      <c r="U7" s="702">
        <f t="shared" ref="U7:U14" si="1">H7</f>
        <v>0</v>
      </c>
      <c r="V7" s="701" t="s">
        <v>14</v>
      </c>
      <c r="W7" s="702">
        <f t="shared" ref="W7:W14"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6" t="s">
        <v>1683</v>
      </c>
      <c r="Q8" s="3687"/>
      <c r="R8" s="701" t="s">
        <v>14</v>
      </c>
      <c r="S8" s="702">
        <f t="shared" si="0"/>
        <v>100</v>
      </c>
      <c r="T8" s="701" t="s">
        <v>14</v>
      </c>
      <c r="U8" s="702">
        <f t="shared" si="1"/>
        <v>100</v>
      </c>
      <c r="V8" s="701" t="s">
        <v>14</v>
      </c>
      <c r="W8" s="702">
        <f t="shared" si="2"/>
        <v>100</v>
      </c>
      <c r="X8" s="703"/>
      <c r="Y8" s="3686" t="s">
        <v>1683</v>
      </c>
      <c r="Z8" s="368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8"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8"/>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0" t="s">
        <v>1691</v>
      </c>
      <c r="Q14" s="1352" t="str">
        <f t="shared" si="6"/>
        <v>交通便捷度</v>
      </c>
      <c r="R14" s="705" t="s">
        <v>14</v>
      </c>
      <c r="S14" s="706">
        <f t="shared" si="0"/>
        <v>100</v>
      </c>
      <c r="T14" s="705" t="s">
        <v>14</v>
      </c>
      <c r="U14" s="706">
        <f t="shared" si="1"/>
        <v>100</v>
      </c>
      <c r="V14" s="705" t="s">
        <v>14</v>
      </c>
      <c r="W14" s="706">
        <f t="shared" si="2"/>
        <v>100</v>
      </c>
      <c r="X14" s="1355"/>
      <c r="Y14" s="372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1"/>
      <c r="Q15" s="1352"/>
      <c r="R15" s="705"/>
      <c r="S15" s="706"/>
      <c r="T15" s="705"/>
      <c r="U15" s="706"/>
      <c r="V15" s="705"/>
      <c r="W15" s="706"/>
      <c r="X15" s="1355"/>
      <c r="Y15" s="372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1"/>
      <c r="Q17" s="1352"/>
      <c r="R17" s="705"/>
      <c r="S17" s="706"/>
      <c r="T17" s="705"/>
      <c r="U17" s="706"/>
      <c r="V17" s="705"/>
      <c r="W17" s="706"/>
      <c r="X17" s="1355"/>
      <c r="Y17" s="372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1"/>
      <c r="Q19" s="1352"/>
      <c r="R19" s="705"/>
      <c r="S19" s="706"/>
      <c r="T19" s="705"/>
      <c r="U19" s="706"/>
      <c r="V19" s="705"/>
      <c r="W19" s="706"/>
      <c r="X19" s="1355"/>
      <c r="Y19" s="372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1"/>
      <c r="Q21" s="1352"/>
      <c r="R21" s="705"/>
      <c r="S21" s="706"/>
      <c r="T21" s="705"/>
      <c r="U21" s="706"/>
      <c r="V21" s="705"/>
      <c r="W21" s="706"/>
      <c r="X21" s="1355"/>
      <c r="Y21" s="372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1"/>
      <c r="Q24" s="1352">
        <f t="shared" ref="Q24:Q36"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5"/>
      <c r="Q27" s="707" t="str">
        <f t="shared" si="11"/>
        <v>项目停车位配比</v>
      </c>
      <c r="R27" s="708" t="s">
        <v>14</v>
      </c>
      <c r="S27" s="709">
        <f t="shared" si="12"/>
        <v>100</v>
      </c>
      <c r="T27" s="708" t="s">
        <v>14</v>
      </c>
      <c r="U27" s="709">
        <f t="shared" si="13"/>
        <v>100</v>
      </c>
      <c r="V27" s="708" t="s">
        <v>14</v>
      </c>
      <c r="W27" s="709">
        <f t="shared" si="14"/>
        <v>100</v>
      </c>
      <c r="X27" s="710"/>
      <c r="Y27" s="372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5"/>
      <c r="Q28" s="1352" t="str">
        <f t="shared" si="11"/>
        <v>公共部分装修</v>
      </c>
      <c r="R28" s="705" t="s">
        <v>14</v>
      </c>
      <c r="S28" s="706">
        <f t="shared" si="12"/>
        <v>100</v>
      </c>
      <c r="T28" s="705" t="s">
        <v>14</v>
      </c>
      <c r="U28" s="706">
        <f t="shared" si="13"/>
        <v>100</v>
      </c>
      <c r="V28" s="705" t="s">
        <v>14</v>
      </c>
      <c r="W28" s="706">
        <f t="shared" si="14"/>
        <v>100</v>
      </c>
      <c r="X28" s="1355"/>
      <c r="Y28" s="372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5"/>
      <c r="Q29" s="1352" t="str">
        <f t="shared" si="11"/>
        <v>成新率</v>
      </c>
      <c r="R29" s="705" t="s">
        <v>14</v>
      </c>
      <c r="S29" s="706" t="e">
        <f t="shared" si="12"/>
        <v>#N/A</v>
      </c>
      <c r="T29" s="705" t="s">
        <v>14</v>
      </c>
      <c r="U29" s="706" t="e">
        <f t="shared" si="13"/>
        <v>#N/A</v>
      </c>
      <c r="V29" s="705" t="s">
        <v>14</v>
      </c>
      <c r="W29" s="706" t="e">
        <f t="shared" si="14"/>
        <v>#N/A</v>
      </c>
      <c r="X29" s="1355"/>
      <c r="Y29" s="372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5"/>
      <c r="Q30" s="1352" t="str">
        <f t="shared" si="11"/>
        <v>物业等级</v>
      </c>
      <c r="R30" s="705" t="s">
        <v>14</v>
      </c>
      <c r="S30" s="706">
        <f t="shared" si="12"/>
        <v>100</v>
      </c>
      <c r="T30" s="705" t="s">
        <v>14</v>
      </c>
      <c r="U30" s="706">
        <f t="shared" si="13"/>
        <v>100</v>
      </c>
      <c r="V30" s="705" t="s">
        <v>14</v>
      </c>
      <c r="W30" s="706">
        <f t="shared" si="14"/>
        <v>100</v>
      </c>
      <c r="X30" s="1355"/>
      <c r="Y30" s="372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5"/>
      <c r="Q31" s="1343" t="str">
        <f t="shared" si="11"/>
        <v>停车位面积</v>
      </c>
      <c r="R31" s="701" t="s">
        <v>14</v>
      </c>
      <c r="S31" s="702" t="e">
        <f t="shared" si="12"/>
        <v>#N/A</v>
      </c>
      <c r="T31" s="701" t="s">
        <v>14</v>
      </c>
      <c r="U31" s="702" t="e">
        <f t="shared" si="13"/>
        <v>#N/A</v>
      </c>
      <c r="V31" s="701" t="s">
        <v>14</v>
      </c>
      <c r="W31" s="702" t="e">
        <f t="shared" si="14"/>
        <v>#N/A</v>
      </c>
      <c r="X31" s="703"/>
      <c r="Y31" s="372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5" t="s">
        <v>1696</v>
      </c>
      <c r="Q32" s="1352" t="str">
        <f t="shared" si="11"/>
        <v>车位类型</v>
      </c>
      <c r="R32" s="705" t="s">
        <v>14</v>
      </c>
      <c r="S32" s="706">
        <f t="shared" si="12"/>
        <v>100</v>
      </c>
      <c r="T32" s="705" t="s">
        <v>14</v>
      </c>
      <c r="U32" s="706">
        <f t="shared" si="13"/>
        <v>100</v>
      </c>
      <c r="V32" s="705" t="s">
        <v>14</v>
      </c>
      <c r="W32" s="706">
        <f t="shared" si="14"/>
        <v>100</v>
      </c>
      <c r="X32" s="1355"/>
      <c r="Y32" s="372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5"/>
      <c r="Q33" s="1352" t="str">
        <f t="shared" si="11"/>
        <v>是否直接入户</v>
      </c>
      <c r="R33" s="705" t="s">
        <v>14</v>
      </c>
      <c r="S33" s="706">
        <f t="shared" si="12"/>
        <v>100</v>
      </c>
      <c r="T33" s="705" t="s">
        <v>14</v>
      </c>
      <c r="U33" s="706">
        <f t="shared" si="13"/>
        <v>100</v>
      </c>
      <c r="V33" s="705" t="s">
        <v>14</v>
      </c>
      <c r="W33" s="706">
        <f t="shared" si="14"/>
        <v>100</v>
      </c>
      <c r="X33" s="1355"/>
      <c r="Y33" s="372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5"/>
      <c r="Q35" s="707">
        <f t="shared" si="11"/>
        <v>111</v>
      </c>
      <c r="R35" s="708" t="s">
        <v>14</v>
      </c>
      <c r="S35" s="709">
        <f t="shared" si="12"/>
        <v>100</v>
      </c>
      <c r="T35" s="708" t="s">
        <v>14</v>
      </c>
      <c r="U35" s="709">
        <f t="shared" si="13"/>
        <v>100</v>
      </c>
      <c r="V35" s="708" t="s">
        <v>14</v>
      </c>
      <c r="W35" s="709">
        <f t="shared" si="14"/>
        <v>100</v>
      </c>
      <c r="X35" s="710"/>
      <c r="Y35" s="372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5"/>
      <c r="Q36" s="1352">
        <f t="shared" si="11"/>
        <v>111</v>
      </c>
      <c r="R36" s="705" t="s">
        <v>14</v>
      </c>
      <c r="S36" s="706">
        <f t="shared" si="12"/>
        <v>100</v>
      </c>
      <c r="T36" s="705" t="s">
        <v>14</v>
      </c>
      <c r="U36" s="706">
        <f t="shared" si="13"/>
        <v>100</v>
      </c>
      <c r="V36" s="705" t="s">
        <v>14</v>
      </c>
      <c r="W36" s="706">
        <f t="shared" si="14"/>
        <v>100</v>
      </c>
      <c r="X36" s="1355"/>
      <c r="Y36" s="3725"/>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18" t="str">
        <f>A37</f>
        <v>成交单价</v>
      </c>
      <c r="Q37" s="3718"/>
      <c r="R37" s="3719">
        <f>E37</f>
        <v>0</v>
      </c>
      <c r="S37" s="3719"/>
      <c r="T37" s="3719">
        <f>G37</f>
        <v>0</v>
      </c>
      <c r="U37" s="3719"/>
      <c r="V37" s="3719">
        <f>I37</f>
        <v>0</v>
      </c>
      <c r="W37" s="371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8" t="str">
        <f>A38</f>
        <v>比较价值（元/平方米）</v>
      </c>
      <c r="Q38" s="3718"/>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5" t="str">
        <f>A39</f>
        <v>估价对象XX用房的比较价值（楼面单价，元/平方米）</v>
      </c>
      <c r="Q39" s="3716"/>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684"/>
      <c r="AC5" s="3684"/>
    </row>
    <row r="6" spans="1:29" ht="15.75" thickBot="1">
      <c r="A6" s="360"/>
      <c r="B6" s="361"/>
      <c r="C6" s="3696" t="s">
        <v>1677</v>
      </c>
      <c r="D6" s="3697"/>
      <c r="E6" s="3698" t="s">
        <v>1677</v>
      </c>
      <c r="F6" s="3699"/>
      <c r="G6" s="3696" t="s">
        <v>1677</v>
      </c>
      <c r="H6" s="3697"/>
      <c r="I6" s="3696" t="s">
        <v>1677</v>
      </c>
      <c r="J6" s="3697"/>
      <c r="K6" s="559" t="s">
        <v>1678</v>
      </c>
      <c r="L6" s="2715"/>
      <c r="M6" s="2716"/>
      <c r="N6" s="2716"/>
      <c r="O6" s="2716"/>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45252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6" t="s">
        <v>1680</v>
      </c>
      <c r="Q7" s="3714"/>
      <c r="R7" s="701" t="s">
        <v>14</v>
      </c>
      <c r="S7" s="702">
        <f t="shared" ref="S7:S14" si="0">F7</f>
        <v>0</v>
      </c>
      <c r="T7" s="701" t="s">
        <v>14</v>
      </c>
      <c r="U7" s="702">
        <f t="shared" ref="U7:U14" si="1">H7</f>
        <v>0</v>
      </c>
      <c r="V7" s="701" t="s">
        <v>14</v>
      </c>
      <c r="W7" s="702">
        <f t="shared" ref="W7:W14"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6" t="s">
        <v>1683</v>
      </c>
      <c r="Q8" s="3687"/>
      <c r="R8" s="701" t="s">
        <v>14</v>
      </c>
      <c r="S8" s="702">
        <f t="shared" si="0"/>
        <v>100</v>
      </c>
      <c r="T8" s="701" t="s">
        <v>14</v>
      </c>
      <c r="U8" s="702">
        <f t="shared" si="1"/>
        <v>100</v>
      </c>
      <c r="V8" s="701" t="s">
        <v>14</v>
      </c>
      <c r="W8" s="702">
        <f t="shared" si="2"/>
        <v>100</v>
      </c>
      <c r="X8" s="703"/>
      <c r="Y8" s="3686" t="s">
        <v>1683</v>
      </c>
      <c r="Z8" s="368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8"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8"/>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8"/>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8"/>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0" t="s">
        <v>1691</v>
      </c>
      <c r="Q14" s="1352" t="str">
        <f t="shared" si="6"/>
        <v>交通便捷度</v>
      </c>
      <c r="R14" s="705" t="s">
        <v>14</v>
      </c>
      <c r="S14" s="706">
        <f t="shared" si="0"/>
        <v>100</v>
      </c>
      <c r="T14" s="705" t="s">
        <v>14</v>
      </c>
      <c r="U14" s="706">
        <f t="shared" si="1"/>
        <v>100</v>
      </c>
      <c r="V14" s="705" t="s">
        <v>14</v>
      </c>
      <c r="W14" s="706">
        <f t="shared" si="2"/>
        <v>100</v>
      </c>
      <c r="X14" s="1355"/>
      <c r="Y14" s="372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1"/>
      <c r="Q15" s="1352"/>
      <c r="R15" s="705"/>
      <c r="S15" s="706"/>
      <c r="T15" s="705"/>
      <c r="U15" s="706"/>
      <c r="V15" s="705"/>
      <c r="W15" s="706"/>
      <c r="X15" s="1355"/>
      <c r="Y15" s="372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1"/>
      <c r="Q17" s="1352"/>
      <c r="R17" s="705"/>
      <c r="S17" s="706"/>
      <c r="T17" s="705"/>
      <c r="U17" s="706"/>
      <c r="V17" s="705"/>
      <c r="W17" s="706"/>
      <c r="X17" s="1355"/>
      <c r="Y17" s="372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1"/>
      <c r="Q19" s="1352"/>
      <c r="R19" s="705"/>
      <c r="S19" s="706"/>
      <c r="T19" s="705"/>
      <c r="U19" s="706"/>
      <c r="V19" s="705"/>
      <c r="W19" s="706"/>
      <c r="X19" s="1355"/>
      <c r="Y19" s="372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1"/>
      <c r="Q21" s="1352"/>
      <c r="R21" s="705"/>
      <c r="S21" s="706"/>
      <c r="T21" s="705"/>
      <c r="U21" s="706"/>
      <c r="V21" s="705"/>
      <c r="W21" s="706"/>
      <c r="X21" s="1355"/>
      <c r="Y21" s="372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1"/>
      <c r="Q24" s="1352">
        <f t="shared" ref="Q24:Q34"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5"/>
      <c r="Q27" s="707" t="str">
        <f t="shared" si="11"/>
        <v>成新率</v>
      </c>
      <c r="R27" s="708" t="s">
        <v>14</v>
      </c>
      <c r="S27" s="709" t="e">
        <f t="shared" si="12"/>
        <v>#N/A</v>
      </c>
      <c r="T27" s="708" t="s">
        <v>14</v>
      </c>
      <c r="U27" s="709" t="e">
        <f t="shared" si="13"/>
        <v>#N/A</v>
      </c>
      <c r="V27" s="708" t="s">
        <v>14</v>
      </c>
      <c r="W27" s="709" t="e">
        <f t="shared" si="14"/>
        <v>#N/A</v>
      </c>
      <c r="X27" s="710"/>
      <c r="Y27" s="372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5"/>
      <c r="Q28" s="1352" t="str">
        <f t="shared" si="11"/>
        <v>物业等级</v>
      </c>
      <c r="R28" s="705" t="s">
        <v>14</v>
      </c>
      <c r="S28" s="706">
        <f t="shared" si="12"/>
        <v>100</v>
      </c>
      <c r="T28" s="705" t="s">
        <v>14</v>
      </c>
      <c r="U28" s="706">
        <f t="shared" si="13"/>
        <v>100</v>
      </c>
      <c r="V28" s="705" t="s">
        <v>14</v>
      </c>
      <c r="W28" s="706">
        <f t="shared" si="14"/>
        <v>100</v>
      </c>
      <c r="X28" s="1355"/>
      <c r="Y28" s="372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5"/>
      <c r="Q29" s="1352" t="str">
        <f t="shared" si="11"/>
        <v>有无电梯</v>
      </c>
      <c r="R29" s="705" t="s">
        <v>14</v>
      </c>
      <c r="S29" s="706">
        <f t="shared" si="12"/>
        <v>100</v>
      </c>
      <c r="T29" s="705" t="s">
        <v>14</v>
      </c>
      <c r="U29" s="706">
        <f t="shared" si="13"/>
        <v>100</v>
      </c>
      <c r="V29" s="705" t="s">
        <v>14</v>
      </c>
      <c r="W29" s="706">
        <f t="shared" si="14"/>
        <v>100</v>
      </c>
      <c r="X29" s="1355"/>
      <c r="Y29" s="372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5"/>
      <c r="Q30" s="1352" t="str">
        <f t="shared" si="11"/>
        <v>建筑面积</v>
      </c>
      <c r="R30" s="705" t="s">
        <v>14</v>
      </c>
      <c r="S30" s="706" t="e">
        <f t="shared" si="12"/>
        <v>#N/A</v>
      </c>
      <c r="T30" s="705" t="s">
        <v>14</v>
      </c>
      <c r="U30" s="706" t="e">
        <f t="shared" si="13"/>
        <v>#N/A</v>
      </c>
      <c r="V30" s="705" t="s">
        <v>14</v>
      </c>
      <c r="W30" s="706" t="e">
        <f t="shared" si="14"/>
        <v>#N/A</v>
      </c>
      <c r="X30" s="1355"/>
      <c r="Y30" s="372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5"/>
      <c r="Q31" s="1343" t="str">
        <f t="shared" si="11"/>
        <v>是否封闭</v>
      </c>
      <c r="R31" s="701" t="s">
        <v>14</v>
      </c>
      <c r="S31" s="702">
        <f t="shared" si="12"/>
        <v>100</v>
      </c>
      <c r="T31" s="701" t="s">
        <v>14</v>
      </c>
      <c r="U31" s="702">
        <f t="shared" si="13"/>
        <v>100</v>
      </c>
      <c r="V31" s="701" t="s">
        <v>14</v>
      </c>
      <c r="W31" s="702">
        <f t="shared" si="14"/>
        <v>100</v>
      </c>
      <c r="X31" s="703"/>
      <c r="Y31" s="372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5" t="s">
        <v>1696</v>
      </c>
      <c r="Q32" s="1352">
        <f t="shared" si="11"/>
        <v>111</v>
      </c>
      <c r="R32" s="705" t="s">
        <v>14</v>
      </c>
      <c r="S32" s="706">
        <f t="shared" si="12"/>
        <v>100</v>
      </c>
      <c r="T32" s="705" t="s">
        <v>14</v>
      </c>
      <c r="U32" s="706">
        <f t="shared" si="13"/>
        <v>100</v>
      </c>
      <c r="V32" s="705" t="s">
        <v>14</v>
      </c>
      <c r="W32" s="706">
        <f t="shared" si="14"/>
        <v>100</v>
      </c>
      <c r="X32" s="1355"/>
      <c r="Y32" s="372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5"/>
      <c r="Q33" s="1352">
        <f t="shared" si="11"/>
        <v>111</v>
      </c>
      <c r="R33" s="705" t="s">
        <v>14</v>
      </c>
      <c r="S33" s="706">
        <f t="shared" si="12"/>
        <v>100</v>
      </c>
      <c r="T33" s="705" t="s">
        <v>14</v>
      </c>
      <c r="U33" s="706">
        <f t="shared" si="13"/>
        <v>100</v>
      </c>
      <c r="V33" s="705" t="s">
        <v>14</v>
      </c>
      <c r="W33" s="706">
        <f t="shared" si="14"/>
        <v>100</v>
      </c>
      <c r="X33" s="1355"/>
      <c r="Y33" s="372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8" t="str">
        <f>A35</f>
        <v>成交单价（元/平方米）</v>
      </c>
      <c r="Q35" s="3718"/>
      <c r="R35" s="3719">
        <f>E35</f>
        <v>0</v>
      </c>
      <c r="S35" s="3719"/>
      <c r="T35" s="3719">
        <f>G35</f>
        <v>0</v>
      </c>
      <c r="U35" s="3719"/>
      <c r="V35" s="3719">
        <f>I35</f>
        <v>0</v>
      </c>
      <c r="W35" s="371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5" t="str">
        <f>A37</f>
        <v>估价对象XX用房的比较价值（楼面单价，元/平方米）</v>
      </c>
      <c r="Q37" s="3716"/>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30"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684"/>
      <c r="AC5" s="3684"/>
    </row>
    <row r="6" spans="1:30" ht="15.75" thickBot="1">
      <c r="A6" s="360"/>
      <c r="B6" s="361"/>
      <c r="C6" s="3696" t="s">
        <v>1677</v>
      </c>
      <c r="D6" s="3697"/>
      <c r="E6" s="3698" t="s">
        <v>1677</v>
      </c>
      <c r="F6" s="3699"/>
      <c r="G6" s="3696" t="s">
        <v>1677</v>
      </c>
      <c r="H6" s="3697"/>
      <c r="I6" s="3696" t="s">
        <v>1677</v>
      </c>
      <c r="J6" s="3697"/>
      <c r="K6" s="559" t="s">
        <v>1678</v>
      </c>
      <c r="L6" s="2715"/>
      <c r="M6" s="2716"/>
      <c r="N6" s="2716"/>
      <c r="O6" s="2716"/>
      <c r="P6" s="3709"/>
      <c r="Q6" s="3710"/>
      <c r="R6" s="3690"/>
      <c r="S6" s="3691"/>
      <c r="T6" s="3711"/>
      <c r="U6" s="3712"/>
      <c r="V6" s="3713"/>
      <c r="W6" s="3713"/>
      <c r="X6" s="1355"/>
      <c r="Y6" s="3711"/>
      <c r="Z6" s="3712"/>
      <c r="AA6" s="3685"/>
      <c r="AB6" s="3685"/>
      <c r="AC6" s="3685"/>
    </row>
    <row r="7" spans="1:30" s="108" customFormat="1" ht="15.75" thickBot="1">
      <c r="A7" s="362" t="s">
        <v>1679</v>
      </c>
      <c r="B7" s="363"/>
      <c r="C7" s="364">
        <f>'数据-取费表'!B2</f>
        <v>45252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6" t="s">
        <v>1683</v>
      </c>
      <c r="Q8" s="3687"/>
      <c r="R8" s="701" t="s">
        <v>14</v>
      </c>
      <c r="S8" s="702">
        <f t="shared" si="0"/>
        <v>0</v>
      </c>
      <c r="T8" s="701" t="s">
        <v>14</v>
      </c>
      <c r="U8" s="702">
        <f t="shared" si="1"/>
        <v>0</v>
      </c>
      <c r="V8" s="701" t="s">
        <v>14</v>
      </c>
      <c r="W8" s="702">
        <f t="shared" si="2"/>
        <v>0</v>
      </c>
      <c r="X8" s="703"/>
      <c r="Y8" s="3686" t="s">
        <v>1683</v>
      </c>
      <c r="Z8" s="368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8"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718"/>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8"/>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8"/>
      <c r="Q12" s="1343" t="str">
        <f t="shared" si="6"/>
        <v>配建</v>
      </c>
      <c r="R12" s="701" t="s">
        <v>14</v>
      </c>
      <c r="S12" s="702">
        <f t="shared" si="0"/>
        <v>100</v>
      </c>
      <c r="T12" s="701" t="s">
        <v>14</v>
      </c>
      <c r="U12" s="702">
        <f t="shared" si="1"/>
        <v>100</v>
      </c>
      <c r="V12" s="701" t="s">
        <v>14</v>
      </c>
      <c r="W12" s="702">
        <f t="shared" si="2"/>
        <v>100</v>
      </c>
      <c r="X12" s="703"/>
      <c r="Y12" s="361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61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8"/>
      <c r="Q14" s="1343">
        <f t="shared" si="6"/>
        <v>111</v>
      </c>
      <c r="R14" s="701" t="s">
        <v>14</v>
      </c>
      <c r="S14" s="702">
        <f t="shared" si="0"/>
        <v>100</v>
      </c>
      <c r="T14" s="701" t="s">
        <v>14</v>
      </c>
      <c r="U14" s="702">
        <f t="shared" si="1"/>
        <v>100</v>
      </c>
      <c r="V14" s="701" t="s">
        <v>14</v>
      </c>
      <c r="W14" s="702">
        <f t="shared" si="2"/>
        <v>100</v>
      </c>
      <c r="X14" s="703"/>
      <c r="Y14" s="361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0" t="s">
        <v>1691</v>
      </c>
      <c r="Q15" s="1352" t="str">
        <f t="shared" si="6"/>
        <v>居住社区成熟度</v>
      </c>
      <c r="R15" s="705" t="s">
        <v>14</v>
      </c>
      <c r="S15" s="706">
        <f t="shared" si="0"/>
        <v>100</v>
      </c>
      <c r="T15" s="705" t="s">
        <v>14</v>
      </c>
      <c r="U15" s="706">
        <f t="shared" si="1"/>
        <v>100</v>
      </c>
      <c r="V15" s="705" t="s">
        <v>14</v>
      </c>
      <c r="W15" s="706">
        <f t="shared" si="2"/>
        <v>100</v>
      </c>
      <c r="X15" s="1355"/>
      <c r="Y15" s="372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1"/>
      <c r="Q16" s="1352"/>
      <c r="R16" s="705"/>
      <c r="S16" s="706"/>
      <c r="T16" s="705"/>
      <c r="U16" s="706"/>
      <c r="V16" s="705"/>
      <c r="W16" s="706"/>
      <c r="X16" s="1355"/>
      <c r="Y16" s="372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1"/>
      <c r="Q17" s="1352" t="str">
        <f>B17</f>
        <v>商业繁华度</v>
      </c>
      <c r="R17" s="705" t="s">
        <v>14</v>
      </c>
      <c r="S17" s="706">
        <f>F17</f>
        <v>100</v>
      </c>
      <c r="T17" s="705" t="s">
        <v>14</v>
      </c>
      <c r="U17" s="706">
        <f>H17</f>
        <v>100</v>
      </c>
      <c r="V17" s="705" t="s">
        <v>14</v>
      </c>
      <c r="W17" s="706">
        <f>J17</f>
        <v>100</v>
      </c>
      <c r="X17" s="1355"/>
      <c r="Y17" s="372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1"/>
      <c r="Q18" s="1352"/>
      <c r="R18" s="705"/>
      <c r="S18" s="706"/>
      <c r="T18" s="705"/>
      <c r="U18" s="706"/>
      <c r="V18" s="705"/>
      <c r="W18" s="706"/>
      <c r="X18" s="1355"/>
      <c r="Y18" s="372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1"/>
      <c r="Q19" s="1352" t="str">
        <f>B19</f>
        <v>办公集聚程度</v>
      </c>
      <c r="R19" s="705" t="s">
        <v>14</v>
      </c>
      <c r="S19" s="706">
        <f>F19</f>
        <v>100</v>
      </c>
      <c r="T19" s="705" t="s">
        <v>14</v>
      </c>
      <c r="U19" s="706">
        <f>H19</f>
        <v>100</v>
      </c>
      <c r="V19" s="705" t="s">
        <v>14</v>
      </c>
      <c r="W19" s="706">
        <f>J19</f>
        <v>100</v>
      </c>
      <c r="X19" s="1355"/>
      <c r="Y19" s="372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1"/>
      <c r="Q20" s="1352"/>
      <c r="R20" s="705"/>
      <c r="S20" s="706"/>
      <c r="T20" s="705"/>
      <c r="U20" s="706"/>
      <c r="V20" s="705"/>
      <c r="W20" s="706"/>
      <c r="X20" s="1355"/>
      <c r="Y20" s="372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1"/>
      <c r="Q21" s="1352" t="str">
        <f>B21</f>
        <v>交通便捷度</v>
      </c>
      <c r="R21" s="705" t="s">
        <v>14</v>
      </c>
      <c r="S21" s="706">
        <f>F21</f>
        <v>100</v>
      </c>
      <c r="T21" s="705" t="s">
        <v>14</v>
      </c>
      <c r="U21" s="706">
        <f>H21</f>
        <v>100</v>
      </c>
      <c r="V21" s="705" t="s">
        <v>14</v>
      </c>
      <c r="W21" s="706">
        <f>J21</f>
        <v>100</v>
      </c>
      <c r="X21" s="1355"/>
      <c r="Y21" s="372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1"/>
      <c r="Q22" s="1352"/>
      <c r="R22" s="705"/>
      <c r="S22" s="706"/>
      <c r="T22" s="705"/>
      <c r="U22" s="706"/>
      <c r="V22" s="705"/>
      <c r="W22" s="706"/>
      <c r="X22" s="1355"/>
      <c r="Y22" s="372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1"/>
      <c r="Q23" s="1352" t="str">
        <f t="shared" ref="Q23:Q37" si="8">B23</f>
        <v>区域土地利用方向</v>
      </c>
      <c r="R23" s="705" t="s">
        <v>14</v>
      </c>
      <c r="S23" s="706">
        <f>F23</f>
        <v>100</v>
      </c>
      <c r="T23" s="705" t="s">
        <v>14</v>
      </c>
      <c r="U23" s="706">
        <f>H23</f>
        <v>100</v>
      </c>
      <c r="V23" s="705" t="s">
        <v>14</v>
      </c>
      <c r="W23" s="706">
        <f>J23</f>
        <v>100</v>
      </c>
      <c r="X23" s="1355"/>
      <c r="Y23" s="372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1"/>
      <c r="Q24" s="1352"/>
      <c r="R24" s="705"/>
      <c r="S24" s="706"/>
      <c r="T24" s="705"/>
      <c r="U24" s="706"/>
      <c r="V24" s="705"/>
      <c r="W24" s="706"/>
      <c r="X24" s="1355"/>
      <c r="Y24" s="372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1"/>
      <c r="Q25" s="1352" t="str">
        <f t="shared" si="8"/>
        <v>自然及人文环境状况</v>
      </c>
      <c r="R25" s="705" t="s">
        <v>14</v>
      </c>
      <c r="S25" s="706">
        <f>F25</f>
        <v>100</v>
      </c>
      <c r="T25" s="705" t="s">
        <v>14</v>
      </c>
      <c r="U25" s="706">
        <f>H25</f>
        <v>100</v>
      </c>
      <c r="V25" s="705" t="s">
        <v>14</v>
      </c>
      <c r="W25" s="706">
        <f>J25</f>
        <v>100</v>
      </c>
      <c r="X25" s="1355"/>
      <c r="Y25" s="372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1"/>
      <c r="Q26" s="1352"/>
      <c r="R26" s="705"/>
      <c r="S26" s="706"/>
      <c r="T26" s="705"/>
      <c r="U26" s="706"/>
      <c r="V26" s="705"/>
      <c r="W26" s="706"/>
      <c r="X26" s="1355"/>
      <c r="Y26" s="372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1"/>
      <c r="Q27" s="1343" t="str">
        <f t="shared" si="8"/>
        <v>公共配套设施</v>
      </c>
      <c r="R27" s="701" t="s">
        <v>14</v>
      </c>
      <c r="S27" s="702">
        <f>F27</f>
        <v>100</v>
      </c>
      <c r="T27" s="701" t="s">
        <v>14</v>
      </c>
      <c r="U27" s="702">
        <f>H27</f>
        <v>100</v>
      </c>
      <c r="V27" s="701" t="s">
        <v>14</v>
      </c>
      <c r="W27" s="702">
        <f>J27</f>
        <v>100</v>
      </c>
      <c r="X27" s="703"/>
      <c r="Y27" s="372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1"/>
      <c r="Q28" s="1343"/>
      <c r="R28" s="701"/>
      <c r="S28" s="702"/>
      <c r="T28" s="701"/>
      <c r="U28" s="702"/>
      <c r="V28" s="701"/>
      <c r="W28" s="702"/>
      <c r="X28" s="703"/>
      <c r="Y28" s="372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1"/>
      <c r="Q29" s="1343" t="str">
        <f t="shared" ref="Q29" si="9">B29</f>
        <v>基础设施水平</v>
      </c>
      <c r="R29" s="701" t="s">
        <v>14</v>
      </c>
      <c r="S29" s="702">
        <f>F29</f>
        <v>100</v>
      </c>
      <c r="T29" s="701" t="s">
        <v>14</v>
      </c>
      <c r="U29" s="702">
        <f>H29</f>
        <v>100</v>
      </c>
      <c r="V29" s="701" t="s">
        <v>14</v>
      </c>
      <c r="W29" s="702">
        <f>J29</f>
        <v>100</v>
      </c>
      <c r="X29" s="703"/>
      <c r="Y29" s="372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1"/>
      <c r="Q30" s="1343"/>
      <c r="R30" s="701"/>
      <c r="S30" s="702"/>
      <c r="T30" s="701"/>
      <c r="U30" s="702"/>
      <c r="V30" s="701"/>
      <c r="W30" s="702"/>
      <c r="X30" s="703"/>
      <c r="Y30" s="372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1"/>
      <c r="Q32" s="1352" t="str">
        <f t="shared" si="8"/>
        <v>毗邻道路的类型与等级</v>
      </c>
      <c r="R32" s="705" t="s">
        <v>14</v>
      </c>
      <c r="S32" s="706">
        <f t="shared" si="10"/>
        <v>100</v>
      </c>
      <c r="T32" s="705" t="s">
        <v>14</v>
      </c>
      <c r="U32" s="706">
        <f t="shared" si="11"/>
        <v>100</v>
      </c>
      <c r="V32" s="705" t="s">
        <v>14</v>
      </c>
      <c r="W32" s="706">
        <f t="shared" si="12"/>
        <v>100</v>
      </c>
      <c r="X32" s="1355"/>
      <c r="Y32" s="372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1"/>
      <c r="Q33" s="1352"/>
      <c r="R33" s="705"/>
      <c r="S33" s="706"/>
      <c r="T33" s="705"/>
      <c r="U33" s="706"/>
      <c r="V33" s="705"/>
      <c r="W33" s="706"/>
      <c r="X33" s="1355"/>
      <c r="Y33" s="372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1"/>
      <c r="Q34" s="1352" t="str">
        <f t="shared" si="8"/>
        <v>土地级别</v>
      </c>
      <c r="R34" s="705" t="s">
        <v>14</v>
      </c>
      <c r="S34" s="706">
        <f t="shared" si="10"/>
        <v>100</v>
      </c>
      <c r="T34" s="705" t="s">
        <v>14</v>
      </c>
      <c r="U34" s="706">
        <f t="shared" si="11"/>
        <v>100</v>
      </c>
      <c r="V34" s="705" t="s">
        <v>14</v>
      </c>
      <c r="W34" s="706">
        <f t="shared" si="12"/>
        <v>100</v>
      </c>
      <c r="X34" s="1355"/>
      <c r="Y34" s="372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1"/>
      <c r="Q35" s="1352">
        <f t="shared" si="8"/>
        <v>111</v>
      </c>
      <c r="R35" s="705" t="s">
        <v>14</v>
      </c>
      <c r="S35" s="706">
        <f t="shared" si="10"/>
        <v>100</v>
      </c>
      <c r="T35" s="705" t="s">
        <v>14</v>
      </c>
      <c r="U35" s="706">
        <f t="shared" si="11"/>
        <v>100</v>
      </c>
      <c r="V35" s="705" t="s">
        <v>14</v>
      </c>
      <c r="W35" s="706">
        <f t="shared" si="12"/>
        <v>100</v>
      </c>
      <c r="X35" s="1355"/>
      <c r="Y35" s="372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4" t="s">
        <v>1696</v>
      </c>
      <c r="Q36" s="1352">
        <f t="shared" si="8"/>
        <v>111</v>
      </c>
      <c r="R36" s="705" t="s">
        <v>14</v>
      </c>
      <c r="S36" s="706">
        <f t="shared" si="10"/>
        <v>100</v>
      </c>
      <c r="T36" s="705" t="s">
        <v>14</v>
      </c>
      <c r="U36" s="706">
        <f t="shared" si="11"/>
        <v>100</v>
      </c>
      <c r="V36" s="705" t="s">
        <v>14</v>
      </c>
      <c r="W36" s="706">
        <f t="shared" si="12"/>
        <v>100</v>
      </c>
      <c r="X36" s="1355"/>
      <c r="Y36" s="372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5"/>
      <c r="Q37" s="1352">
        <f t="shared" si="8"/>
        <v>111</v>
      </c>
      <c r="R37" s="708" t="s">
        <v>14</v>
      </c>
      <c r="S37" s="709">
        <f t="shared" si="10"/>
        <v>100</v>
      </c>
      <c r="T37" s="708" t="s">
        <v>14</v>
      </c>
      <c r="U37" s="709">
        <f t="shared" si="11"/>
        <v>100</v>
      </c>
      <c r="V37" s="708" t="s">
        <v>14</v>
      </c>
      <c r="W37" s="709">
        <f t="shared" si="12"/>
        <v>100</v>
      </c>
      <c r="X37" s="710"/>
      <c r="Y37" s="372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5"/>
      <c r="Q38" s="1352" t="str">
        <f>B38</f>
        <v>宗地面积</v>
      </c>
      <c r="R38" s="705" t="s">
        <v>14</v>
      </c>
      <c r="S38" s="706" t="e">
        <f t="shared" si="10"/>
        <v>#N/A</v>
      </c>
      <c r="T38" s="705" t="s">
        <v>14</v>
      </c>
      <c r="U38" s="706" t="e">
        <f t="shared" si="11"/>
        <v>#N/A</v>
      </c>
      <c r="V38" s="705" t="s">
        <v>14</v>
      </c>
      <c r="W38" s="706" t="e">
        <f t="shared" si="12"/>
        <v>#N/A</v>
      </c>
      <c r="X38" s="1355"/>
      <c r="Y38" s="372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5"/>
      <c r="Q39" s="1352" t="str">
        <f t="shared" ref="Q39:Q45" si="14">B39</f>
        <v>宗地形状</v>
      </c>
      <c r="R39" s="705" t="s">
        <v>14</v>
      </c>
      <c r="S39" s="706">
        <f t="shared" si="10"/>
        <v>100</v>
      </c>
      <c r="T39" s="705" t="s">
        <v>14</v>
      </c>
      <c r="U39" s="706">
        <f t="shared" si="11"/>
        <v>100</v>
      </c>
      <c r="V39" s="705" t="s">
        <v>14</v>
      </c>
      <c r="W39" s="706">
        <f t="shared" si="12"/>
        <v>100</v>
      </c>
      <c r="X39" s="1355"/>
      <c r="Y39" s="372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5"/>
      <c r="Q40" s="1352" t="str">
        <f t="shared" si="14"/>
        <v>临街宽度及深度</v>
      </c>
      <c r="R40" s="705" t="s">
        <v>14</v>
      </c>
      <c r="S40" s="706">
        <f t="shared" si="10"/>
        <v>100</v>
      </c>
      <c r="T40" s="705" t="s">
        <v>14</v>
      </c>
      <c r="U40" s="706">
        <f t="shared" si="11"/>
        <v>100</v>
      </c>
      <c r="V40" s="705" t="s">
        <v>14</v>
      </c>
      <c r="W40" s="706">
        <f t="shared" si="12"/>
        <v>100</v>
      </c>
      <c r="X40" s="1355"/>
      <c r="Y40" s="372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5"/>
      <c r="Q41" s="1352" t="str">
        <f t="shared" si="14"/>
        <v>宗地开发程度</v>
      </c>
      <c r="R41" s="701" t="s">
        <v>14</v>
      </c>
      <c r="S41" s="702">
        <f t="shared" si="10"/>
        <v>100</v>
      </c>
      <c r="T41" s="701" t="s">
        <v>14</v>
      </c>
      <c r="U41" s="702">
        <f t="shared" si="11"/>
        <v>100</v>
      </c>
      <c r="V41" s="701" t="s">
        <v>14</v>
      </c>
      <c r="W41" s="702">
        <f t="shared" si="12"/>
        <v>100</v>
      </c>
      <c r="X41" s="703"/>
      <c r="Y41" s="372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5" t="s">
        <v>1696</v>
      </c>
      <c r="Q42" s="1352" t="str">
        <f t="shared" si="14"/>
        <v>工程地质条件</v>
      </c>
      <c r="R42" s="705" t="s">
        <v>14</v>
      </c>
      <c r="S42" s="706">
        <f t="shared" si="10"/>
        <v>100</v>
      </c>
      <c r="T42" s="705" t="s">
        <v>14</v>
      </c>
      <c r="U42" s="706">
        <f t="shared" si="11"/>
        <v>100</v>
      </c>
      <c r="V42" s="705" t="s">
        <v>14</v>
      </c>
      <c r="W42" s="706">
        <f t="shared" si="12"/>
        <v>100</v>
      </c>
      <c r="X42" s="1355"/>
      <c r="Y42" s="372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5"/>
      <c r="Q43" s="1352">
        <f t="shared" si="14"/>
        <v>111</v>
      </c>
      <c r="R43" s="705" t="s">
        <v>14</v>
      </c>
      <c r="S43" s="706">
        <f t="shared" si="10"/>
        <v>100</v>
      </c>
      <c r="T43" s="705" t="s">
        <v>14</v>
      </c>
      <c r="U43" s="706">
        <f t="shared" si="11"/>
        <v>100</v>
      </c>
      <c r="V43" s="705" t="s">
        <v>14</v>
      </c>
      <c r="W43" s="706">
        <f t="shared" si="12"/>
        <v>100</v>
      </c>
      <c r="X43" s="1355"/>
      <c r="Y43" s="372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5"/>
      <c r="Q44" s="1352">
        <f t="shared" si="14"/>
        <v>111</v>
      </c>
      <c r="R44" s="705" t="s">
        <v>14</v>
      </c>
      <c r="S44" s="706">
        <f t="shared" si="10"/>
        <v>100</v>
      </c>
      <c r="T44" s="705" t="s">
        <v>14</v>
      </c>
      <c r="U44" s="706">
        <f t="shared" si="11"/>
        <v>100</v>
      </c>
      <c r="V44" s="705" t="s">
        <v>14</v>
      </c>
      <c r="W44" s="706">
        <f t="shared" si="12"/>
        <v>100</v>
      </c>
      <c r="X44" s="1355"/>
      <c r="Y44" s="372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5"/>
      <c r="Q45" s="1352">
        <f t="shared" si="14"/>
        <v>111</v>
      </c>
      <c r="R45" s="708" t="s">
        <v>14</v>
      </c>
      <c r="S45" s="709">
        <f t="shared" si="10"/>
        <v>100</v>
      </c>
      <c r="T45" s="708" t="s">
        <v>14</v>
      </c>
      <c r="U45" s="709">
        <f t="shared" si="11"/>
        <v>100</v>
      </c>
      <c r="V45" s="708" t="s">
        <v>14</v>
      </c>
      <c r="W45" s="709">
        <f t="shared" si="12"/>
        <v>100</v>
      </c>
      <c r="X45" s="710"/>
      <c r="Y45" s="372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8" t="str">
        <f>A46</f>
        <v>成交单价</v>
      </c>
      <c r="Q46" s="3718"/>
      <c r="R46" s="3713">
        <f>E46</f>
        <v>0</v>
      </c>
      <c r="S46" s="3713"/>
      <c r="T46" s="3713">
        <f>G46</f>
        <v>0</v>
      </c>
      <c r="U46" s="3713"/>
      <c r="V46" s="3713">
        <f>I46</f>
        <v>0</v>
      </c>
      <c r="W46" s="371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8" t="str">
        <f>A47</f>
        <v>比较价值（元/平方米）</v>
      </c>
      <c r="Q47" s="3718"/>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5" t="str">
        <f>A48</f>
        <v>估价对象XX用房的比较价值（楼面单价，元/平方米）</v>
      </c>
      <c r="Q48" s="3716"/>
      <c r="R48" s="3747" t="e">
        <f>ROUND(IF(D47="简单平均",AVERAGE(R47:W47),R47*F47+T47*H47+V47*J47),0)</f>
        <v>#DIV/0!</v>
      </c>
      <c r="S48" s="3747"/>
      <c r="T48" s="3747"/>
      <c r="U48" s="3747"/>
      <c r="V48" s="3747"/>
      <c r="W48" s="374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1" t="s">
        <v>1887</v>
      </c>
      <c r="H55" s="374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10629.2</v>
      </c>
      <c r="F56" s="886" t="e">
        <f t="shared" ref="F56:F64" si="15">ROUND(B56*E56/10000,0)</f>
        <v>#DIV/0!</v>
      </c>
      <c r="G56" s="3700"/>
      <c r="H56" s="371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10629.2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684"/>
      <c r="AC5" s="3684"/>
    </row>
    <row r="6" spans="1:29" ht="15.75" thickBot="1">
      <c r="A6" s="360"/>
      <c r="B6" s="361"/>
      <c r="C6" s="3749" t="s">
        <v>1919</v>
      </c>
      <c r="D6" s="3750"/>
      <c r="E6" s="3751" t="s">
        <v>1919</v>
      </c>
      <c r="F6" s="3752"/>
      <c r="G6" s="3749" t="s">
        <v>1919</v>
      </c>
      <c r="H6" s="3750"/>
      <c r="I6" s="3749" t="s">
        <v>1919</v>
      </c>
      <c r="J6" s="3750"/>
      <c r="K6" s="559" t="s">
        <v>1678</v>
      </c>
      <c r="L6" s="2715"/>
      <c r="M6" s="2716"/>
      <c r="N6" s="2716"/>
      <c r="O6" s="2716"/>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45252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6" t="s">
        <v>1683</v>
      </c>
      <c r="Q8" s="3687"/>
      <c r="R8" s="701" t="s">
        <v>14</v>
      </c>
      <c r="S8" s="702">
        <f t="shared" si="0"/>
        <v>0</v>
      </c>
      <c r="T8" s="701" t="s">
        <v>14</v>
      </c>
      <c r="U8" s="702">
        <f t="shared" si="1"/>
        <v>0</v>
      </c>
      <c r="V8" s="701" t="s">
        <v>14</v>
      </c>
      <c r="W8" s="702">
        <f t="shared" si="2"/>
        <v>0</v>
      </c>
      <c r="X8" s="703"/>
      <c r="Y8" s="3686" t="s">
        <v>1683</v>
      </c>
      <c r="Z8" s="368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8"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718"/>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8"/>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8"/>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8"/>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0" t="s">
        <v>1691</v>
      </c>
      <c r="Q15" s="1352" t="str">
        <f t="shared" si="6"/>
        <v>产业集聚程度</v>
      </c>
      <c r="R15" s="705" t="s">
        <v>14</v>
      </c>
      <c r="S15" s="706">
        <f t="shared" si="0"/>
        <v>100</v>
      </c>
      <c r="T15" s="705" t="s">
        <v>14</v>
      </c>
      <c r="U15" s="706">
        <f t="shared" si="1"/>
        <v>100</v>
      </c>
      <c r="V15" s="705" t="s">
        <v>14</v>
      </c>
      <c r="W15" s="706">
        <f t="shared" si="2"/>
        <v>100</v>
      </c>
      <c r="X15" s="1355"/>
      <c r="Y15" s="372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1"/>
      <c r="Q16" s="1352"/>
      <c r="R16" s="705"/>
      <c r="S16" s="706"/>
      <c r="T16" s="705"/>
      <c r="U16" s="706"/>
      <c r="V16" s="705"/>
      <c r="W16" s="706"/>
      <c r="X16" s="1355"/>
      <c r="Y16" s="372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1"/>
      <c r="Q18" s="1352"/>
      <c r="R18" s="705"/>
      <c r="S18" s="706"/>
      <c r="T18" s="705"/>
      <c r="U18" s="706"/>
      <c r="V18" s="705"/>
      <c r="W18" s="706"/>
      <c r="X18" s="1355"/>
      <c r="Y18" s="372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1"/>
      <c r="Q19" s="1352" t="str">
        <f t="shared" ref="Q19:Q33" si="8">B19</f>
        <v>区域土地利用方向</v>
      </c>
      <c r="R19" s="705" t="s">
        <v>14</v>
      </c>
      <c r="S19" s="706">
        <f>F19</f>
        <v>100</v>
      </c>
      <c r="T19" s="705" t="s">
        <v>14</v>
      </c>
      <c r="U19" s="706">
        <f>H19</f>
        <v>100</v>
      </c>
      <c r="V19" s="705" t="s">
        <v>14</v>
      </c>
      <c r="W19" s="706">
        <f>J19</f>
        <v>100</v>
      </c>
      <c r="X19" s="1355"/>
      <c r="Y19" s="372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1"/>
      <c r="Q20" s="1352"/>
      <c r="R20" s="705"/>
      <c r="S20" s="706"/>
      <c r="T20" s="705"/>
      <c r="U20" s="706"/>
      <c r="V20" s="705"/>
      <c r="W20" s="706"/>
      <c r="X20" s="1355"/>
      <c r="Y20" s="372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1"/>
      <c r="Q21" s="1352" t="str">
        <f t="shared" si="8"/>
        <v>环境状况</v>
      </c>
      <c r="R21" s="705" t="s">
        <v>14</v>
      </c>
      <c r="S21" s="706">
        <f>F21</f>
        <v>100</v>
      </c>
      <c r="T21" s="705" t="s">
        <v>14</v>
      </c>
      <c r="U21" s="706">
        <f>H21</f>
        <v>100</v>
      </c>
      <c r="V21" s="705" t="s">
        <v>14</v>
      </c>
      <c r="W21" s="706">
        <f>J21</f>
        <v>100</v>
      </c>
      <c r="X21" s="1355"/>
      <c r="Y21" s="372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1"/>
      <c r="Q22" s="1352"/>
      <c r="R22" s="705"/>
      <c r="S22" s="706"/>
      <c r="T22" s="705"/>
      <c r="U22" s="706"/>
      <c r="V22" s="705"/>
      <c r="W22" s="706"/>
      <c r="X22" s="1355"/>
      <c r="Y22" s="372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1"/>
      <c r="Q23" s="1343" t="str">
        <f t="shared" si="8"/>
        <v>公共配套设施</v>
      </c>
      <c r="R23" s="701" t="s">
        <v>14</v>
      </c>
      <c r="S23" s="702">
        <f>F23</f>
        <v>100</v>
      </c>
      <c r="T23" s="701" t="s">
        <v>14</v>
      </c>
      <c r="U23" s="702">
        <f>H23</f>
        <v>100</v>
      </c>
      <c r="V23" s="701" t="s">
        <v>14</v>
      </c>
      <c r="W23" s="702">
        <f>J23</f>
        <v>100</v>
      </c>
      <c r="X23" s="703"/>
      <c r="Y23" s="372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1"/>
      <c r="Q24" s="1343"/>
      <c r="R24" s="701"/>
      <c r="S24" s="702"/>
      <c r="T24" s="701"/>
      <c r="U24" s="702"/>
      <c r="V24" s="701"/>
      <c r="W24" s="702"/>
      <c r="X24" s="703"/>
      <c r="Y24" s="372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1"/>
      <c r="Q25" s="1343" t="str">
        <f t="shared" ref="Q25" si="9">B25</f>
        <v>基础设施水平</v>
      </c>
      <c r="R25" s="701" t="s">
        <v>14</v>
      </c>
      <c r="S25" s="702">
        <f>F25</f>
        <v>100</v>
      </c>
      <c r="T25" s="701" t="s">
        <v>14</v>
      </c>
      <c r="U25" s="702">
        <f>H25</f>
        <v>100</v>
      </c>
      <c r="V25" s="701" t="s">
        <v>14</v>
      </c>
      <c r="W25" s="702">
        <f>J25</f>
        <v>100</v>
      </c>
      <c r="X25" s="703"/>
      <c r="Y25" s="372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1"/>
      <c r="Q26" s="1343"/>
      <c r="R26" s="701"/>
      <c r="S26" s="702"/>
      <c r="T26" s="701"/>
      <c r="U26" s="702"/>
      <c r="V26" s="701"/>
      <c r="W26" s="702"/>
      <c r="X26" s="703"/>
      <c r="Y26" s="372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1"/>
      <c r="Q28" s="1352" t="str">
        <f t="shared" si="8"/>
        <v>毗邻道路的类型与等级</v>
      </c>
      <c r="R28" s="705" t="s">
        <v>14</v>
      </c>
      <c r="S28" s="706">
        <f t="shared" si="10"/>
        <v>100</v>
      </c>
      <c r="T28" s="705" t="s">
        <v>14</v>
      </c>
      <c r="U28" s="706">
        <f t="shared" si="11"/>
        <v>100</v>
      </c>
      <c r="V28" s="705" t="s">
        <v>14</v>
      </c>
      <c r="W28" s="706">
        <f t="shared" si="12"/>
        <v>100</v>
      </c>
      <c r="X28" s="1355"/>
      <c r="Y28" s="372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1"/>
      <c r="Q29" s="1352"/>
      <c r="R29" s="705"/>
      <c r="S29" s="706"/>
      <c r="T29" s="705"/>
      <c r="U29" s="706"/>
      <c r="V29" s="705"/>
      <c r="W29" s="706"/>
      <c r="X29" s="1355"/>
      <c r="Y29" s="372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1"/>
      <c r="Q30" s="1352" t="str">
        <f t="shared" si="8"/>
        <v>土地级别</v>
      </c>
      <c r="R30" s="705" t="s">
        <v>14</v>
      </c>
      <c r="S30" s="706">
        <f t="shared" si="10"/>
        <v>100</v>
      </c>
      <c r="T30" s="705" t="s">
        <v>14</v>
      </c>
      <c r="U30" s="706">
        <f t="shared" si="11"/>
        <v>100</v>
      </c>
      <c r="V30" s="705" t="s">
        <v>14</v>
      </c>
      <c r="W30" s="706">
        <f t="shared" si="12"/>
        <v>100</v>
      </c>
      <c r="X30" s="1355"/>
      <c r="Y30" s="372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1"/>
      <c r="Q31" s="1352">
        <f t="shared" si="8"/>
        <v>111</v>
      </c>
      <c r="R31" s="705" t="s">
        <v>14</v>
      </c>
      <c r="S31" s="706">
        <f t="shared" si="10"/>
        <v>100</v>
      </c>
      <c r="T31" s="705" t="s">
        <v>14</v>
      </c>
      <c r="U31" s="706">
        <f t="shared" si="11"/>
        <v>100</v>
      </c>
      <c r="V31" s="705" t="s">
        <v>14</v>
      </c>
      <c r="W31" s="706">
        <f t="shared" si="12"/>
        <v>100</v>
      </c>
      <c r="X31" s="1355"/>
      <c r="Y31" s="372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4" t="s">
        <v>1696</v>
      </c>
      <c r="Q32" s="1352">
        <f t="shared" si="8"/>
        <v>111</v>
      </c>
      <c r="R32" s="705" t="s">
        <v>14</v>
      </c>
      <c r="S32" s="706">
        <f t="shared" si="10"/>
        <v>100</v>
      </c>
      <c r="T32" s="705" t="s">
        <v>14</v>
      </c>
      <c r="U32" s="706">
        <f t="shared" si="11"/>
        <v>100</v>
      </c>
      <c r="V32" s="705" t="s">
        <v>14</v>
      </c>
      <c r="W32" s="706">
        <f t="shared" si="12"/>
        <v>100</v>
      </c>
      <c r="X32" s="1355"/>
      <c r="Y32" s="372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5"/>
      <c r="Q33" s="1352">
        <f t="shared" si="8"/>
        <v>111</v>
      </c>
      <c r="R33" s="708" t="s">
        <v>14</v>
      </c>
      <c r="S33" s="709">
        <f t="shared" si="10"/>
        <v>100</v>
      </c>
      <c r="T33" s="708" t="s">
        <v>14</v>
      </c>
      <c r="U33" s="709">
        <f t="shared" si="11"/>
        <v>100</v>
      </c>
      <c r="V33" s="708" t="s">
        <v>14</v>
      </c>
      <c r="W33" s="709">
        <f t="shared" si="12"/>
        <v>100</v>
      </c>
      <c r="X33" s="710"/>
      <c r="Y33" s="372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5"/>
      <c r="Q34" s="1352" t="str">
        <f>B34</f>
        <v>宗地面积</v>
      </c>
      <c r="R34" s="705" t="s">
        <v>14</v>
      </c>
      <c r="S34" s="706" t="e">
        <f t="shared" si="10"/>
        <v>#N/A</v>
      </c>
      <c r="T34" s="705" t="s">
        <v>14</v>
      </c>
      <c r="U34" s="706" t="e">
        <f t="shared" si="11"/>
        <v>#N/A</v>
      </c>
      <c r="V34" s="705" t="s">
        <v>14</v>
      </c>
      <c r="W34" s="706" t="e">
        <f t="shared" si="12"/>
        <v>#N/A</v>
      </c>
      <c r="X34" s="1355"/>
      <c r="Y34" s="372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5"/>
      <c r="Q35" s="1352" t="str">
        <f t="shared" ref="Q35:Q40" si="14">B35</f>
        <v>宗地形状</v>
      </c>
      <c r="R35" s="705" t="s">
        <v>14</v>
      </c>
      <c r="S35" s="706">
        <f t="shared" si="10"/>
        <v>100</v>
      </c>
      <c r="T35" s="705" t="s">
        <v>14</v>
      </c>
      <c r="U35" s="706">
        <f t="shared" si="11"/>
        <v>100</v>
      </c>
      <c r="V35" s="705" t="s">
        <v>14</v>
      </c>
      <c r="W35" s="706">
        <f t="shared" si="12"/>
        <v>100</v>
      </c>
      <c r="X35" s="1355"/>
      <c r="Y35" s="372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5"/>
      <c r="Q36" s="1352" t="str">
        <f t="shared" si="14"/>
        <v>宗地开发程度</v>
      </c>
      <c r="R36" s="701" t="s">
        <v>14</v>
      </c>
      <c r="S36" s="702">
        <f t="shared" si="10"/>
        <v>100</v>
      </c>
      <c r="T36" s="701" t="s">
        <v>14</v>
      </c>
      <c r="U36" s="702">
        <f t="shared" si="11"/>
        <v>100</v>
      </c>
      <c r="V36" s="701" t="s">
        <v>14</v>
      </c>
      <c r="W36" s="702">
        <f t="shared" si="12"/>
        <v>100</v>
      </c>
      <c r="X36" s="703"/>
      <c r="Y36" s="372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5" t="s">
        <v>1696</v>
      </c>
      <c r="Q37" s="1352" t="str">
        <f t="shared" si="14"/>
        <v>工程地质条件</v>
      </c>
      <c r="R37" s="705" t="s">
        <v>14</v>
      </c>
      <c r="S37" s="706">
        <f t="shared" si="10"/>
        <v>100</v>
      </c>
      <c r="T37" s="705" t="s">
        <v>14</v>
      </c>
      <c r="U37" s="706">
        <f t="shared" si="11"/>
        <v>100</v>
      </c>
      <c r="V37" s="705" t="s">
        <v>14</v>
      </c>
      <c r="W37" s="706">
        <f t="shared" si="12"/>
        <v>100</v>
      </c>
      <c r="X37" s="1355"/>
      <c r="Y37" s="372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5"/>
      <c r="Q38" s="1352">
        <f t="shared" si="14"/>
        <v>111</v>
      </c>
      <c r="R38" s="705" t="s">
        <v>14</v>
      </c>
      <c r="S38" s="706">
        <f t="shared" si="10"/>
        <v>100</v>
      </c>
      <c r="T38" s="705" t="s">
        <v>14</v>
      </c>
      <c r="U38" s="706">
        <f t="shared" si="11"/>
        <v>100</v>
      </c>
      <c r="V38" s="705" t="s">
        <v>14</v>
      </c>
      <c r="W38" s="706">
        <f t="shared" si="12"/>
        <v>100</v>
      </c>
      <c r="X38" s="1355"/>
      <c r="Y38" s="372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5"/>
      <c r="Q39" s="1352">
        <f t="shared" si="14"/>
        <v>111</v>
      </c>
      <c r="R39" s="705" t="s">
        <v>14</v>
      </c>
      <c r="S39" s="706">
        <f t="shared" si="10"/>
        <v>100</v>
      </c>
      <c r="T39" s="705" t="s">
        <v>14</v>
      </c>
      <c r="U39" s="706">
        <f t="shared" si="11"/>
        <v>100</v>
      </c>
      <c r="V39" s="705" t="s">
        <v>14</v>
      </c>
      <c r="W39" s="706">
        <f t="shared" si="12"/>
        <v>100</v>
      </c>
      <c r="X39" s="1355"/>
      <c r="Y39" s="372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5"/>
      <c r="Q40" s="1352">
        <f t="shared" si="14"/>
        <v>111</v>
      </c>
      <c r="R40" s="708" t="s">
        <v>14</v>
      </c>
      <c r="S40" s="709">
        <f t="shared" si="10"/>
        <v>100</v>
      </c>
      <c r="T40" s="708" t="s">
        <v>14</v>
      </c>
      <c r="U40" s="709">
        <f t="shared" si="11"/>
        <v>100</v>
      </c>
      <c r="V40" s="708" t="s">
        <v>14</v>
      </c>
      <c r="W40" s="709">
        <f t="shared" si="12"/>
        <v>100</v>
      </c>
      <c r="X40" s="710"/>
      <c r="Y40" s="372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8" t="str">
        <f>A41</f>
        <v>成交单价</v>
      </c>
      <c r="Q41" s="3718"/>
      <c r="R41" s="3713">
        <f>E41</f>
        <v>0</v>
      </c>
      <c r="S41" s="3713"/>
      <c r="T41" s="3713">
        <f>G41</f>
        <v>0</v>
      </c>
      <c r="U41" s="3713"/>
      <c r="V41" s="3713">
        <f>I41</f>
        <v>0</v>
      </c>
      <c r="W41" s="371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8" t="str">
        <f>A42</f>
        <v>比较价值（元/平方米）</v>
      </c>
      <c r="Q42" s="3718"/>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5" t="str">
        <f>A43</f>
        <v>估价对象XX用房的比较价值（楼面单价，元/平方米）</v>
      </c>
      <c r="Q43" s="3716"/>
      <c r="R43" s="3747" t="e">
        <f>ROUND(IF(D42="简单平均",AVERAGE(R42:W42),R42*F42+T42*H42+V42*J42),0)</f>
        <v>#DIV/0!</v>
      </c>
      <c r="S43" s="3747"/>
      <c r="T43" s="3747"/>
      <c r="U43" s="3747"/>
      <c r="V43" s="3747"/>
      <c r="W43" s="374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1" t="s">
        <v>1887</v>
      </c>
      <c r="H50" s="374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10629.2</v>
      </c>
      <c r="F51" s="639" t="e">
        <f t="shared" ref="F51:F60" si="15">ROUND(B51*E51/10000,0)</f>
        <v>#DIV/0!</v>
      </c>
      <c r="G51" s="3700"/>
      <c r="H51" s="371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9500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8563</v>
      </c>
      <c r="C2" s="2145" t="s">
        <v>2074</v>
      </c>
      <c r="D2" s="2145" t="s">
        <v>2075</v>
      </c>
      <c r="E2" s="2612">
        <f ca="1">SUMIF(E6:E13,"&lt;&gt;#ref!",E6:E13)</f>
        <v>10629.2</v>
      </c>
      <c r="F2" s="2793"/>
      <c r="G2" s="2793"/>
      <c r="H2" s="2793"/>
      <c r="I2" s="2793"/>
      <c r="J2" s="2793"/>
      <c r="K2" s="2793"/>
      <c r="L2" s="2793"/>
      <c r="M2" s="2793"/>
      <c r="N2" s="2793"/>
      <c r="O2" s="2793"/>
      <c r="P2" s="2793"/>
    </row>
    <row r="3" spans="1:16" ht="15.75">
      <c r="A3" s="2145" t="s">
        <v>2076</v>
      </c>
      <c r="B3" s="2602">
        <f ca="1">ROUND(B2*10000/E2,0)</f>
        <v>8056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8563</v>
      </c>
      <c r="C6" s="2145" t="s">
        <v>2074</v>
      </c>
      <c r="D6" s="2793"/>
      <c r="E6" s="2612">
        <f ca="1">SUMIF(INDIRECT("'"&amp;A6&amp;"'"&amp;"!C:C"),"建筑面积",INDIRECT("'"&amp;A6&amp;"'"&amp;"!D:D"))</f>
        <v>10629.2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59"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59" t="s">
        <v>2616</v>
      </c>
      <c r="C27" s="3103" t="s">
        <v>2456</v>
      </c>
      <c r="D27" s="3104"/>
      <c r="E27" s="3105">
        <v>1</v>
      </c>
      <c r="F27" s="3106" t="s">
        <v>2457</v>
      </c>
      <c r="G27" s="3106"/>
    </row>
    <row r="28" spans="1:13" ht="19.5" customHeight="1">
      <c r="A28" s="3763"/>
      <c r="B28" s="3760"/>
      <c r="C28" s="3107" t="s">
        <v>2458</v>
      </c>
      <c r="D28" s="3108"/>
      <c r="E28" s="3109">
        <v>1</v>
      </c>
      <c r="F28" s="3106" t="s">
        <v>2459</v>
      </c>
      <c r="G28" s="3106"/>
    </row>
    <row r="29" spans="1:13" ht="19.5" customHeight="1">
      <c r="A29" s="3763"/>
      <c r="B29" s="3760"/>
      <c r="C29" s="3107" t="s">
        <v>2460</v>
      </c>
      <c r="D29" s="3108"/>
      <c r="E29" s="3109">
        <v>0.8</v>
      </c>
      <c r="F29" s="3106" t="s">
        <v>2461</v>
      </c>
      <c r="G29" s="3106"/>
    </row>
    <row r="30" spans="1:13" ht="19.5" customHeight="1">
      <c r="A30" s="3763"/>
      <c r="B30" s="3760"/>
      <c r="C30" s="3107" t="s">
        <v>2462</v>
      </c>
      <c r="D30" s="3108"/>
      <c r="E30" s="3109">
        <v>0.8</v>
      </c>
      <c r="F30" s="3106" t="s">
        <v>2463</v>
      </c>
      <c r="G30" s="3106"/>
    </row>
    <row r="31" spans="1:13" ht="19.5" customHeight="1">
      <c r="A31" s="3763"/>
      <c r="B31" s="3760"/>
      <c r="C31" s="3107" t="s">
        <v>2464</v>
      </c>
      <c r="D31" s="3108"/>
      <c r="E31" s="3109">
        <v>0.8</v>
      </c>
      <c r="F31" s="3106" t="s">
        <v>2465</v>
      </c>
      <c r="G31" s="3106"/>
    </row>
    <row r="32" spans="1:13" ht="19.5" customHeight="1">
      <c r="A32" s="3763"/>
      <c r="B32" s="3760"/>
      <c r="C32" s="3107" t="s">
        <v>2466</v>
      </c>
      <c r="D32" s="3108"/>
      <c r="E32" s="3109">
        <v>0.7</v>
      </c>
      <c r="F32" s="3106" t="s">
        <v>2467</v>
      </c>
      <c r="G32" s="3106"/>
    </row>
    <row r="33" spans="1:7" ht="19.5" customHeight="1">
      <c r="A33" s="3763"/>
      <c r="B33" s="3760"/>
      <c r="C33" s="3107" t="s">
        <v>2468</v>
      </c>
      <c r="D33" s="3108"/>
      <c r="E33" s="3109">
        <v>0.8</v>
      </c>
      <c r="F33" s="3106" t="s">
        <v>2469</v>
      </c>
      <c r="G33" s="3106"/>
    </row>
    <row r="34" spans="1:7" ht="19.5" customHeight="1">
      <c r="A34" s="3763"/>
      <c r="B34" s="3760"/>
      <c r="C34" s="3107" t="s">
        <v>2470</v>
      </c>
      <c r="D34" s="3108"/>
      <c r="E34" s="3109">
        <v>0.6</v>
      </c>
      <c r="F34" s="3106" t="s">
        <v>2471</v>
      </c>
      <c r="G34" s="3106"/>
    </row>
    <row r="35" spans="1:7" ht="19.5" customHeight="1">
      <c r="A35" s="3763"/>
      <c r="B35" s="3760"/>
      <c r="C35" s="3107" t="s">
        <v>2472</v>
      </c>
      <c r="D35" s="3108"/>
      <c r="E35" s="3109">
        <v>0.2</v>
      </c>
      <c r="F35" s="3106" t="s">
        <v>2473</v>
      </c>
      <c r="G35" s="3106"/>
    </row>
    <row r="36" spans="1:7" ht="19.5" customHeight="1">
      <c r="A36" s="3763"/>
      <c r="B36" s="3760"/>
      <c r="C36" s="3107" t="s">
        <v>2474</v>
      </c>
      <c r="D36" s="3108"/>
      <c r="E36" s="3109">
        <v>0.2</v>
      </c>
      <c r="F36" s="3106" t="s">
        <v>2475</v>
      </c>
      <c r="G36" s="3106"/>
    </row>
    <row r="37" spans="1:7" ht="19.5" customHeight="1">
      <c r="A37" s="3763"/>
      <c r="B37" s="3765" t="s">
        <v>2636</v>
      </c>
      <c r="C37" s="3107" t="s">
        <v>2476</v>
      </c>
      <c r="D37" s="3108"/>
      <c r="E37" s="3109">
        <v>0.6</v>
      </c>
      <c r="F37" s="3106" t="s">
        <v>2477</v>
      </c>
      <c r="G37" s="3106"/>
    </row>
    <row r="38" spans="1:7" ht="19.5" customHeight="1">
      <c r="A38" s="3763"/>
      <c r="B38" s="3760"/>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59"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6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65"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5"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69"/>
      <c r="C89" s="3092" t="s">
        <v>2688</v>
      </c>
      <c r="D89" s="3092" t="s">
        <v>2689</v>
      </c>
      <c r="E89" s="3118">
        <v>0.1</v>
      </c>
      <c r="F89" s="3118">
        <v>15</v>
      </c>
    </row>
    <row r="90" spans="1:6" ht="13.5">
      <c r="A90" s="3118">
        <v>18</v>
      </c>
      <c r="B90" s="3765"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69"/>
      <c r="C106" s="3092" t="s">
        <v>2723</v>
      </c>
      <c r="D106" s="3092" t="s">
        <v>2724</v>
      </c>
      <c r="E106" s="3118">
        <v>0.1</v>
      </c>
      <c r="F106" s="3118">
        <v>15</v>
      </c>
    </row>
    <row r="107" spans="1:6" ht="24">
      <c r="A107" s="3118">
        <v>35</v>
      </c>
      <c r="B107" s="3765"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69"/>
      <c r="C112" s="3118" t="s">
        <v>2736</v>
      </c>
      <c r="D112" s="3092" t="s">
        <v>2737</v>
      </c>
      <c r="E112" s="3118">
        <v>0.1</v>
      </c>
      <c r="F112" s="3118">
        <v>15</v>
      </c>
    </row>
    <row r="113" spans="1:6" ht="13.5">
      <c r="A113" s="3118">
        <v>41</v>
      </c>
      <c r="B113" s="3770" t="s">
        <v>2738</v>
      </c>
      <c r="C113" s="3118" t="s">
        <v>2739</v>
      </c>
      <c r="D113" s="3092" t="s">
        <v>2740</v>
      </c>
      <c r="E113" s="3118">
        <v>0.1</v>
      </c>
      <c r="F113" s="3118">
        <v>15</v>
      </c>
    </row>
    <row r="114" spans="1:6" ht="13.5">
      <c r="A114" s="3118">
        <v>42</v>
      </c>
      <c r="B114" s="3770"/>
      <c r="C114" s="3118" t="s">
        <v>2741</v>
      </c>
      <c r="D114" s="3092" t="s">
        <v>2742</v>
      </c>
      <c r="E114" s="3118">
        <v>0.1</v>
      </c>
      <c r="F114" s="3118">
        <v>15</v>
      </c>
    </row>
    <row r="115" spans="1:6" ht="24">
      <c r="A115" s="3118">
        <v>43</v>
      </c>
      <c r="B115" s="3770"/>
      <c r="C115" s="3118" t="s">
        <v>2743</v>
      </c>
      <c r="D115" s="3092" t="s">
        <v>2744</v>
      </c>
      <c r="E115" s="3118">
        <v>0.1</v>
      </c>
      <c r="F115" s="3118">
        <v>15</v>
      </c>
    </row>
    <row r="116" spans="1:6" ht="13.5">
      <c r="A116" s="3118">
        <v>44</v>
      </c>
      <c r="B116" s="3765" t="s">
        <v>2745</v>
      </c>
      <c r="C116" s="3118" t="s">
        <v>2746</v>
      </c>
      <c r="D116" s="3092" t="s">
        <v>2747</v>
      </c>
      <c r="E116" s="3118">
        <v>0.1</v>
      </c>
      <c r="F116" s="3118">
        <v>15</v>
      </c>
    </row>
    <row r="117" spans="1:6" ht="24">
      <c r="A117" s="3118">
        <v>45</v>
      </c>
      <c r="B117" s="3769"/>
      <c r="C117" s="3092" t="s">
        <v>2748</v>
      </c>
      <c r="D117" s="3092" t="s">
        <v>2749</v>
      </c>
      <c r="E117" s="3118">
        <v>0.1</v>
      </c>
      <c r="F117" s="3118">
        <v>15</v>
      </c>
    </row>
    <row r="118" spans="1:6" ht="24">
      <c r="A118" s="3118">
        <v>46</v>
      </c>
      <c r="B118" s="3765" t="s">
        <v>2750</v>
      </c>
      <c r="C118" s="3118" t="s">
        <v>2751</v>
      </c>
      <c r="D118" s="3092" t="s">
        <v>2752</v>
      </c>
      <c r="E118" s="3118">
        <v>0.1</v>
      </c>
      <c r="F118" s="3118">
        <v>15</v>
      </c>
    </row>
    <row r="119" spans="1:6" ht="24">
      <c r="A119" s="3118">
        <v>47</v>
      </c>
      <c r="B119" s="3769"/>
      <c r="C119" s="3118" t="s">
        <v>2753</v>
      </c>
      <c r="D119" s="3092" t="s">
        <v>2754</v>
      </c>
      <c r="E119" s="3118">
        <v>0.1</v>
      </c>
      <c r="F119" s="3118">
        <v>15</v>
      </c>
    </row>
    <row r="120" spans="1:6" ht="13.5">
      <c r="A120" s="3118">
        <v>48</v>
      </c>
      <c r="B120" s="3765" t="s">
        <v>2755</v>
      </c>
      <c r="C120" s="3118" t="s">
        <v>2756</v>
      </c>
      <c r="D120" s="3092" t="s">
        <v>2757</v>
      </c>
      <c r="E120" s="3118">
        <v>0.1</v>
      </c>
      <c r="F120" s="3118">
        <v>15</v>
      </c>
    </row>
    <row r="121" spans="1:6" ht="13.5">
      <c r="A121" s="3118">
        <v>49</v>
      </c>
      <c r="B121" s="3769"/>
      <c r="C121" s="3118" t="s">
        <v>2758</v>
      </c>
      <c r="D121" s="3092" t="s">
        <v>2759</v>
      </c>
      <c r="E121" s="3118">
        <v>0.1</v>
      </c>
      <c r="F121" s="3118">
        <v>15</v>
      </c>
    </row>
    <row r="122" spans="1:6" ht="24">
      <c r="A122" s="3118">
        <v>50</v>
      </c>
      <c r="B122" s="3770" t="s">
        <v>2760</v>
      </c>
      <c r="C122" s="3118" t="s">
        <v>2761</v>
      </c>
      <c r="D122" s="3092" t="s">
        <v>2762</v>
      </c>
      <c r="E122" s="3118">
        <v>0.1</v>
      </c>
      <c r="F122" s="3118">
        <v>15</v>
      </c>
    </row>
    <row r="123" spans="1:6" ht="24">
      <c r="A123" s="3118">
        <v>51</v>
      </c>
      <c r="B123" s="3770"/>
      <c r="C123" s="3118" t="s">
        <v>2763</v>
      </c>
      <c r="D123" s="3092" t="s">
        <v>2764</v>
      </c>
      <c r="E123" s="3118">
        <v>0.1</v>
      </c>
      <c r="F123" s="3118">
        <v>15</v>
      </c>
    </row>
    <row r="124" spans="1:6" ht="24">
      <c r="A124" s="3118">
        <v>52</v>
      </c>
      <c r="B124" s="3770" t="s">
        <v>2765</v>
      </c>
      <c r="C124" s="3118" t="s">
        <v>2766</v>
      </c>
      <c r="D124" s="3092" t="s">
        <v>2767</v>
      </c>
      <c r="E124" s="3118">
        <v>0.1</v>
      </c>
      <c r="F124" s="3118">
        <v>15</v>
      </c>
    </row>
    <row r="125" spans="1:6" ht="24">
      <c r="A125" s="3118">
        <v>53</v>
      </c>
      <c r="B125" s="3770"/>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0" t="s">
        <v>2773</v>
      </c>
      <c r="C127" s="3118" t="s">
        <v>2774</v>
      </c>
      <c r="D127" s="3092" t="s">
        <v>2775</v>
      </c>
      <c r="E127" s="3118">
        <v>0.1</v>
      </c>
      <c r="F127" s="3118">
        <v>15</v>
      </c>
    </row>
    <row r="128" spans="1:6" ht="13.5">
      <c r="A128" s="3118">
        <v>56</v>
      </c>
      <c r="B128" s="3770"/>
      <c r="C128" s="3118" t="s">
        <v>2776</v>
      </c>
      <c r="D128" s="3092" t="s">
        <v>2777</v>
      </c>
      <c r="E128" s="3118">
        <v>0.1</v>
      </c>
      <c r="F128" s="3118">
        <v>15</v>
      </c>
    </row>
    <row r="129" spans="1:6" ht="24">
      <c r="A129" s="3118">
        <v>57</v>
      </c>
      <c r="B129" s="3770"/>
      <c r="C129" s="3118" t="s">
        <v>2778</v>
      </c>
      <c r="D129" s="3092" t="s">
        <v>2779</v>
      </c>
      <c r="E129" s="3118">
        <v>0.1</v>
      </c>
      <c r="F129" s="3118">
        <v>15</v>
      </c>
    </row>
    <row r="130" spans="1:6" ht="24">
      <c r="A130" s="3118">
        <v>58</v>
      </c>
      <c r="B130" s="3770" t="s">
        <v>2780</v>
      </c>
      <c r="C130" s="3118" t="s">
        <v>2781</v>
      </c>
      <c r="D130" s="3092" t="s">
        <v>2782</v>
      </c>
      <c r="E130" s="3118">
        <v>0.1</v>
      </c>
      <c r="F130" s="3118">
        <v>15</v>
      </c>
    </row>
    <row r="131" spans="1:6" ht="13.5">
      <c r="A131" s="3118">
        <v>59</v>
      </c>
      <c r="B131" s="3770"/>
      <c r="C131" s="3118" t="s">
        <v>2783</v>
      </c>
      <c r="D131" s="3092" t="s">
        <v>2784</v>
      </c>
      <c r="E131" s="3118">
        <v>0.1</v>
      </c>
      <c r="F131" s="3118">
        <v>15</v>
      </c>
    </row>
    <row r="132" spans="1:6" ht="13.5">
      <c r="A132" s="3118">
        <v>60</v>
      </c>
      <c r="B132" s="3765" t="s">
        <v>2785</v>
      </c>
      <c r="C132" s="3118" t="s">
        <v>2786</v>
      </c>
      <c r="D132" s="3092" t="s">
        <v>2787</v>
      </c>
      <c r="E132" s="3118">
        <v>0.1</v>
      </c>
      <c r="F132" s="3118">
        <v>15</v>
      </c>
    </row>
    <row r="133" spans="1:6" ht="13.5">
      <c r="A133" s="3118">
        <v>61</v>
      </c>
      <c r="B133" s="376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0" t="s">
        <v>2793</v>
      </c>
      <c r="C135" s="3118" t="s">
        <v>2794</v>
      </c>
      <c r="D135" s="3092" t="s">
        <v>2795</v>
      </c>
      <c r="E135" s="3118">
        <v>0.1</v>
      </c>
      <c r="F135" s="3118">
        <v>15</v>
      </c>
    </row>
    <row r="136" spans="1:6" ht="13.5">
      <c r="A136" s="3118">
        <v>64</v>
      </c>
      <c r="B136" s="3770"/>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1.1947000000000001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1.1364000000000001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14267</v>
      </c>
      <c r="E5" s="1491"/>
    </row>
    <row r="6" spans="1:5" ht="15.75">
      <c r="A6" s="1491"/>
      <c r="B6" s="3454"/>
      <c r="C6" s="1494" t="s">
        <v>911</v>
      </c>
      <c r="D6" s="850" t="str">
        <f ca="1">NUMBERSTRING(INT(D5*10000),2)&amp;"元整"</f>
        <v>壹亿肆仟贰佰陆拾柒万元整</v>
      </c>
      <c r="E6" s="1491"/>
    </row>
    <row r="7" spans="1:5" ht="15.75">
      <c r="A7" s="1491"/>
      <c r="B7" s="3459"/>
      <c r="C7" s="1495" t="s">
        <v>912</v>
      </c>
      <c r="D7" s="851">
        <f ca="1">结果表!H102</f>
        <v>13422</v>
      </c>
      <c r="E7" s="1491"/>
    </row>
    <row r="8" spans="1:5" ht="15.75">
      <c r="A8" s="1491"/>
      <c r="B8" s="3460" t="str">
        <f>结果表!E103</f>
        <v>2.估价师知悉的法定优先受偿款</v>
      </c>
      <c r="C8" s="1496" t="s">
        <v>913</v>
      </c>
      <c r="D8" s="851">
        <f>结果表!H103</f>
        <v>1323</v>
      </c>
      <c r="E8" s="1491"/>
    </row>
    <row r="9" spans="1:5" ht="15.75">
      <c r="A9" s="1491"/>
      <c r="B9" s="3462"/>
      <c r="C9" s="1494" t="s">
        <v>911</v>
      </c>
      <c r="D9" s="850" t="str">
        <f>NUMBERSTRING(INT(D8*10000),2)&amp;"元整"</f>
        <v>壹仟叁佰贰拾叁万元整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1323</v>
      </c>
      <c r="E12" s="1491"/>
    </row>
    <row r="13" spans="1:5" ht="15.75">
      <c r="A13" s="1491"/>
      <c r="B13" s="3453" t="str">
        <f>结果表!E107</f>
        <v>3.房地产抵押价值</v>
      </c>
      <c r="C13" s="1499" t="s">
        <v>910</v>
      </c>
      <c r="D13" s="853">
        <f ca="1">结果表!H107</f>
        <v>12944</v>
      </c>
      <c r="E13" s="1491"/>
    </row>
    <row r="14" spans="1:5" ht="15.75">
      <c r="A14" s="1491"/>
      <c r="B14" s="3454"/>
      <c r="C14" s="1494" t="s">
        <v>911</v>
      </c>
      <c r="D14" s="850" t="str">
        <f ca="1">NUMBERSTRING(INT(D13*10000),2)&amp;"元整"</f>
        <v>壹亿贰仟玖佰肆拾肆万元整</v>
      </c>
      <c r="E14" s="1491"/>
    </row>
    <row r="15" spans="1:5" ht="15">
      <c r="A15" s="1491"/>
      <c r="B15" s="3459"/>
      <c r="C15" s="1495" t="s">
        <v>921</v>
      </c>
      <c r="D15" s="859">
        <f ca="1">结果表!H108</f>
        <v>12178</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4.抵押净值</v>
      </c>
      <c r="C19" s="1499" t="s">
        <v>910</v>
      </c>
      <c r="D19" s="851">
        <f ca="1">结果表!H111</f>
        <v>4726</v>
      </c>
      <c r="E19" s="1491"/>
    </row>
    <row r="20" spans="1:5" ht="15.75">
      <c r="A20" s="1491"/>
      <c r="B20" s="3454"/>
      <c r="C20" s="1494" t="s">
        <v>923</v>
      </c>
      <c r="D20" s="850" t="str">
        <f ca="1">NUMBERSTRING(INT(D19*10000),2)&amp;"元整"</f>
        <v>肆仟柒佰贰拾陆万元整</v>
      </c>
      <c r="E20" s="1491"/>
    </row>
    <row r="21" spans="1:5" ht="15.75" thickBot="1">
      <c r="A21" s="1491"/>
      <c r="B21" s="3455"/>
      <c r="C21" s="1501" t="s">
        <v>921</v>
      </c>
      <c r="D21" s="860">
        <f ca="1">结果表!H112</f>
        <v>4446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29411</v>
      </c>
      <c r="C2" s="2" t="s">
        <v>106</v>
      </c>
      <c r="D2" s="199"/>
      <c r="E2" s="199"/>
      <c r="F2" s="199"/>
      <c r="G2" s="199"/>
    </row>
    <row r="3" spans="1:7" s="200" customFormat="1" ht="18" customHeight="1" thickBot="1">
      <c r="A3" s="203" t="s">
        <v>58</v>
      </c>
      <c r="B3" s="204">
        <f ca="1">ROUND(B2*10000/'数据-汇总表'!E3,0)</f>
        <v>27670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213</v>
      </c>
      <c r="D10" s="845">
        <f>'数据-汇总表'!E6</f>
        <v>10629.2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213</v>
      </c>
      <c r="D19" s="849">
        <f>'数据-汇总表'!E3</f>
        <v>10629.2</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1098</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11</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2124</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26468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3383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2976</v>
      </c>
      <c r="D34" s="217"/>
      <c r="E34" s="220"/>
      <c r="F34" s="257">
        <f>IF('数据-取费表'!B24=0,1,'数据-取费表'!N16)</f>
        <v>1</v>
      </c>
      <c r="G34" s="219" t="s">
        <v>89</v>
      </c>
    </row>
    <row r="35" spans="1:7" ht="13.5" customHeight="1">
      <c r="A35" s="780" t="s">
        <v>351</v>
      </c>
      <c r="B35" s="215" t="s">
        <v>33</v>
      </c>
      <c r="C35" s="220">
        <f>ROUND(C34*F35,0)</f>
        <v>149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213</v>
      </c>
      <c r="D37" s="217">
        <f>'数据-汇总表'!E3</f>
        <v>10629.2</v>
      </c>
      <c r="E37" s="249">
        <f>'数据-取费表'!B35</f>
        <v>200</v>
      </c>
      <c r="F37" s="259"/>
      <c r="G37" s="261" t="s">
        <v>92</v>
      </c>
    </row>
    <row r="38" spans="1:7" ht="13.5" customHeight="1">
      <c r="A38" s="780" t="s">
        <v>354</v>
      </c>
      <c r="B38" s="215" t="s">
        <v>36</v>
      </c>
      <c r="C38" s="220">
        <f>ROUND(C34*F38,0)</f>
        <v>45</v>
      </c>
      <c r="D38" s="220"/>
      <c r="E38" s="220"/>
      <c r="F38" s="259">
        <f>'数据-取费表'!B36</f>
        <v>1.4999999999999999E-2</v>
      </c>
      <c r="G38" s="219" t="s">
        <v>90</v>
      </c>
    </row>
    <row r="39" spans="1:7" s="214" customFormat="1" ht="13.5" customHeight="1">
      <c r="A39" s="777" t="s">
        <v>338</v>
      </c>
      <c r="B39" s="210" t="s">
        <v>77</v>
      </c>
      <c r="C39" s="232">
        <f>ROUND(C33*F20,0)</f>
        <v>68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89</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87</v>
      </c>
      <c r="D42" s="238"/>
      <c r="E42" s="238"/>
      <c r="F42" s="239"/>
      <c r="G42" s="3635" t="s">
        <v>94</v>
      </c>
    </row>
    <row r="43" spans="1:7" ht="13.5" customHeight="1">
      <c r="A43" s="780" t="s">
        <v>347</v>
      </c>
      <c r="B43" s="215" t="s">
        <v>426</v>
      </c>
      <c r="C43" s="238">
        <f ca="1">ROUND(IF('数据-取费表'!B22&lt;=1,C39*F22*'数据-取费表'!B21/2,C39*(POWER((1+F22),'数据-取费表'!B21/2)-1)),0)</f>
        <v>2</v>
      </c>
      <c r="D43" s="238"/>
      <c r="E43" s="238"/>
      <c r="F43" s="239"/>
      <c r="G43" s="3636"/>
    </row>
    <row r="44" spans="1:7" ht="13.5" customHeight="1">
      <c r="A44" s="780" t="s">
        <v>348</v>
      </c>
      <c r="B44" s="215" t="s">
        <v>428</v>
      </c>
      <c r="C44" s="238">
        <f ca="1">ROUND(IF('数据-取费表'!B22&lt;=1,C40*F22*'数据-取费表'!B21/2,C40*(POWER((1+F22),'数据-取费表'!B21/2)-1)),4)</f>
        <v>5.0000000000000001E-4</v>
      </c>
      <c r="D44" s="238"/>
      <c r="E44" s="238"/>
      <c r="F44" s="239"/>
      <c r="G44" s="3637"/>
    </row>
    <row r="45" spans="1:7" s="214" customFormat="1" ht="13.5" customHeight="1">
      <c r="A45" s="777" t="s">
        <v>341</v>
      </c>
      <c r="B45" s="244" t="s">
        <v>85</v>
      </c>
      <c r="C45" s="245">
        <f>C46</f>
        <v>345</v>
      </c>
      <c r="D45" s="235">
        <f>C47</f>
        <v>2E-3</v>
      </c>
      <c r="E45" s="236" t="s">
        <v>102</v>
      </c>
      <c r="F45" s="246"/>
      <c r="G45" s="247" t="s">
        <v>434</v>
      </c>
    </row>
    <row r="46" spans="1:7" s="214" customFormat="1" ht="13.5" customHeight="1">
      <c r="A46" s="780" t="s">
        <v>349</v>
      </c>
      <c r="B46" s="248" t="s">
        <v>427</v>
      </c>
      <c r="C46" s="249">
        <f>ROUND((C33+C39)*F27,0)</f>
        <v>345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4204</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2943</v>
      </c>
      <c r="D51" s="232"/>
      <c r="E51" s="232"/>
      <c r="F51" s="264"/>
      <c r="G51" s="234" t="s">
        <v>37</v>
      </c>
    </row>
    <row r="52" spans="1:7" s="208" customFormat="1" ht="16.5" thickBot="1">
      <c r="A52" s="265" t="s">
        <v>38</v>
      </c>
      <c r="B52" s="266"/>
      <c r="C52" s="267">
        <f ca="1">C31+C51</f>
        <v>29411</v>
      </c>
      <c r="D52" s="266"/>
      <c r="E52" s="266"/>
      <c r="F52" s="266"/>
      <c r="G52" s="268"/>
    </row>
    <row r="55" spans="1:7" ht="15">
      <c r="B55" s="270" t="s">
        <v>39</v>
      </c>
      <c r="C55" s="271"/>
    </row>
    <row r="56" spans="1:7">
      <c r="B56" s="273" t="s">
        <v>40</v>
      </c>
      <c r="C56" s="274">
        <f ca="1">ROUND(C51/C52,3)</f>
        <v>0.1</v>
      </c>
    </row>
    <row r="57" spans="1:7">
      <c r="B57" s="273" t="s">
        <v>41</v>
      </c>
      <c r="C57" s="275">
        <f ca="1">1-C56</f>
        <v>0.9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2843</v>
      </c>
      <c r="B1" s="3773"/>
      <c r="C1" s="3773"/>
      <c r="D1" s="3773"/>
      <c r="E1" s="3773"/>
      <c r="F1" s="3773"/>
      <c r="G1" s="3774"/>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1"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2"/>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3185</v>
      </c>
      <c r="B1" s="3775"/>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6" t="s">
        <v>3236</v>
      </c>
      <c r="B1" s="3776"/>
      <c r="C1" s="3776"/>
      <c r="D1" s="3776"/>
      <c r="E1" s="3776"/>
      <c r="F1" s="3777"/>
    </row>
    <row r="2" spans="1:6" ht="15">
      <c r="A2" s="3291" t="s">
        <v>3237</v>
      </c>
      <c r="B2" s="3292"/>
      <c r="C2" s="3292"/>
      <c r="D2" s="3292"/>
      <c r="E2" s="3292"/>
      <c r="F2" s="3292"/>
    </row>
    <row r="3" spans="1:6" ht="15">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45252</v>
      </c>
      <c r="B1" s="3210" t="s">
        <v>3376</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78" t="s">
        <v>2831</v>
      </c>
      <c r="S23" s="3779"/>
      <c r="T23" s="3779"/>
      <c r="U23" s="3779"/>
      <c r="V23" s="3779"/>
      <c r="W23" s="3779"/>
      <c r="X23" s="3165"/>
      <c r="Y23" s="3778" t="s">
        <v>2832</v>
      </c>
      <c r="Z23" s="3779"/>
      <c r="AA23" s="3779"/>
      <c r="AB23" s="3779"/>
      <c r="AC23" s="3779"/>
      <c r="AD23" s="3779"/>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45252</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10629.2</v>
      </c>
      <c r="C4" s="854">
        <f>项目基本情况!C18</f>
        <v>9500</v>
      </c>
      <c r="D4" s="854">
        <f ca="1">结果表!D118</f>
        <v>11357</v>
      </c>
      <c r="E4" s="854">
        <f ca="1">结果表!E118</f>
        <v>10684</v>
      </c>
      <c r="F4" s="854">
        <f ca="1">结果表!F118</f>
        <v>2910</v>
      </c>
      <c r="G4" s="854">
        <f ca="1">结果表!G118</f>
        <v>2738</v>
      </c>
      <c r="H4" s="854">
        <f ca="1">结果表!H118</f>
        <v>14267</v>
      </c>
      <c r="I4" s="854">
        <f ca="1">结果表!I118</f>
        <v>13422</v>
      </c>
    </row>
    <row r="5" spans="1:9" ht="30" customHeight="1">
      <c r="A5" s="3465" t="s">
        <v>927</v>
      </c>
      <c r="B5" s="3465"/>
      <c r="C5" s="3465"/>
      <c r="D5" s="3465" t="str">
        <f ca="1">结果表!D119</f>
        <v>壹亿壹仟叁佰伍拾柒万元整</v>
      </c>
      <c r="E5" s="3465"/>
      <c r="F5" s="3465" t="str">
        <f ca="1">结果表!F119</f>
        <v>贰仟玖佰壹拾万元整</v>
      </c>
      <c r="G5" s="3465"/>
      <c r="H5" s="3465" t="str">
        <f ca="1">结果表!H119</f>
        <v>壹亿肆仟贰佰陆拾柒万元整</v>
      </c>
      <c r="I5" s="3465"/>
    </row>
    <row r="6" spans="1:9" ht="15.75">
      <c r="A6" s="3466" t="str">
        <f>结果表!A120</f>
        <v>估价师知悉的法定优先受偿款</v>
      </c>
      <c r="B6" s="3466"/>
      <c r="C6" s="3466"/>
      <c r="D6" s="3466">
        <f>结果表!D120</f>
        <v>1323</v>
      </c>
      <c r="E6" s="3466"/>
      <c r="F6" s="3466"/>
      <c r="G6" s="3466"/>
      <c r="H6" s="3466"/>
      <c r="I6" s="3466"/>
    </row>
    <row r="7" spans="1:9" ht="15">
      <c r="A7" s="3465" t="s">
        <v>927</v>
      </c>
      <c r="B7" s="3465"/>
      <c r="C7" s="3465"/>
      <c r="D7" s="3467" t="str">
        <f>结果表!D121</f>
        <v>壹仟叁佰贰拾叁万元整</v>
      </c>
      <c r="E7" s="3468"/>
      <c r="F7" s="3468"/>
      <c r="G7" s="3468"/>
      <c r="H7" s="3468"/>
      <c r="I7" s="3469"/>
    </row>
    <row r="8" spans="1:9" ht="15.75">
      <c r="A8" s="3466" t="str">
        <f>结果表!A122</f>
        <v>房地产抵押价值</v>
      </c>
      <c r="B8" s="3466"/>
      <c r="C8" s="3466"/>
      <c r="D8" s="3466">
        <f ca="1">结果表!D122</f>
        <v>12944</v>
      </c>
      <c r="E8" s="3466"/>
      <c r="F8" s="3466"/>
      <c r="G8" s="3466"/>
      <c r="H8" s="3466"/>
      <c r="I8" s="3466"/>
    </row>
    <row r="9" spans="1:9" ht="15">
      <c r="A9" s="3465" t="s">
        <v>927</v>
      </c>
      <c r="B9" s="3465"/>
      <c r="C9" s="3465"/>
      <c r="D9" s="3465" t="str">
        <f ca="1">结果表!D123</f>
        <v>壹亿贰仟玖佰肆拾肆万元整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抵押净值</v>
      </c>
      <c r="B12" s="3466"/>
      <c r="C12" s="3466"/>
      <c r="D12" s="3466">
        <f ca="1">结果表!D126</f>
        <v>4726</v>
      </c>
      <c r="E12" s="3466"/>
      <c r="F12" s="3466"/>
      <c r="G12" s="3466"/>
      <c r="H12" s="3466"/>
      <c r="I12" s="3466"/>
    </row>
    <row r="13" spans="1:9" ht="15.75" thickBot="1">
      <c r="A13" s="3470" t="s">
        <v>927</v>
      </c>
      <c r="B13" s="3470"/>
      <c r="C13" s="3470"/>
      <c r="D13" s="3470" t="str">
        <f ca="1">结果表!D127</f>
        <v>肆仟柒佰贰拾陆万元整</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2" t="s">
        <v>949</v>
      </c>
      <c r="B1" s="3472"/>
      <c r="C1" s="3472"/>
      <c r="D1" s="3472"/>
    </row>
    <row r="2" spans="1:4" ht="18">
      <c r="A2" s="3473" t="s">
        <v>933</v>
      </c>
      <c r="B2" s="3473"/>
      <c r="C2" s="3473"/>
      <c r="D2" s="347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3" t="s">
        <v>939</v>
      </c>
      <c r="B6" s="3473"/>
      <c r="C6" s="3473"/>
      <c r="D6" s="347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故，本次评估估价师知悉的法定优先受偿款为人民币1323万元整。</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3"/>
      <c r="E18" s="3491" t="s">
        <v>2162</v>
      </c>
      <c r="F18" s="3490"/>
      <c r="G18" s="34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2023-11-23T09:26:19Z</dcterms:modified>
</cp:coreProperties>
</file>