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90" windowWidth="1297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租金商业" sheetId="82"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租赁合同" sheetId="80" r:id="rId47"/>
    <sheet name="市调" sheetId="81" r:id="rId48"/>
    <sheet name="Sheet4"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24" hidden="1">'比较法-租金商业'!$A$1:$L$49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24">'比较法-租金商业'!$A$1:$K$54,'比较法-租金商业'!$A$57:$M$131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'比较法-租金商业'!$B$116:$M$116</definedName>
    <definedName name="商业层高">'比较法-商业'!$B$116:$M$116</definedName>
    <definedName name="商业成新度" localSheetId="24">'比较法-租金商业'!$B$109:$M$109</definedName>
    <definedName name="商业成新度">'比较法-商业'!$B$109:$M$109</definedName>
    <definedName name="商业繁华度">定义!$L$1:$L$6</definedName>
    <definedName name="商业公共部分装修" localSheetId="24">'比较法-租金商业'!$B$107:$M$107</definedName>
    <definedName name="商业公共部分装修">'比较法-商业'!$B$107:$M$107</definedName>
    <definedName name="商业基础设施水平" localSheetId="24">'比较法-租金商业'!$B$112:$M$112</definedName>
    <definedName name="商业基础设施水平">'比较法-商业'!$B$112:$M$112</definedName>
    <definedName name="商业建筑结构" localSheetId="24">'比较法-租金商业'!$B$105:$M$105</definedName>
    <definedName name="商业建筑结构">'比较法-商业'!$B$105:$M$105</definedName>
    <definedName name="商业交易情况" localSheetId="24">'比较法-租金商业'!$A$61:$M$61</definedName>
    <definedName name="商业交易情况">'比较法-商业'!$A$61:$M$61</definedName>
    <definedName name="商业街名称">修正!$C$71:$C$138</definedName>
    <definedName name="商业进深比" localSheetId="24">'比较法-租金商业'!$B$120:$M$120</definedName>
    <definedName name="商业进深比">'比较法-商业'!$B$120:$M$120</definedName>
    <definedName name="商业类型" localSheetId="24">'比较法-租金商业'!$B$100:$M$100</definedName>
    <definedName name="商业类型">'比较法-商业'!$B$100:$M$100</definedName>
    <definedName name="商业临街状况" localSheetId="24">'比较法-租金商业'!$B$86:$M$86</definedName>
    <definedName name="商业临街状况">'比较法-商业'!$B$86:$M$86</definedName>
    <definedName name="商业楼层" localSheetId="24">'比较法-租金商业'!$B$92:$M$92</definedName>
    <definedName name="商业楼层">'比较法-商业'!$B$92:$M$92</definedName>
    <definedName name="商业内部装修" localSheetId="24">'比较法-租金商业'!$B$122:$M$122</definedName>
    <definedName name="商业内部装修">'比较法-商业'!$B$122:$M$122</definedName>
    <definedName name="商业人流量" localSheetId="24">'比较法-租金商业'!$B$90:$M$90</definedName>
    <definedName name="商业人流量">'比较法-商业'!$B$90:$M$90</definedName>
    <definedName name="商业业态" localSheetId="24">'比较法-租金商业'!$B$114:$M$114</definedName>
    <definedName name="商业业态">'比较法-商业'!$B$114:$M$114</definedName>
    <definedName name="商业用途" localSheetId="24">'比较法-租金商业'!$B$63:$M$63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95" i="33" l="1"/>
  <c r="C93" i="33" s="1"/>
  <c r="G47" i="82" l="1"/>
  <c r="I47" i="82"/>
  <c r="I10" i="33" l="1"/>
  <c r="G10" i="33"/>
  <c r="G4" i="80"/>
  <c r="H4" i="80" s="1"/>
  <c r="I4" i="80" s="1"/>
  <c r="C10" i="33"/>
  <c r="E10" i="33"/>
  <c r="B130" i="82"/>
  <c r="F46" i="82" s="1"/>
  <c r="AA46" i="82" s="1"/>
  <c r="B128" i="82"/>
  <c r="H45" i="82" s="1"/>
  <c r="AB45" i="82" s="1"/>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G101" i="82" s="1"/>
  <c r="H101" i="82" s="1"/>
  <c r="I101" i="82" s="1"/>
  <c r="J101" i="82" s="1"/>
  <c r="K101" i="82" s="1"/>
  <c r="L101" i="82" s="1"/>
  <c r="M101" i="82" s="1"/>
  <c r="D101" i="82"/>
  <c r="B98" i="82"/>
  <c r="B96" i="82"/>
  <c r="F30" i="82" s="1"/>
  <c r="AA30" i="82" s="1"/>
  <c r="D95" i="82"/>
  <c r="B94" i="82"/>
  <c r="B92" i="82"/>
  <c r="D91" i="82"/>
  <c r="E91" i="82" s="1"/>
  <c r="B90" i="82"/>
  <c r="D89" i="82"/>
  <c r="E89" i="82" s="1"/>
  <c r="F89" i="82" s="1"/>
  <c r="G89" i="82" s="1"/>
  <c r="B88" i="82"/>
  <c r="H26" i="82" s="1"/>
  <c r="AB26" i="82" s="1"/>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H13" i="82" s="1"/>
  <c r="AB13" i="82" s="1"/>
  <c r="B70" i="82"/>
  <c r="J12" i="82" s="1"/>
  <c r="AC12" i="82" s="1"/>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D66" i="82"/>
  <c r="C63" i="82"/>
  <c r="H9" i="82" s="1"/>
  <c r="AB9" i="82" s="1"/>
  <c r="I54" i="82"/>
  <c r="J54" i="82" s="1"/>
  <c r="G54" i="82"/>
  <c r="H54" i="82" s="1"/>
  <c r="E54" i="82"/>
  <c r="F54" i="82" s="1"/>
  <c r="P49" i="82"/>
  <c r="P48" i="82"/>
  <c r="K48" i="82"/>
  <c r="V47" i="82"/>
  <c r="T47" i="82"/>
  <c r="R47" i="82"/>
  <c r="P47" i="82"/>
  <c r="Q46" i="82"/>
  <c r="Z46" i="82" s="1"/>
  <c r="J46" i="82"/>
  <c r="AC46" i="82" s="1"/>
  <c r="H46" i="82"/>
  <c r="AB46" i="82" s="1"/>
  <c r="Q45" i="82"/>
  <c r="Z45" i="82" s="1"/>
  <c r="F45" i="82"/>
  <c r="AA45" i="82" s="1"/>
  <c r="Q44" i="82"/>
  <c r="Z44" i="82" s="1"/>
  <c r="J44" i="82"/>
  <c r="AC44" i="82" s="1"/>
  <c r="H44" i="82"/>
  <c r="AB44" i="82" s="1"/>
  <c r="F44" i="82"/>
  <c r="AA44" i="82" s="1"/>
  <c r="Q43" i="82"/>
  <c r="Z43" i="82" s="1"/>
  <c r="J43" i="82"/>
  <c r="AC43" i="82" s="1"/>
  <c r="H43" i="82"/>
  <c r="AB43" i="82" s="1"/>
  <c r="F43" i="82"/>
  <c r="AA43" i="82" s="1"/>
  <c r="Q42" i="82"/>
  <c r="Z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Q27" i="82"/>
  <c r="Z27" i="82" s="1"/>
  <c r="Q26" i="82"/>
  <c r="Z26" i="82" s="1"/>
  <c r="J26" i="82"/>
  <c r="AC26" i="82" s="1"/>
  <c r="F26" i="82"/>
  <c r="AA26" i="82" s="1"/>
  <c r="Z25" i="82"/>
  <c r="Q25" i="82"/>
  <c r="J25" i="82"/>
  <c r="AC25" i="82" s="1"/>
  <c r="H25" i="82"/>
  <c r="AB25" i="82" s="1"/>
  <c r="F25" i="82"/>
  <c r="AA25" i="82" s="1"/>
  <c r="Q23" i="82"/>
  <c r="Z23" i="82" s="1"/>
  <c r="J23" i="82"/>
  <c r="AC23" i="82" s="1"/>
  <c r="H23" i="82"/>
  <c r="AB23" i="82" s="1"/>
  <c r="F23" i="82"/>
  <c r="S23" i="82" s="1"/>
  <c r="C23" i="82"/>
  <c r="Q21" i="82"/>
  <c r="Z21" i="82" s="1"/>
  <c r="J21" i="82"/>
  <c r="W21" i="82" s="1"/>
  <c r="H21" i="82"/>
  <c r="U21" i="82" s="1"/>
  <c r="F21" i="82"/>
  <c r="AA21" i="82" s="1"/>
  <c r="C21" i="82"/>
  <c r="AB19" i="82"/>
  <c r="Q19" i="82"/>
  <c r="Z19" i="82" s="1"/>
  <c r="H19" i="82"/>
  <c r="U19" i="82" s="1"/>
  <c r="F19" i="82"/>
  <c r="S19" i="82" s="1"/>
  <c r="C19" i="82"/>
  <c r="Q17" i="82"/>
  <c r="Z17" i="82" s="1"/>
  <c r="J17" i="82"/>
  <c r="AC17" i="82" s="1"/>
  <c r="C17" i="82"/>
  <c r="Q15" i="82"/>
  <c r="Z15" i="82" s="1"/>
  <c r="J15" i="82"/>
  <c r="W15" i="82" s="1"/>
  <c r="H15" i="82"/>
  <c r="AB15" i="82" s="1"/>
  <c r="F15" i="82"/>
  <c r="S15" i="82" s="1"/>
  <c r="C15" i="82"/>
  <c r="Q14" i="82"/>
  <c r="Z14" i="82" s="1"/>
  <c r="J14" i="82"/>
  <c r="W14" i="82" s="1"/>
  <c r="H14" i="82"/>
  <c r="U14" i="82" s="1"/>
  <c r="F14" i="82"/>
  <c r="S14" i="82" s="1"/>
  <c r="Q13" i="82"/>
  <c r="Z13" i="82" s="1"/>
  <c r="J13" i="82"/>
  <c r="F13" i="82"/>
  <c r="S13" i="82" s="1"/>
  <c r="Q12" i="82"/>
  <c r="Z12" i="82" s="1"/>
  <c r="Q11" i="82"/>
  <c r="Z11" i="82" s="1"/>
  <c r="J11" i="82"/>
  <c r="AC11" i="82" s="1"/>
  <c r="H11" i="82"/>
  <c r="AB11" i="82" s="1"/>
  <c r="F11" i="82"/>
  <c r="AA11" i="82" s="1"/>
  <c r="Q10" i="82"/>
  <c r="Z10" i="82" s="1"/>
  <c r="J10" i="82"/>
  <c r="AC10" i="82" s="1"/>
  <c r="H10" i="82"/>
  <c r="AB10" i="82" s="1"/>
  <c r="F10" i="82"/>
  <c r="AA10" i="82" s="1"/>
  <c r="Q9" i="82"/>
  <c r="Z9" i="82" s="1"/>
  <c r="J9" i="82"/>
  <c r="AC9" i="82" s="1"/>
  <c r="F9" i="82"/>
  <c r="AA9" i="82" s="1"/>
  <c r="J8" i="82"/>
  <c r="W8" i="82" s="1"/>
  <c r="H8" i="82"/>
  <c r="U8" i="82" s="1"/>
  <c r="F8" i="82"/>
  <c r="S8" i="82" s="1"/>
  <c r="V22" i="1"/>
  <c r="T21" i="1"/>
  <c r="W21" i="1" s="1"/>
  <c r="B4" i="80"/>
  <c r="C8" i="80" s="1"/>
  <c r="C4" i="80"/>
  <c r="D2" i="82"/>
  <c r="J45" i="82" l="1"/>
  <c r="AC45" i="82" s="1"/>
  <c r="H12" i="82"/>
  <c r="AB12" i="82" s="1"/>
  <c r="AA14" i="82"/>
  <c r="F17" i="82"/>
  <c r="J19" i="82"/>
  <c r="W19" i="82" s="1"/>
  <c r="AC21" i="82"/>
  <c r="J42" i="82"/>
  <c r="AC42" i="82" s="1"/>
  <c r="C5" i="80"/>
  <c r="J4" i="80" s="1"/>
  <c r="F12" i="82"/>
  <c r="AA12" i="82" s="1"/>
  <c r="J30" i="82"/>
  <c r="AC30" i="82" s="1"/>
  <c r="AC14" i="82"/>
  <c r="H17" i="82"/>
  <c r="U17" i="82" s="1"/>
  <c r="AA8" i="82"/>
  <c r="U9" i="82"/>
  <c r="W10" i="82"/>
  <c r="U13" i="82"/>
  <c r="AB14" i="82"/>
  <c r="U15" i="82"/>
  <c r="AC15" i="82"/>
  <c r="W17" i="82"/>
  <c r="AA19" i="82"/>
  <c r="S21" i="82"/>
  <c r="AB21" i="82"/>
  <c r="U23" i="82"/>
  <c r="U25" i="82"/>
  <c r="W9" i="82"/>
  <c r="S11" i="82"/>
  <c r="AC13" i="82"/>
  <c r="W13" i="82"/>
  <c r="W23" i="82"/>
  <c r="AB8" i="82"/>
  <c r="AC8" i="82"/>
  <c r="S10" i="82"/>
  <c r="U11" i="82"/>
  <c r="W12" i="82"/>
  <c r="AA13" i="82"/>
  <c r="AA15" i="82"/>
  <c r="AC19" i="82"/>
  <c r="AA23" i="82"/>
  <c r="F27" i="82"/>
  <c r="F91" i="82"/>
  <c r="G91" i="82" s="1"/>
  <c r="H91" i="82" s="1"/>
  <c r="I91" i="82" s="1"/>
  <c r="J91" i="82" s="1"/>
  <c r="K91" i="82" s="1"/>
  <c r="L91" i="82" s="1"/>
  <c r="M91" i="82" s="1"/>
  <c r="J27" i="82"/>
  <c r="H27" i="82"/>
  <c r="S9" i="82"/>
  <c r="U10" i="82"/>
  <c r="W11" i="82"/>
  <c r="S26" i="82"/>
  <c r="S30" i="82"/>
  <c r="U31" i="82"/>
  <c r="W32" i="82"/>
  <c r="S34" i="82"/>
  <c r="U35" i="82"/>
  <c r="W37" i="82"/>
  <c r="S39" i="82"/>
  <c r="U40" i="82"/>
  <c r="W41" i="82"/>
  <c r="S43" i="82"/>
  <c r="U44" i="82"/>
  <c r="W45" i="82"/>
  <c r="S25" i="82"/>
  <c r="U26" i="82"/>
  <c r="S29" i="82"/>
  <c r="U30" i="82"/>
  <c r="W31" i="82"/>
  <c r="S33" i="82"/>
  <c r="U34" i="82"/>
  <c r="W35" i="82"/>
  <c r="S38" i="82"/>
  <c r="U39" i="82"/>
  <c r="W40" i="82"/>
  <c r="S42" i="82"/>
  <c r="U43" i="82"/>
  <c r="W44" i="82"/>
  <c r="S46" i="82"/>
  <c r="W26" i="82"/>
  <c r="U29" i="82"/>
  <c r="W30" i="82"/>
  <c r="S32" i="82"/>
  <c r="U33" i="82"/>
  <c r="W34" i="82"/>
  <c r="S37" i="82"/>
  <c r="U38" i="82"/>
  <c r="W39" i="82"/>
  <c r="S41" i="82"/>
  <c r="U42" i="82"/>
  <c r="W43" i="82"/>
  <c r="S45" i="82"/>
  <c r="U46" i="82"/>
  <c r="E95" i="82"/>
  <c r="C93" i="82" s="1"/>
  <c r="W25" i="82"/>
  <c r="W29" i="82"/>
  <c r="S31" i="82"/>
  <c r="U32" i="82"/>
  <c r="W33" i="82"/>
  <c r="S35" i="82"/>
  <c r="U37" i="82"/>
  <c r="W38" i="82"/>
  <c r="S40" i="82"/>
  <c r="U41" i="82"/>
  <c r="S44" i="82"/>
  <c r="U45" i="82"/>
  <c r="W46" i="82"/>
  <c r="E89" i="33"/>
  <c r="F89" i="33"/>
  <c r="G89" i="33" s="1"/>
  <c r="D89" i="33"/>
  <c r="E66" i="33"/>
  <c r="F66" i="33"/>
  <c r="D66" i="33"/>
  <c r="C66" i="9"/>
  <c r="J49" i="67"/>
  <c r="N19" i="1"/>
  <c r="N21" i="1" s="1"/>
  <c r="N6" i="1" s="1"/>
  <c r="D3" i="4"/>
  <c r="AB17" i="82" l="1"/>
  <c r="W42" i="82"/>
  <c r="U12" i="82"/>
  <c r="S12" i="82"/>
  <c r="S17" i="82"/>
  <c r="AA17" i="82"/>
  <c r="C36" i="33"/>
  <c r="C36" i="82"/>
  <c r="Y6" i="1"/>
  <c r="AA27" i="82"/>
  <c r="S27" i="82"/>
  <c r="AB27" i="82"/>
  <c r="U27" i="82"/>
  <c r="H28" i="82"/>
  <c r="F28" i="82"/>
  <c r="J28" i="82"/>
  <c r="AC27" i="82"/>
  <c r="W27" i="82"/>
  <c r="D93" i="82"/>
  <c r="D93" i="33"/>
  <c r="I12" i="79"/>
  <c r="F36" i="82" l="1"/>
  <c r="H36" i="82"/>
  <c r="J36" i="82"/>
  <c r="AB28" i="82"/>
  <c r="U28" i="82"/>
  <c r="AA28" i="82"/>
  <c r="S28" i="82"/>
  <c r="AC28" i="82"/>
  <c r="W28" i="82"/>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W36" i="82" l="1"/>
  <c r="AC36" i="82"/>
  <c r="AB36" i="82"/>
  <c r="U36" i="82"/>
  <c r="S36" i="82"/>
  <c r="AA36"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D53" i="78"/>
  <c r="D52" i="78"/>
  <c r="B51" i="78"/>
  <c r="B56" i="78" s="1"/>
  <c r="B55" i="78" l="1"/>
  <c r="D55" i="78" s="1"/>
  <c r="D51" i="78"/>
  <c r="C51" i="78" s="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S20" i="79"/>
  <c r="AG20" i="79" s="1"/>
  <c r="T22" i="79"/>
  <c r="AD37" i="79"/>
  <c r="AD36" i="79"/>
  <c r="AD38" i="79"/>
  <c r="AR40" i="79"/>
  <c r="AR41" i="79" s="1"/>
  <c r="AR42" i="79" s="1"/>
  <c r="AR43" i="79" s="1"/>
  <c r="AR44" i="79" s="1"/>
  <c r="AR45" i="79" s="1"/>
  <c r="AR46" i="79" s="1"/>
  <c r="AR47" i="79" s="1"/>
  <c r="AR48" i="79" s="1"/>
  <c r="AR49" i="79" s="1"/>
  <c r="AR50" i="79" s="1"/>
  <c r="AR51" i="79" s="1"/>
  <c r="AR52" i="79" s="1"/>
  <c r="S34" i="79"/>
  <c r="AG34" i="79" s="1"/>
  <c r="S35" i="79"/>
  <c r="AG35" i="79" s="1"/>
  <c r="S33" i="79"/>
  <c r="AG33" i="79" s="1"/>
  <c r="T40" i="79"/>
  <c r="U46" i="79"/>
  <c r="AI46" i="79" s="1"/>
  <c r="AD47" i="79"/>
  <c r="S48" i="79"/>
  <c r="AG48" i="79" s="1"/>
  <c r="T33" i="79"/>
  <c r="T35" i="79"/>
  <c r="T34" i="79"/>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5" i="79"/>
  <c r="W35" i="79"/>
  <c r="AK35" i="79" s="1"/>
  <c r="W23" i="79"/>
  <c r="AK23" i="79" s="1"/>
  <c r="AH23" i="79"/>
  <c r="W12" i="79"/>
  <c r="AK12" i="79" s="1"/>
  <c r="AH12" i="79"/>
  <c r="W21" i="79"/>
  <c r="AK21" i="79" s="1"/>
  <c r="AH21" i="79"/>
  <c r="W47" i="79"/>
  <c r="AK47" i="79" s="1"/>
  <c r="AH47" i="79"/>
  <c r="W45" i="79"/>
  <c r="AK45" i="79" s="1"/>
  <c r="AH45" i="79"/>
  <c r="W33" i="79"/>
  <c r="AK33" i="79" s="1"/>
  <c r="AH33" i="79"/>
  <c r="W40" i="79"/>
  <c r="AK40" i="79" s="1"/>
  <c r="AH40" i="79"/>
  <c r="W22" i="79"/>
  <c r="AK22" i="79" s="1"/>
  <c r="AH22"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N37" i="71"/>
  <c r="B38" i="71" s="1"/>
  <c r="D37" i="71"/>
  <c r="Q36" i="71"/>
  <c r="AB36" i="71" s="1"/>
  <c r="P36" i="71"/>
  <c r="O36" i="71"/>
  <c r="N36" i="71"/>
  <c r="Q35" i="71"/>
  <c r="AB35" i="71" s="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N68" i="71"/>
  <c r="E34" i="71"/>
  <c r="C30" i="71"/>
  <c r="D30" i="71" s="1"/>
  <c r="C38" i="71"/>
  <c r="D38" i="71" s="1"/>
  <c r="B28" i="71"/>
  <c r="B27" i="71" s="1"/>
  <c r="B26" i="71"/>
  <c r="P28" i="71"/>
  <c r="E28" i="71" s="1"/>
  <c r="Q28" i="71"/>
  <c r="C59" i="71"/>
  <c r="C60" i="71" s="1"/>
  <c r="D58" i="71"/>
  <c r="T68" i="71"/>
  <c r="O68" i="71"/>
  <c r="D68" i="71"/>
  <c r="Q68" i="71"/>
  <c r="E71" i="71"/>
  <c r="E70" i="71" s="1"/>
  <c r="C75" i="71"/>
  <c r="D75" i="71" s="1"/>
  <c r="D76" i="71"/>
  <c r="E79" i="71"/>
  <c r="E78" i="71" s="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21" i="34"/>
  <c r="H25" i="40"/>
  <c r="AB25" i="40" s="1"/>
  <c r="J25" i="40"/>
  <c r="H29" i="39"/>
  <c r="AB29" i="39" s="1"/>
  <c r="J29" i="39"/>
  <c r="J18" i="36"/>
  <c r="AC18" i="36" s="1"/>
  <c r="H18" i="35"/>
  <c r="AB18" i="35" s="1"/>
  <c r="J18" i="35"/>
  <c r="H21" i="37"/>
  <c r="AB21" i="37" s="1"/>
  <c r="F21" i="37"/>
  <c r="AA21" i="37" s="1"/>
  <c r="H21" i="34"/>
  <c r="AB21" i="34" s="1"/>
  <c r="H21" i="33"/>
  <c r="U21" i="33" s="1"/>
  <c r="F21" i="33"/>
  <c r="AA21" i="33" s="1"/>
  <c r="E83" i="21"/>
  <c r="F83" i="21" s="1"/>
  <c r="G83" i="21" s="1"/>
  <c r="H1" i="69"/>
  <c r="AC25" i="40"/>
  <c r="W25" i="40"/>
  <c r="U25" i="40"/>
  <c r="U29" i="39"/>
  <c r="W18" i="36"/>
  <c r="U21" i="34"/>
  <c r="AB21" i="33"/>
  <c r="J21" i="37"/>
  <c r="W21" i="37" s="1"/>
  <c r="J21" i="34"/>
  <c r="W21" i="34" s="1"/>
  <c r="J21" i="33"/>
  <c r="W21" i="33" s="1"/>
  <c r="H21" i="21"/>
  <c r="U21" i="21" s="1"/>
  <c r="F38" i="69"/>
  <c r="E37" i="69"/>
  <c r="F36" i="69"/>
  <c r="F35" i="69"/>
  <c r="F21" i="69"/>
  <c r="F20" i="69"/>
  <c r="F39" i="69" s="1"/>
  <c r="E10" i="69"/>
  <c r="E9" i="69"/>
  <c r="AC21" i="37"/>
  <c r="J21" i="21"/>
  <c r="W21" i="21" s="1"/>
  <c r="F38" i="68"/>
  <c r="E37" i="68"/>
  <c r="F36" i="68"/>
  <c r="F35" i="68"/>
  <c r="F21" i="68"/>
  <c r="C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T22"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W30" i="36" s="1"/>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AC41" i="33" s="1"/>
  <c r="D113" i="33"/>
  <c r="F37" i="33"/>
  <c r="D111" i="33"/>
  <c r="E111" i="33"/>
  <c r="F36"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F23" i="36"/>
  <c r="AA23" i="36"/>
  <c r="Q22" i="36"/>
  <c r="Z22" i="36" s="1"/>
  <c r="J22" i="36"/>
  <c r="AC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H34" i="35" s="1"/>
  <c r="B77" i="35"/>
  <c r="F25" i="35" s="1"/>
  <c r="S25" i="35" s="1"/>
  <c r="B75" i="35"/>
  <c r="J24" i="35" s="1"/>
  <c r="AC24" i="35" s="1"/>
  <c r="B73" i="35"/>
  <c r="J23" i="35" s="1"/>
  <c r="AC23" i="35" s="1"/>
  <c r="H23" i="35"/>
  <c r="U23" i="35" s="1"/>
  <c r="B57" i="35"/>
  <c r="F11" i="35" s="1"/>
  <c r="B61" i="35"/>
  <c r="B59" i="35"/>
  <c r="F12" i="35" s="1"/>
  <c r="B131" i="34"/>
  <c r="B129" i="34"/>
  <c r="J46" i="34" s="1"/>
  <c r="W46" i="34" s="1"/>
  <c r="B127" i="34"/>
  <c r="B99" i="34"/>
  <c r="B97" i="34"/>
  <c r="B95" i="34"/>
  <c r="H30" i="34" s="1"/>
  <c r="U30" i="34" s="1"/>
  <c r="B93" i="34"/>
  <c r="B75" i="34"/>
  <c r="B73" i="34"/>
  <c r="B71" i="34"/>
  <c r="J12" i="34" s="1"/>
  <c r="W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U40" i="33" s="1"/>
  <c r="Q39" i="33"/>
  <c r="Z39" i="33" s="1"/>
  <c r="Q38" i="33"/>
  <c r="Z38" i="33"/>
  <c r="J38" i="33"/>
  <c r="AC38" i="33" s="1"/>
  <c r="H38" i="33"/>
  <c r="AB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Q14" i="33"/>
  <c r="Z14" i="33" s="1"/>
  <c r="Q13" i="33"/>
  <c r="Z13" i="33" s="1"/>
  <c r="Q12" i="33"/>
  <c r="Z12" i="33"/>
  <c r="H12" i="33"/>
  <c r="U12" i="33" s="1"/>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J35" i="34"/>
  <c r="W9" i="34"/>
  <c r="U34" i="34"/>
  <c r="S40" i="33"/>
  <c r="W33" i="33"/>
  <c r="H39" i="37"/>
  <c r="AB39" i="37" s="1"/>
  <c r="S27" i="35"/>
  <c r="F11" i="40"/>
  <c r="AA11" i="40" s="1"/>
  <c r="H11" i="40"/>
  <c r="AB11" i="40" s="1"/>
  <c r="W8"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F41" i="33"/>
  <c r="AA41" i="33" s="1"/>
  <c r="E113" i="33"/>
  <c r="F113" i="33" s="1"/>
  <c r="G113" i="33" s="1"/>
  <c r="H113" i="33" s="1"/>
  <c r="I113" i="33" s="1"/>
  <c r="J113" i="33" s="1"/>
  <c r="K113" i="33" s="1"/>
  <c r="L113" i="33" s="1"/>
  <c r="M113" i="33" s="1"/>
  <c r="F32" i="33"/>
  <c r="AA32" i="33" s="1"/>
  <c r="F11" i="33"/>
  <c r="AA11" i="33" s="1"/>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H37" i="33"/>
  <c r="AB37" i="33" s="1"/>
  <c r="H15" i="33"/>
  <c r="AB15" i="33" s="1"/>
  <c r="H11" i="33"/>
  <c r="AB11" i="33" s="1"/>
  <c r="F28" i="40"/>
  <c r="AA28" i="40"/>
  <c r="AA42" i="34"/>
  <c r="S42" i="34"/>
  <c r="AC38" i="34"/>
  <c r="AA38" i="34"/>
  <c r="J37" i="34"/>
  <c r="AC37" i="34" s="1"/>
  <c r="J11" i="33"/>
  <c r="W11" i="33" s="1"/>
  <c r="J42" i="21"/>
  <c r="AC42" i="21" s="1"/>
  <c r="H42" i="21"/>
  <c r="U42" i="21"/>
  <c r="J44" i="34"/>
  <c r="F44" i="34"/>
  <c r="J10" i="35"/>
  <c r="AC10" i="35" s="1"/>
  <c r="J14" i="21"/>
  <c r="W14" i="21"/>
  <c r="F14" i="21"/>
  <c r="S14" i="21" s="1"/>
  <c r="H14" i="21"/>
  <c r="U14" i="21" s="1"/>
  <c r="H28" i="21"/>
  <c r="AB28" i="21" s="1"/>
  <c r="F28" i="21"/>
  <c r="AA28" i="21" s="1"/>
  <c r="J28" i="21"/>
  <c r="W28" i="21" s="1"/>
  <c r="H30" i="21"/>
  <c r="F30" i="21"/>
  <c r="S30" i="21" s="1"/>
  <c r="J30" i="21"/>
  <c r="AC30" i="21" s="1"/>
  <c r="H44" i="21"/>
  <c r="U44" i="21" s="1"/>
  <c r="H46" i="21"/>
  <c r="U46" i="21"/>
  <c r="J46" i="21"/>
  <c r="F46" i="21"/>
  <c r="AA46" i="21" s="1"/>
  <c r="E119" i="21"/>
  <c r="F119" i="21" s="1"/>
  <c r="G119" i="21" s="1"/>
  <c r="H119" i="21" s="1"/>
  <c r="I119" i="21" s="1"/>
  <c r="J119" i="21" s="1"/>
  <c r="K119" i="21" s="1"/>
  <c r="L119" i="21" s="1"/>
  <c r="M119" i="21" s="1"/>
  <c r="H28" i="33"/>
  <c r="U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c r="F27" i="21"/>
  <c r="AA27" i="21" s="1"/>
  <c r="J31" i="21"/>
  <c r="AC31" i="21" s="1"/>
  <c r="F31" i="21"/>
  <c r="S31" i="21"/>
  <c r="F45" i="21"/>
  <c r="AA45" i="21" s="1"/>
  <c r="F13" i="33"/>
  <c r="J29" i="33"/>
  <c r="H29" i="33"/>
  <c r="U29" i="33" s="1"/>
  <c r="F29" i="33"/>
  <c r="S29" i="33" s="1"/>
  <c r="J31" i="33"/>
  <c r="H31" i="33"/>
  <c r="H45" i="33"/>
  <c r="J45" i="33"/>
  <c r="W45" i="33" s="1"/>
  <c r="F45" i="33"/>
  <c r="AA45" i="33" s="1"/>
  <c r="J14" i="34"/>
  <c r="W14" i="34" s="1"/>
  <c r="F14" i="34"/>
  <c r="S14" i="34" s="1"/>
  <c r="H14" i="34"/>
  <c r="J30" i="34"/>
  <c r="H32" i="34"/>
  <c r="F32" i="34"/>
  <c r="J32" i="34"/>
  <c r="W32" i="34" s="1"/>
  <c r="H46" i="34"/>
  <c r="F46" i="34"/>
  <c r="J11" i="35"/>
  <c r="J26" i="36"/>
  <c r="W26" i="36" s="1"/>
  <c r="H28" i="36"/>
  <c r="U28" i="36" s="1"/>
  <c r="H32" i="36"/>
  <c r="AB32" i="36" s="1"/>
  <c r="J11" i="36"/>
  <c r="AC11" i="36" s="1"/>
  <c r="H11" i="36"/>
  <c r="U11" i="36" s="1"/>
  <c r="F11" i="36"/>
  <c r="AA11" i="36" s="1"/>
  <c r="H13" i="36"/>
  <c r="AB13" i="36" s="1"/>
  <c r="J13" i="36"/>
  <c r="F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AC12" i="40"/>
  <c r="W12" i="40"/>
  <c r="H14" i="33"/>
  <c r="U14" i="33" s="1"/>
  <c r="F14" i="33"/>
  <c r="S14" i="33"/>
  <c r="J14" i="33"/>
  <c r="H30" i="33"/>
  <c r="AB30" i="33" s="1"/>
  <c r="F30" i="33"/>
  <c r="J30" i="33"/>
  <c r="H44" i="33"/>
  <c r="AB44" i="33" s="1"/>
  <c r="J44" i="33"/>
  <c r="W44" i="33" s="1"/>
  <c r="F44" i="33"/>
  <c r="S44" i="33" s="1"/>
  <c r="J46" i="33"/>
  <c r="AC46" i="33" s="1"/>
  <c r="F46" i="33"/>
  <c r="H46" i="33"/>
  <c r="AB46" i="33" s="1"/>
  <c r="H13" i="34"/>
  <c r="U13" i="34" s="1"/>
  <c r="J13" i="34"/>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c r="F13" i="35"/>
  <c r="J13" i="35"/>
  <c r="AC13" i="35" s="1"/>
  <c r="H13" i="35"/>
  <c r="U13" i="35" s="1"/>
  <c r="J25" i="35"/>
  <c r="W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H30" i="40"/>
  <c r="AB30" i="40" s="1"/>
  <c r="F33" i="40"/>
  <c r="AA33" i="40" s="1"/>
  <c r="H33" i="40"/>
  <c r="U33" i="40" s="1"/>
  <c r="J35" i="40"/>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U46" i="33"/>
  <c r="AA14" i="33"/>
  <c r="J36" i="37"/>
  <c r="AC36" i="37" s="1"/>
  <c r="J10" i="36"/>
  <c r="AC10" i="36" s="1"/>
  <c r="W31" i="34"/>
  <c r="AC28" i="21"/>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AZ506" i="3" s="1"/>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AZ574" i="3" s="1"/>
  <c r="BA572" i="3"/>
  <c r="AZ572" i="3" s="1"/>
  <c r="BA570" i="3"/>
  <c r="AZ570" i="3" s="1"/>
  <c r="BA568" i="3"/>
  <c r="BA566" i="3"/>
  <c r="BA564" i="3"/>
  <c r="BA562" i="3"/>
  <c r="BA560" i="3"/>
  <c r="BA558" i="3"/>
  <c r="AZ558" i="3" s="1"/>
  <c r="BA556" i="3"/>
  <c r="AZ556" i="3" s="1"/>
  <c r="BA554" i="3"/>
  <c r="AZ554" i="3" s="1"/>
  <c r="BA552" i="3"/>
  <c r="BA548" i="3"/>
  <c r="BA546" i="3"/>
  <c r="BA544" i="3"/>
  <c r="BA542" i="3"/>
  <c r="AZ542" i="3" s="1"/>
  <c r="BA540" i="3"/>
  <c r="BA538" i="3"/>
  <c r="BA536" i="3"/>
  <c r="AZ536" i="3"/>
  <c r="BA534" i="3"/>
  <c r="AZ534" i="3" s="1"/>
  <c r="BA532" i="3"/>
  <c r="AZ532" i="3"/>
  <c r="BA530" i="3"/>
  <c r="BA528" i="3"/>
  <c r="AZ528" i="3" s="1"/>
  <c r="BA526" i="3"/>
  <c r="BA524" i="3"/>
  <c r="AZ524" i="3" s="1"/>
  <c r="BA522" i="3"/>
  <c r="BA520" i="3"/>
  <c r="BA518" i="3"/>
  <c r="BA516" i="3"/>
  <c r="AZ516" i="3" s="1"/>
  <c r="BA514" i="3"/>
  <c r="BA512" i="3"/>
  <c r="BA510" i="3"/>
  <c r="BA508" i="3"/>
  <c r="AZ508" i="3" s="1"/>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E123" i="33"/>
  <c r="F123" i="33" s="1"/>
  <c r="G123" i="33" s="1"/>
  <c r="H123" i="33" s="1"/>
  <c r="I123" i="33" s="1"/>
  <c r="J123" i="33" s="1"/>
  <c r="K123" i="33" s="1"/>
  <c r="L123" i="33" s="1"/>
  <c r="M123" i="33" s="1"/>
  <c r="F42" i="33"/>
  <c r="AA42" i="33" s="1"/>
  <c r="H28" i="34"/>
  <c r="AB28" i="34" s="1"/>
  <c r="F14" i="36"/>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s="1"/>
  <c r="H31" i="40"/>
  <c r="U31" i="40" s="1"/>
  <c r="F32" i="40"/>
  <c r="S32" i="40" s="1"/>
  <c r="H32" i="40"/>
  <c r="J36" i="40"/>
  <c r="W36" i="40" s="1"/>
  <c r="H19" i="37"/>
  <c r="AB19" i="37" s="1"/>
  <c r="H42" i="33"/>
  <c r="AB42" i="33" s="1"/>
  <c r="J43" i="33"/>
  <c r="AC43" i="33" s="1"/>
  <c r="S28" i="31"/>
  <c r="S27" i="31"/>
  <c r="S26" i="31"/>
  <c r="U14" i="40"/>
  <c r="W23" i="35"/>
  <c r="U39" i="37"/>
  <c r="U26" i="37"/>
  <c r="W47" i="34"/>
  <c r="AC45" i="33"/>
  <c r="U11" i="33"/>
  <c r="U19"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C12" i="37"/>
  <c r="H31" i="37"/>
  <c r="U31" i="37"/>
  <c r="J15" i="37"/>
  <c r="W15" i="37" s="1"/>
  <c r="AT6" i="3"/>
  <c r="H19" i="40"/>
  <c r="F88" i="40"/>
  <c r="G88" i="40" s="1"/>
  <c r="F19" i="40"/>
  <c r="S19" i="40" s="1"/>
  <c r="AC13" i="40"/>
  <c r="AB33" i="40"/>
  <c r="W23" i="39"/>
  <c r="AC43" i="39"/>
  <c r="W43" i="39"/>
  <c r="U45" i="39"/>
  <c r="AB45" i="39"/>
  <c r="AB44" i="39"/>
  <c r="U44" i="39"/>
  <c r="G100" i="39"/>
  <c r="H37" i="39"/>
  <c r="AB37" i="39" s="1"/>
  <c r="AC37" i="39"/>
  <c r="W37" i="39"/>
  <c r="H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S11" i="39" s="1"/>
  <c r="G4" i="4"/>
  <c r="I4" i="4"/>
  <c r="F61" i="43"/>
  <c r="H64" i="43" s="1"/>
  <c r="BL549" i="3"/>
  <c r="AZ514" i="3"/>
  <c r="AZ522" i="3"/>
  <c r="AZ530"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AZ342" i="3" s="1"/>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66" i="3"/>
  <c r="AZ500" i="3"/>
  <c r="BA16" i="3"/>
  <c r="BL303" i="3"/>
  <c r="G304" i="3"/>
  <c r="BA306" i="3"/>
  <c r="BL307" i="3"/>
  <c r="G308" i="3"/>
  <c r="BA310" i="3"/>
  <c r="AZ310" i="3"/>
  <c r="BL311" i="3"/>
  <c r="G312" i="3"/>
  <c r="BA314" i="3"/>
  <c r="AZ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c r="BL362" i="3"/>
  <c r="AZ362" i="3" s="1"/>
  <c r="G363" i="3"/>
  <c r="BA365" i="3"/>
  <c r="BL366" i="3"/>
  <c r="G367" i="3"/>
  <c r="BA369" i="3"/>
  <c r="AZ369" i="3" s="1"/>
  <c r="BL370" i="3"/>
  <c r="G371" i="3"/>
  <c r="BA373" i="3"/>
  <c r="AZ373" i="3" s="1"/>
  <c r="BL374" i="3"/>
  <c r="G375" i="3"/>
  <c r="BA377" i="3"/>
  <c r="AZ377" i="3" s="1"/>
  <c r="BA379" i="3"/>
  <c r="AZ379" i="3" s="1"/>
  <c r="BL380" i="3"/>
  <c r="AZ380" i="3" s="1"/>
  <c r="G381" i="3"/>
  <c r="BA383" i="3"/>
  <c r="AZ383" i="3" s="1"/>
  <c r="BL384" i="3"/>
  <c r="G385" i="3"/>
  <c r="BA387" i="3"/>
  <c r="BL388" i="3"/>
  <c r="G389" i="3"/>
  <c r="BA391" i="3"/>
  <c r="AZ391" i="3" s="1"/>
  <c r="BL392" i="3"/>
  <c r="G393" i="3"/>
  <c r="AZ291" i="3"/>
  <c r="BO5" i="3"/>
  <c r="BM5" i="3"/>
  <c r="BJ5" i="3"/>
  <c r="BH5" i="3"/>
  <c r="BF5" i="3"/>
  <c r="BD5" i="3"/>
  <c r="AZ325" i="3"/>
  <c r="AZ496" i="3"/>
  <c r="G548" i="3"/>
  <c r="G538" i="3"/>
  <c r="G520" i="3"/>
  <c r="G502" i="3"/>
  <c r="BS5" i="3"/>
  <c r="BP5" i="3"/>
  <c r="BN5" i="3"/>
  <c r="BK5" i="3"/>
  <c r="BI5" i="3"/>
  <c r="BG5" i="3"/>
  <c r="BE5" i="3"/>
  <c r="BC5" i="3"/>
  <c r="G17" i="3"/>
  <c r="BA17" i="3"/>
  <c r="BT5" i="3"/>
  <c r="BA15" i="3"/>
  <c r="BB5" i="3"/>
  <c r="BR5" i="3"/>
  <c r="AZ392" i="3"/>
  <c r="AZ499" i="3"/>
  <c r="AZ509" i="3"/>
  <c r="BL493" i="3"/>
  <c r="AZ493" i="3" s="1"/>
  <c r="U36" i="40"/>
  <c r="F83" i="43"/>
  <c r="H85" i="43" s="1"/>
  <c r="F50" i="43"/>
  <c r="H54" i="43" s="1"/>
  <c r="F72" i="43"/>
  <c r="H75" i="43" s="1"/>
  <c r="U17" i="39"/>
  <c r="S14" i="35"/>
  <c r="U43" i="21"/>
  <c r="U35" i="21"/>
  <c r="AC35" i="21"/>
  <c r="AC11" i="39"/>
  <c r="AZ501" i="3"/>
  <c r="W37" i="37"/>
  <c r="S15" i="37"/>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G29" i="6"/>
  <c r="W27" i="34"/>
  <c r="AC27" i="34"/>
  <c r="AB34" i="36"/>
  <c r="U34" i="36"/>
  <c r="AB33" i="36"/>
  <c r="U33" i="36"/>
  <c r="AC12" i="39"/>
  <c r="W12" i="39"/>
  <c r="AC39" i="40"/>
  <c r="W39" i="40"/>
  <c r="W12" i="33"/>
  <c r="AC12" i="33"/>
  <c r="AA32" i="36"/>
  <c r="S32" i="36"/>
  <c r="BL14" i="3"/>
  <c r="U30" i="33"/>
  <c r="AA47" i="34"/>
  <c r="W28" i="37"/>
  <c r="S19" i="39"/>
  <c r="F12" i="33"/>
  <c r="H12" i="39"/>
  <c r="AB12" i="39"/>
  <c r="F39" i="40"/>
  <c r="BA14" i="3"/>
  <c r="B12" i="1"/>
  <c r="E12" i="1" s="1"/>
  <c r="B10" i="1"/>
  <c r="E10" i="1" s="1"/>
  <c r="K12" i="1"/>
  <c r="M12" i="1" s="1"/>
  <c r="S13" i="1"/>
  <c r="AR13" i="1" s="1"/>
  <c r="R13" i="1"/>
  <c r="J51" i="67"/>
  <c r="C42" i="1"/>
  <c r="C24" i="12" s="1"/>
  <c r="B41" i="1"/>
  <c r="F48" i="9" s="1"/>
  <c r="O52" i="9" s="1"/>
  <c r="AB37" i="40"/>
  <c r="S35" i="40"/>
  <c r="U35" i="40"/>
  <c r="AC36" i="40"/>
  <c r="W38" i="40"/>
  <c r="AA32" i="40"/>
  <c r="S17" i="40"/>
  <c r="AC17" i="40"/>
  <c r="AC15" i="40"/>
  <c r="S30" i="40"/>
  <c r="AA19" i="40"/>
  <c r="S28" i="40"/>
  <c r="AA27"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AA25" i="35"/>
  <c r="S23" i="35"/>
  <c r="W24" i="35"/>
  <c r="AB13" i="35"/>
  <c r="U29" i="35"/>
  <c r="U28" i="35"/>
  <c r="AB27" i="35"/>
  <c r="U32" i="35"/>
  <c r="AA33" i="35"/>
  <c r="AC30" i="35"/>
  <c r="S32" i="35"/>
  <c r="AA36" i="35"/>
  <c r="S28" i="35"/>
  <c r="AB16" i="35"/>
  <c r="U22" i="35"/>
  <c r="S20" i="35"/>
  <c r="AC20" i="35"/>
  <c r="S22" i="35"/>
  <c r="U14"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H41" i="33"/>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H25" i="33"/>
  <c r="AB25" i="33" s="1"/>
  <c r="F25" i="33"/>
  <c r="S25" i="33" s="1"/>
  <c r="J23" i="33"/>
  <c r="AC23" i="33" s="1"/>
  <c r="F85" i="33"/>
  <c r="H23" i="33"/>
  <c r="AB23" i="33" s="1"/>
  <c r="F81" i="33"/>
  <c r="F19" i="33"/>
  <c r="S19" i="33" s="1"/>
  <c r="J17" i="33"/>
  <c r="AC17" i="33" s="1"/>
  <c r="F79" i="33"/>
  <c r="G79" i="33" s="1"/>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AC46" i="34"/>
  <c r="S32" i="34"/>
  <c r="AA32"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8" i="33"/>
  <c r="U44" i="33"/>
  <c r="S30" i="33"/>
  <c r="AA30" i="33"/>
  <c r="AC14" i="33"/>
  <c r="W14" i="33"/>
  <c r="AC30" i="33"/>
  <c r="W30" i="33"/>
  <c r="S31" i="33"/>
  <c r="AA31" i="33"/>
  <c r="W13" i="33"/>
  <c r="AC13" i="33"/>
  <c r="U15"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S32" i="21" s="1"/>
  <c r="AA31" i="21"/>
  <c r="U17" i="21"/>
  <c r="W29" i="21"/>
  <c r="S19" i="21"/>
  <c r="S9" i="21"/>
  <c r="AA9" i="21"/>
  <c r="K141" i="21"/>
  <c r="K144" i="21"/>
  <c r="K143" i="21"/>
  <c r="U27" i="21"/>
  <c r="AB25" i="21"/>
  <c r="AB44" i="21"/>
  <c r="AA30"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J63" i="37" s="1"/>
  <c r="K63" i="37" s="1"/>
  <c r="L63" i="37" s="1"/>
  <c r="M63" i="37" s="1"/>
  <c r="H11" i="37"/>
  <c r="AB11" i="37" s="1"/>
  <c r="G70" i="34"/>
  <c r="H11" i="34"/>
  <c r="U11" i="34" s="1"/>
  <c r="J10" i="34"/>
  <c r="AC10" i="34" s="1"/>
  <c r="AB41" i="33"/>
  <c r="U41" i="33"/>
  <c r="J25" i="33"/>
  <c r="AC25" i="33" s="1"/>
  <c r="F23" i="33"/>
  <c r="G85" i="33"/>
  <c r="H19" i="33"/>
  <c r="U19" i="33" s="1"/>
  <c r="G81" i="33"/>
  <c r="H17" i="33"/>
  <c r="U17" i="33" s="1"/>
  <c r="F17" i="33"/>
  <c r="S17" i="33" s="1"/>
  <c r="S37" i="21"/>
  <c r="AA23" i="21"/>
  <c r="AB15" i="21"/>
  <c r="J23" i="21"/>
  <c r="W23" i="21" s="1"/>
  <c r="F85" i="21"/>
  <c r="G85" i="21" s="1"/>
  <c r="H23" i="21"/>
  <c r="AB23" i="21" s="1"/>
  <c r="D6" i="52"/>
  <c r="AP7" i="1"/>
  <c r="AB45" i="21"/>
  <c r="AB9" i="21"/>
  <c r="W9" i="21"/>
  <c r="U32" i="39"/>
  <c r="J11" i="37"/>
  <c r="AC11" i="37" s="1"/>
  <c r="H70" i="34"/>
  <c r="I70" i="34" s="1"/>
  <c r="J70" i="34" s="1"/>
  <c r="K70" i="34" s="1"/>
  <c r="L70" i="34" s="1"/>
  <c r="M70" i="34" s="1"/>
  <c r="J11" i="34"/>
  <c r="W11" i="34"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M9" i="67"/>
  <c r="B7" i="76"/>
  <c r="F8" i="15"/>
  <c r="F4" i="73"/>
  <c r="M26" i="15"/>
  <c r="B13" i="76"/>
  <c r="D6" i="73"/>
  <c r="F16" i="15"/>
  <c r="L47" i="15"/>
  <c r="M28" i="15"/>
  <c r="F6" i="73"/>
  <c r="E12" i="76"/>
  <c r="M6" i="67"/>
  <c r="F13" i="67"/>
  <c r="F9" i="67"/>
  <c r="F7" i="73"/>
  <c r="E7" i="76"/>
  <c r="F36" i="15"/>
  <c r="L48" i="15"/>
  <c r="F38" i="15"/>
  <c r="F9" i="15"/>
  <c r="M22" i="15"/>
  <c r="B11" i="76"/>
  <c r="F3" i="73"/>
  <c r="AO13" i="1"/>
  <c r="F42" i="15"/>
  <c r="M28" i="67"/>
  <c r="F38" i="67"/>
  <c r="E8" i="76"/>
  <c r="M29" i="15"/>
  <c r="F5" i="73"/>
  <c r="B10" i="76"/>
  <c r="M24" i="15"/>
  <c r="C76" i="15"/>
  <c r="M23" i="15"/>
  <c r="F7" i="15"/>
  <c r="M6" i="15"/>
  <c r="E2" i="68"/>
  <c r="F37" i="15"/>
  <c r="F20" i="31"/>
  <c r="M9" i="15"/>
  <c r="E10" i="76"/>
  <c r="F26" i="15"/>
  <c r="F6" i="15"/>
  <c r="B9" i="76"/>
  <c r="F13" i="15"/>
  <c r="B12" i="76"/>
  <c r="J15" i="15"/>
  <c r="M8" i="15"/>
  <c r="E2" i="69"/>
  <c r="F8" i="67"/>
  <c r="F43" i="15"/>
  <c r="F37" i="67"/>
  <c r="E11" i="76"/>
  <c r="E9" i="76"/>
  <c r="E13" i="76"/>
  <c r="M22" i="67"/>
  <c r="B8" i="76"/>
  <c r="AB29" i="33" l="1"/>
  <c r="AB25" i="39"/>
  <c r="U25" i="39"/>
  <c r="U19" i="40"/>
  <c r="AB19" i="40"/>
  <c r="AC5" i="3"/>
  <c r="G509" i="3"/>
  <c r="W13" i="34"/>
  <c r="AC13" i="34"/>
  <c r="S13" i="36"/>
  <c r="AA13" i="36"/>
  <c r="U34" i="35"/>
  <c r="AB34" i="35"/>
  <c r="AB32" i="40"/>
  <c r="U32" i="40"/>
  <c r="AA14" i="36"/>
  <c r="S14" i="36"/>
  <c r="AC35" i="40"/>
  <c r="W35" i="40"/>
  <c r="AB12" i="40"/>
  <c r="U12" i="40"/>
  <c r="W11" i="35"/>
  <c r="AC11" i="35"/>
  <c r="I7" i="33"/>
  <c r="G7" i="33"/>
  <c r="E7" i="33"/>
  <c r="U23" i="21"/>
  <c r="AB32" i="21"/>
  <c r="AA32" i="21"/>
  <c r="AB27" i="40"/>
  <c r="AB21" i="40"/>
  <c r="U21" i="40"/>
  <c r="AC40" i="37"/>
  <c r="W40" i="37"/>
  <c r="W28" i="34"/>
  <c r="AC28" i="34"/>
  <c r="AC32" i="39"/>
  <c r="S13" i="21"/>
  <c r="AA46" i="33"/>
  <c r="S46" i="33"/>
  <c r="W31" i="33"/>
  <c r="AC31" i="33"/>
  <c r="S13" i="33"/>
  <c r="AA13" i="33"/>
  <c r="W44" i="34"/>
  <c r="AC44" i="34"/>
  <c r="S11" i="35"/>
  <c r="AA11" i="35"/>
  <c r="AB25" i="37"/>
  <c r="U25" i="37"/>
  <c r="T23" i="1"/>
  <c r="W22" i="1"/>
  <c r="W23" i="1" s="1"/>
  <c r="A15" i="62"/>
  <c r="B61" i="72" s="1"/>
  <c r="Y26" i="71"/>
  <c r="Z26" i="71" s="1"/>
  <c r="Y27" i="71"/>
  <c r="Z27" i="71" s="1"/>
  <c r="C63" i="71"/>
  <c r="D62" i="71"/>
  <c r="P68" i="71"/>
  <c r="E67" i="71"/>
  <c r="U68" i="71"/>
  <c r="F29" i="6"/>
  <c r="AZ387" i="3"/>
  <c r="AZ345" i="3"/>
  <c r="AZ318" i="3"/>
  <c r="AZ364" i="3"/>
  <c r="AZ337" i="3"/>
  <c r="AZ305" i="3"/>
  <c r="AZ341" i="3"/>
  <c r="W27" i="39"/>
  <c r="H5" i="3"/>
  <c r="AZ505" i="3"/>
  <c r="AZ515" i="3"/>
  <c r="AZ523" i="3"/>
  <c r="AZ547" i="3"/>
  <c r="AZ561" i="3"/>
  <c r="AZ569" i="3"/>
  <c r="AZ526" i="3"/>
  <c r="AZ544" i="3"/>
  <c r="AZ494" i="3"/>
  <c r="AZ584" i="3"/>
  <c r="W44" i="39"/>
  <c r="S45" i="33"/>
  <c r="H25" i="35"/>
  <c r="H11" i="35"/>
  <c r="AB11" i="35" s="1"/>
  <c r="F30" i="34"/>
  <c r="H13" i="33"/>
  <c r="U13" i="33" s="1"/>
  <c r="H26" i="33"/>
  <c r="AB26" i="33" s="1"/>
  <c r="J44" i="21"/>
  <c r="S28" i="34"/>
  <c r="W22" i="35"/>
  <c r="F12" i="34"/>
  <c r="S12" i="34" s="1"/>
  <c r="AC31" i="35"/>
  <c r="H39" i="40"/>
  <c r="G14" i="3"/>
  <c r="BL16" i="3"/>
  <c r="AZ16" i="3" s="1"/>
  <c r="F6" i="1"/>
  <c r="BL399" i="3"/>
  <c r="BA403" i="3"/>
  <c r="BA410" i="3"/>
  <c r="BL410" i="3"/>
  <c r="BA448" i="3"/>
  <c r="BL462" i="3"/>
  <c r="G351" i="3"/>
  <c r="BA235" i="3"/>
  <c r="S23" i="40"/>
  <c r="AZ338" i="3"/>
  <c r="AZ327" i="3"/>
  <c r="AZ304" i="3"/>
  <c r="AZ549" i="3"/>
  <c r="AZ521" i="3"/>
  <c r="AZ525" i="3"/>
  <c r="AZ577" i="3"/>
  <c r="AZ504" i="3"/>
  <c r="AZ512" i="3"/>
  <c r="AZ564" i="3"/>
  <c r="AZ580" i="3"/>
  <c r="S11" i="36"/>
  <c r="J32" i="36"/>
  <c r="W32" i="36" s="1"/>
  <c r="J28" i="33"/>
  <c r="W28" i="33" s="1"/>
  <c r="J19" i="33"/>
  <c r="AC19" i="33" s="1"/>
  <c r="U33" i="33"/>
  <c r="AB41" i="21"/>
  <c r="F38" i="33"/>
  <c r="AA38" i="33" s="1"/>
  <c r="H9" i="34"/>
  <c r="H12" i="34"/>
  <c r="G582" i="3"/>
  <c r="G574" i="3"/>
  <c r="E19" i="6"/>
  <c r="AZ311" i="3"/>
  <c r="AZ566" i="3"/>
  <c r="AZ582" i="3"/>
  <c r="AZ560" i="3"/>
  <c r="H29" i="21"/>
  <c r="J13" i="21"/>
  <c r="AC12" i="34"/>
  <c r="W25" i="37"/>
  <c r="F25" i="37"/>
  <c r="G414" i="3"/>
  <c r="G457" i="3"/>
  <c r="AZ462" i="3"/>
  <c r="G474" i="3"/>
  <c r="BA331" i="3"/>
  <c r="AZ331" i="3" s="1"/>
  <c r="G226" i="3"/>
  <c r="BA406" i="3"/>
  <c r="BL409" i="3"/>
  <c r="BA413" i="3"/>
  <c r="BA420" i="3"/>
  <c r="BL423" i="3"/>
  <c r="BL430" i="3"/>
  <c r="G440" i="3"/>
  <c r="BL443" i="3"/>
  <c r="BL449" i="3"/>
  <c r="BL450" i="3"/>
  <c r="BL452" i="3"/>
  <c r="G455" i="3"/>
  <c r="BL465" i="3"/>
  <c r="BA303" i="3"/>
  <c r="AZ303" i="3" s="1"/>
  <c r="BA307" i="3"/>
  <c r="AZ307" i="3" s="1"/>
  <c r="G323" i="3"/>
  <c r="BL381" i="3"/>
  <c r="AZ381" i="3" s="1"/>
  <c r="BL216" i="3"/>
  <c r="BL222" i="3"/>
  <c r="BL227" i="3"/>
  <c r="BA241" i="3"/>
  <c r="BL241" i="3"/>
  <c r="BA245" i="3"/>
  <c r="BA255" i="3"/>
  <c r="BL262" i="3"/>
  <c r="BL264" i="3"/>
  <c r="BL267" i="3"/>
  <c r="BA268" i="3"/>
  <c r="BL278" i="3"/>
  <c r="BA283" i="3"/>
  <c r="BL34" i="3"/>
  <c r="BA65" i="3"/>
  <c r="AC18" i="35"/>
  <c r="W18" i="35"/>
  <c r="T60" i="71"/>
  <c r="D60" i="71"/>
  <c r="B43" i="71"/>
  <c r="B44" i="71" s="1"/>
  <c r="S44" i="71" s="1"/>
  <c r="BA400" i="3"/>
  <c r="BA401" i="3"/>
  <c r="G403" i="3"/>
  <c r="G404" i="3"/>
  <c r="BA404" i="3"/>
  <c r="BA405" i="3"/>
  <c r="G408" i="3"/>
  <c r="G409" i="3"/>
  <c r="BL412" i="3"/>
  <c r="G415" i="3"/>
  <c r="BA422" i="3"/>
  <c r="G438" i="3"/>
  <c r="BL438" i="3"/>
  <c r="BL439" i="3"/>
  <c r="BA443" i="3"/>
  <c r="AZ443" i="3" s="1"/>
  <c r="BL447" i="3"/>
  <c r="BL451" i="3"/>
  <c r="G452" i="3"/>
  <c r="BL456" i="3"/>
  <c r="G459" i="3"/>
  <c r="G464" i="3"/>
  <c r="BL469" i="3"/>
  <c r="BA470" i="3"/>
  <c r="BL473" i="3"/>
  <c r="AZ473" i="3" s="1"/>
  <c r="BL474" i="3"/>
  <c r="G475" i="3"/>
  <c r="G481" i="3"/>
  <c r="BA484" i="3"/>
  <c r="AZ484" i="3" s="1"/>
  <c r="G486" i="3"/>
  <c r="BL490" i="3"/>
  <c r="G491" i="3"/>
  <c r="BL308" i="3"/>
  <c r="AZ308" i="3" s="1"/>
  <c r="BA319" i="3"/>
  <c r="AZ319" i="3" s="1"/>
  <c r="BL350" i="3"/>
  <c r="BL359" i="3"/>
  <c r="AZ359" i="3" s="1"/>
  <c r="BL367" i="3"/>
  <c r="BL375" i="3"/>
  <c r="AZ375" i="3" s="1"/>
  <c r="BA385" i="3"/>
  <c r="BL386" i="3"/>
  <c r="G392" i="3"/>
  <c r="BL395" i="3"/>
  <c r="G396" i="3"/>
  <c r="BA397" i="3"/>
  <c r="BL397" i="3"/>
  <c r="BA212" i="3"/>
  <c r="BL214" i="3"/>
  <c r="AZ214" i="3" s="1"/>
  <c r="G216" i="3"/>
  <c r="BL225" i="3"/>
  <c r="BL226" i="3"/>
  <c r="G227" i="3"/>
  <c r="G234" i="3"/>
  <c r="BL238" i="3"/>
  <c r="G239" i="3"/>
  <c r="BA240" i="3"/>
  <c r="BL242" i="3"/>
  <c r="G243" i="3"/>
  <c r="BA244" i="3"/>
  <c r="BL244" i="3"/>
  <c r="BA248" i="3"/>
  <c r="G251" i="3"/>
  <c r="BA258" i="3"/>
  <c r="G266" i="3"/>
  <c r="G270" i="3"/>
  <c r="G271" i="3"/>
  <c r="G281" i="3"/>
  <c r="BA282" i="3"/>
  <c r="AZ282" i="3" s="1"/>
  <c r="BL282" i="3"/>
  <c r="BL289" i="3"/>
  <c r="G290" i="3"/>
  <c r="BA302" i="3"/>
  <c r="G115" i="3"/>
  <c r="G123" i="3"/>
  <c r="BA149" i="3"/>
  <c r="BL169" i="3"/>
  <c r="BA47" i="3"/>
  <c r="F40" i="69"/>
  <c r="C40" i="69"/>
  <c r="G412" i="3"/>
  <c r="BL419" i="3"/>
  <c r="G422" i="3"/>
  <c r="BA424" i="3"/>
  <c r="BL427" i="3"/>
  <c r="G429" i="3"/>
  <c r="BA431" i="3"/>
  <c r="BL433" i="3"/>
  <c r="BL434" i="3"/>
  <c r="G436" i="3"/>
  <c r="G441" i="3"/>
  <c r="BL455" i="3"/>
  <c r="G456" i="3"/>
  <c r="BA458" i="3"/>
  <c r="AZ458" i="3" s="1"/>
  <c r="G463" i="3"/>
  <c r="BA464" i="3"/>
  <c r="BA469" i="3"/>
  <c r="AZ469" i="3" s="1"/>
  <c r="BL472" i="3"/>
  <c r="G473" i="3"/>
  <c r="BL479" i="3"/>
  <c r="G485" i="3"/>
  <c r="BA487" i="3"/>
  <c r="BL488" i="3"/>
  <c r="G490" i="3"/>
  <c r="BL316" i="3"/>
  <c r="BA349" i="3"/>
  <c r="AZ349" i="3" s="1"/>
  <c r="BA366" i="3"/>
  <c r="AZ366" i="3" s="1"/>
  <c r="BL385" i="3"/>
  <c r="BL208" i="3"/>
  <c r="G209" i="3"/>
  <c r="BA210" i="3"/>
  <c r="BL210" i="3"/>
  <c r="BL212" i="3"/>
  <c r="G214" i="3"/>
  <c r="BA217" i="3"/>
  <c r="BL219" i="3"/>
  <c r="G220" i="3"/>
  <c r="G221" i="3"/>
  <c r="BL224" i="3"/>
  <c r="G225" i="3"/>
  <c r="BA228" i="3"/>
  <c r="BL230" i="3"/>
  <c r="G231" i="3"/>
  <c r="G232" i="3"/>
  <c r="BL237" i="3"/>
  <c r="G238" i="3"/>
  <c r="G246" i="3"/>
  <c r="BA254" i="3"/>
  <c r="AZ254" i="3" s="1"/>
  <c r="G256" i="3"/>
  <c r="BA257" i="3"/>
  <c r="G260" i="3"/>
  <c r="G261" i="3"/>
  <c r="BL266" i="3"/>
  <c r="G276" i="3"/>
  <c r="BA277" i="3"/>
  <c r="BL277" i="3"/>
  <c r="BL280" i="3"/>
  <c r="BA286" i="3"/>
  <c r="G289" i="3"/>
  <c r="BA293" i="3"/>
  <c r="BL293" i="3"/>
  <c r="BL294" i="3"/>
  <c r="BA297" i="3"/>
  <c r="BL297" i="3"/>
  <c r="BA301" i="3"/>
  <c r="BA148" i="3"/>
  <c r="AZ148" i="3" s="1"/>
  <c r="G164" i="3"/>
  <c r="BA30" i="3"/>
  <c r="BL44" i="3"/>
  <c r="X31" i="71"/>
  <c r="X34" i="71"/>
  <c r="B63" i="71"/>
  <c r="B64" i="71" s="1"/>
  <c r="S64" i="71" s="1"/>
  <c r="BA133" i="3"/>
  <c r="BA137" i="3"/>
  <c r="BA156" i="3"/>
  <c r="AZ156" i="3" s="1"/>
  <c r="BL161" i="3"/>
  <c r="BL171" i="3"/>
  <c r="AZ171" i="3" s="1"/>
  <c r="BL177" i="3"/>
  <c r="BA189" i="3"/>
  <c r="BL205" i="3"/>
  <c r="BA207" i="3"/>
  <c r="G26" i="3"/>
  <c r="BL29" i="3"/>
  <c r="G38" i="3"/>
  <c r="BA38" i="3"/>
  <c r="BA43" i="3"/>
  <c r="G47" i="3"/>
  <c r="BL54" i="3"/>
  <c r="G67" i="3"/>
  <c r="BL70" i="3"/>
  <c r="BL71" i="3"/>
  <c r="G73" i="3"/>
  <c r="BL76" i="3"/>
  <c r="BL86" i="3"/>
  <c r="G88" i="3"/>
  <c r="BA89" i="3"/>
  <c r="BA97" i="3"/>
  <c r="BL99" i="3"/>
  <c r="G101" i="3"/>
  <c r="BA101" i="3"/>
  <c r="BA102" i="3"/>
  <c r="BL110" i="3"/>
  <c r="K13" i="1"/>
  <c r="M13" i="1" s="1"/>
  <c r="O13" i="1" s="1"/>
  <c r="P13" i="1" s="1"/>
  <c r="U21" i="37"/>
  <c r="P27" i="6"/>
  <c r="AA34" i="71"/>
  <c r="C43" i="71"/>
  <c r="G285" i="3"/>
  <c r="BA288" i="3"/>
  <c r="BL290" i="3"/>
  <c r="G116" i="3"/>
  <c r="BA117" i="3"/>
  <c r="G126" i="3"/>
  <c r="G135" i="3"/>
  <c r="BL135" i="3"/>
  <c r="AZ135" i="3" s="1"/>
  <c r="G143" i="3"/>
  <c r="BA145" i="3"/>
  <c r="BL146" i="3"/>
  <c r="G147" i="3"/>
  <c r="BA150" i="3"/>
  <c r="BL157" i="3"/>
  <c r="AZ157" i="3" s="1"/>
  <c r="BL159" i="3"/>
  <c r="AZ159" i="3" s="1"/>
  <c r="G160" i="3"/>
  <c r="BA162" i="3"/>
  <c r="BL163" i="3"/>
  <c r="AZ163" i="3" s="1"/>
  <c r="BA168" i="3"/>
  <c r="AZ168" i="3" s="1"/>
  <c r="BA169" i="3"/>
  <c r="AZ169" i="3" s="1"/>
  <c r="BL181" i="3"/>
  <c r="G182" i="3"/>
  <c r="BA188" i="3"/>
  <c r="AZ188" i="3" s="1"/>
  <c r="G191" i="3"/>
  <c r="BL195" i="3"/>
  <c r="AZ195" i="3" s="1"/>
  <c r="G196" i="3"/>
  <c r="BA197" i="3"/>
  <c r="BA201" i="3"/>
  <c r="AZ201" i="3" s="1"/>
  <c r="G206" i="3"/>
  <c r="G19" i="3"/>
  <c r="BL24" i="3"/>
  <c r="BA42" i="3"/>
  <c r="G51" i="3"/>
  <c r="BA55" i="3"/>
  <c r="AZ55" i="3" s="1"/>
  <c r="G60" i="3"/>
  <c r="BL64" i="3"/>
  <c r="BA67" i="3"/>
  <c r="G76" i="3"/>
  <c r="BA78" i="3"/>
  <c r="G86" i="3"/>
  <c r="BA88" i="3"/>
  <c r="G90" i="3"/>
  <c r="BA95" i="3"/>
  <c r="C29" i="39"/>
  <c r="B88" i="43"/>
  <c r="D59" i="71"/>
  <c r="D72" i="71"/>
  <c r="F35" i="71"/>
  <c r="F36" i="71" s="1"/>
  <c r="V36" i="71" s="1"/>
  <c r="AA38" i="71"/>
  <c r="B79" i="71"/>
  <c r="B78" i="71" s="1"/>
  <c r="B23" i="71"/>
  <c r="B22" i="71" s="1"/>
  <c r="B21" i="71" s="1"/>
  <c r="B20" i="71" s="1"/>
  <c r="BA120" i="3"/>
  <c r="AZ120" i="3" s="1"/>
  <c r="BL122" i="3"/>
  <c r="BA132" i="3"/>
  <c r="AZ132" i="3" s="1"/>
  <c r="G134" i="3"/>
  <c r="G152" i="3"/>
  <c r="G163" i="3"/>
  <c r="G170" i="3"/>
  <c r="BL186" i="3"/>
  <c r="AZ186" i="3" s="1"/>
  <c r="G195" i="3"/>
  <c r="BL198" i="3"/>
  <c r="BL23" i="3"/>
  <c r="G32" i="3"/>
  <c r="G39" i="3"/>
  <c r="BA41" i="3"/>
  <c r="BA50" i="3"/>
  <c r="BL52" i="3"/>
  <c r="G53" i="3"/>
  <c r="G63" i="3"/>
  <c r="BA64" i="3"/>
  <c r="G68" i="3"/>
  <c r="G74" i="3"/>
  <c r="G75" i="3"/>
  <c r="BA77" i="3"/>
  <c r="AZ77" i="3" s="1"/>
  <c r="BL79" i="3"/>
  <c r="G89" i="3"/>
  <c r="BA92" i="3"/>
  <c r="BL92" i="3"/>
  <c r="BL94" i="3"/>
  <c r="BA100" i="3"/>
  <c r="G102" i="3"/>
  <c r="G108" i="3"/>
  <c r="C58" i="82"/>
  <c r="D58" i="82" s="1"/>
  <c r="E58" i="82" s="1"/>
  <c r="F58" i="82" s="1"/>
  <c r="G58" i="82" s="1"/>
  <c r="H58" i="82" s="1"/>
  <c r="I58" i="82" s="1"/>
  <c r="J58" i="82" s="1"/>
  <c r="K58" i="82" s="1"/>
  <c r="L58" i="82" s="1"/>
  <c r="M58" i="82" s="1"/>
  <c r="N58" i="82" s="1"/>
  <c r="O58" i="82" s="1"/>
  <c r="G7" i="82"/>
  <c r="H7" i="82" s="1"/>
  <c r="I7" i="82"/>
  <c r="J7" i="82" s="1"/>
  <c r="E7" i="82"/>
  <c r="F7" i="82" s="1"/>
  <c r="B68" i="43"/>
  <c r="B40" i="71"/>
  <c r="S40" i="71" s="1"/>
  <c r="Y29" i="71"/>
  <c r="Z29" i="71" s="1"/>
  <c r="C31" i="71"/>
  <c r="X25" i="71"/>
  <c r="AA35" i="71"/>
  <c r="Y35" i="71"/>
  <c r="Z35" i="71" s="1"/>
  <c r="X36" i="71"/>
  <c r="C23" i="71"/>
  <c r="AB28" i="33"/>
  <c r="F39" i="33"/>
  <c r="AA39" i="33" s="1"/>
  <c r="J39" i="33"/>
  <c r="AC39" i="33" s="1"/>
  <c r="W8" i="33"/>
  <c r="H39" i="33"/>
  <c r="AB39" i="33" s="1"/>
  <c r="AA44" i="33"/>
  <c r="AC44" i="33"/>
  <c r="A2" i="9"/>
  <c r="A4" i="52"/>
  <c r="B41" i="72" s="1"/>
  <c r="W43" i="33"/>
  <c r="AA36" i="33"/>
  <c r="S36" i="33"/>
  <c r="F111" i="33"/>
  <c r="J36" i="33" s="1"/>
  <c r="F91" i="33"/>
  <c r="G91" i="33" s="1"/>
  <c r="H91" i="33" s="1"/>
  <c r="I91" i="33" s="1"/>
  <c r="J91" i="33" s="1"/>
  <c r="K91" i="33" s="1"/>
  <c r="L91" i="33" s="1"/>
  <c r="M91" i="33" s="1"/>
  <c r="J27" i="33"/>
  <c r="AC27" i="33" s="1"/>
  <c r="H27" i="33"/>
  <c r="AB27" i="33" s="1"/>
  <c r="F27" i="33"/>
  <c r="AA27" i="33" s="1"/>
  <c r="U25" i="33"/>
  <c r="J15" i="33"/>
  <c r="AC15" i="33" s="1"/>
  <c r="F15" i="33"/>
  <c r="AA15" i="33" s="1"/>
  <c r="W19" i="33"/>
  <c r="W17" i="33"/>
  <c r="U9" i="33"/>
  <c r="W39" i="33"/>
  <c r="S38" i="33"/>
  <c r="S43" i="33"/>
  <c r="AB40" i="33"/>
  <c r="S39" i="33"/>
  <c r="S32" i="33"/>
  <c r="AA25" i="33"/>
  <c r="U23" i="33"/>
  <c r="AC21" i="33"/>
  <c r="AA19" i="33"/>
  <c r="AA17" i="33"/>
  <c r="W15" i="33"/>
  <c r="W38" i="33"/>
  <c r="U37" i="33"/>
  <c r="U42" i="33"/>
  <c r="S42" i="33"/>
  <c r="W42" i="33"/>
  <c r="AC35" i="33"/>
  <c r="U35" i="33"/>
  <c r="AA35" i="33"/>
  <c r="AB34" i="33"/>
  <c r="AA34" i="33"/>
  <c r="AC34" i="33"/>
  <c r="S33" i="33"/>
  <c r="U32" i="33"/>
  <c r="W32" i="33"/>
  <c r="S28" i="33"/>
  <c r="S27" i="33"/>
  <c r="AC26" i="33"/>
  <c r="U26" i="33"/>
  <c r="W25" i="33"/>
  <c r="AB19" i="33"/>
  <c r="W23" i="37"/>
  <c r="AC15" i="21"/>
  <c r="S25" i="21"/>
  <c r="AA25" i="21"/>
  <c r="AZ527" i="3"/>
  <c r="AZ571" i="3"/>
  <c r="AZ579" i="3"/>
  <c r="AZ510" i="3"/>
  <c r="AZ552" i="3"/>
  <c r="U45" i="33"/>
  <c r="AB45" i="33"/>
  <c r="AA44" i="34"/>
  <c r="S44" i="34"/>
  <c r="AZ322" i="3"/>
  <c r="AZ520" i="3"/>
  <c r="S14" i="37"/>
  <c r="AA14" i="37"/>
  <c r="W36" i="34"/>
  <c r="AC36" i="34"/>
  <c r="S29" i="35"/>
  <c r="AA29" i="35"/>
  <c r="AZ14" i="3"/>
  <c r="AZ334" i="3"/>
  <c r="AZ347" i="3"/>
  <c r="AZ503" i="3"/>
  <c r="AZ513" i="3"/>
  <c r="AZ575" i="3"/>
  <c r="U30" i="21"/>
  <c r="AB30" i="21"/>
  <c r="AZ390" i="3"/>
  <c r="AZ351" i="3"/>
  <c r="AZ306" i="3"/>
  <c r="AA11" i="39"/>
  <c r="AZ540" i="3"/>
  <c r="U46" i="34"/>
  <c r="AB46" i="34"/>
  <c r="AC31" i="40"/>
  <c r="W31" i="40"/>
  <c r="AZ313" i="3"/>
  <c r="AZ394" i="3"/>
  <c r="S14" i="40"/>
  <c r="AZ519" i="3"/>
  <c r="AZ531" i="3"/>
  <c r="AZ573" i="3"/>
  <c r="AZ583" i="3"/>
  <c r="AZ568" i="3"/>
  <c r="AZ576" i="3"/>
  <c r="AA14" i="34"/>
  <c r="F26" i="33"/>
  <c r="G587" i="3"/>
  <c r="F9" i="33"/>
  <c r="AA9" i="33" s="1"/>
  <c r="J12" i="35"/>
  <c r="H12" i="36"/>
  <c r="AZ406" i="3"/>
  <c r="S41" i="33"/>
  <c r="AB23" i="34"/>
  <c r="BL585" i="3"/>
  <c r="AZ585" i="3" s="1"/>
  <c r="B75" i="43"/>
  <c r="H36" i="35"/>
  <c r="H24" i="36"/>
  <c r="AZ539" i="3"/>
  <c r="AZ529" i="3"/>
  <c r="AZ537" i="3"/>
  <c r="AZ518" i="3"/>
  <c r="AZ546" i="3"/>
  <c r="AB17" i="34"/>
  <c r="BL550" i="3"/>
  <c r="AZ487" i="3"/>
  <c r="BL587" i="3"/>
  <c r="AZ587" i="3" s="1"/>
  <c r="BL586" i="3"/>
  <c r="AZ586" i="3" s="1"/>
  <c r="G552" i="3"/>
  <c r="AZ451" i="3"/>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G558" i="3"/>
  <c r="BL398" i="3"/>
  <c r="G402" i="3"/>
  <c r="BL403" i="3"/>
  <c r="AZ403" i="3" s="1"/>
  <c r="G406" i="3"/>
  <c r="BA408" i="3"/>
  <c r="BA409" i="3"/>
  <c r="AZ409" i="3" s="1"/>
  <c r="BA411" i="3"/>
  <c r="BL414" i="3"/>
  <c r="BL415" i="3"/>
  <c r="BA417" i="3"/>
  <c r="BL421" i="3"/>
  <c r="BL422" i="3"/>
  <c r="AZ422" i="3" s="1"/>
  <c r="BL425" i="3"/>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BL317" i="3"/>
  <c r="BA353" i="3"/>
  <c r="BL353" i="3"/>
  <c r="BL15" i="3"/>
  <c r="AZ15" i="3" s="1"/>
  <c r="BA398" i="3"/>
  <c r="AZ398" i="3" s="1"/>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BA460" i="3"/>
  <c r="BA461" i="3"/>
  <c r="AZ461" i="3" s="1"/>
  <c r="BL464" i="3"/>
  <c r="BL466" i="3"/>
  <c r="AZ466" i="3" s="1"/>
  <c r="G468" i="3"/>
  <c r="G469" i="3"/>
  <c r="BL476" i="3"/>
  <c r="BL477" i="3"/>
  <c r="BL478" i="3"/>
  <c r="G479" i="3"/>
  <c r="G480" i="3"/>
  <c r="BL480" i="3"/>
  <c r="AZ480" i="3" s="1"/>
  <c r="G482" i="3"/>
  <c r="BA483" i="3"/>
  <c r="BL483" i="3"/>
  <c r="BA486" i="3"/>
  <c r="BL489" i="3"/>
  <c r="BL491" i="3"/>
  <c r="BL492" i="3"/>
  <c r="G307" i="3"/>
  <c r="BA315" i="3"/>
  <c r="AZ315" i="3" s="1"/>
  <c r="BA333" i="3"/>
  <c r="BL346" i="3"/>
  <c r="AZ346" i="3" s="1"/>
  <c r="AZ404" i="3"/>
  <c r="AZ405" i="3"/>
  <c r="AZ419" i="3"/>
  <c r="AZ464" i="3"/>
  <c r="AZ476" i="3"/>
  <c r="BA482" i="3"/>
  <c r="BA332" i="3"/>
  <c r="BL332" i="3"/>
  <c r="BA239" i="3"/>
  <c r="AZ239" i="3" s="1"/>
  <c r="BL239" i="3"/>
  <c r="AZ302" i="3"/>
  <c r="BL155" i="3"/>
  <c r="AZ155" i="3" s="1"/>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G140" i="3"/>
  <c r="BL141" i="3"/>
  <c r="BL143" i="3"/>
  <c r="AZ143" i="3" s="1"/>
  <c r="G146" i="3"/>
  <c r="BA153"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64" i="3"/>
  <c r="AZ164" i="3" s="1"/>
  <c r="BA177" i="3"/>
  <c r="AZ177" i="3" s="1"/>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0" i="3"/>
  <c r="G154" i="3"/>
  <c r="BL173" i="3"/>
  <c r="BA37" i="3"/>
  <c r="BL39" i="3"/>
  <c r="BA45" i="3"/>
  <c r="BA46" i="3"/>
  <c r="BL49" i="3"/>
  <c r="BL50" i="3"/>
  <c r="AZ50" i="3" s="1"/>
  <c r="BL51" i="3"/>
  <c r="BL53" i="3"/>
  <c r="BA56" i="3"/>
  <c r="BA57" i="3"/>
  <c r="BL58" i="3"/>
  <c r="BA60" i="3"/>
  <c r="BA63" i="3"/>
  <c r="BA66" i="3"/>
  <c r="AC29" i="39"/>
  <c r="W29" i="39"/>
  <c r="C52" i="71"/>
  <c r="D51" i="71"/>
  <c r="V24" i="71"/>
  <c r="E23" i="71"/>
  <c r="E22" i="71" s="1"/>
  <c r="E21" i="71" s="1"/>
  <c r="E20" i="71"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A72" i="3"/>
  <c r="BA73" i="3"/>
  <c r="BA79" i="3"/>
  <c r="AZ79" i="3" s="1"/>
  <c r="G82" i="3"/>
  <c r="G83" i="3"/>
  <c r="BA84" i="3"/>
  <c r="AZ84" i="3" s="1"/>
  <c r="BL88" i="3"/>
  <c r="AZ88" i="3" s="1"/>
  <c r="BL90" i="3"/>
  <c r="G98" i="3"/>
  <c r="G99" i="3"/>
  <c r="BA105" i="3"/>
  <c r="C44" i="71"/>
  <c r="D43"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BA31" i="3"/>
  <c r="AZ31" i="3" s="1"/>
  <c r="BA32" i="3"/>
  <c r="AZ64" i="3"/>
  <c r="AZ65" i="3"/>
  <c r="BL68" i="3"/>
  <c r="BA69" i="3"/>
  <c r="AZ69" i="3" s="1"/>
  <c r="BA70" i="3"/>
  <c r="AZ70" i="3" s="1"/>
  <c r="BL81" i="3"/>
  <c r="BA82" i="3"/>
  <c r="AZ82" i="3" s="1"/>
  <c r="BL83" i="3"/>
  <c r="BA90" i="3"/>
  <c r="BA94" i="3"/>
  <c r="AZ94" i="3" s="1"/>
  <c r="C47" i="71"/>
  <c r="D47" i="71" s="1"/>
  <c r="D46" i="71"/>
  <c r="C55" i="71"/>
  <c r="D54" i="71"/>
  <c r="N67" i="71"/>
  <c r="B66" i="71"/>
  <c r="F66" i="71"/>
  <c r="Q67" i="71"/>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AZ41" i="3" s="1"/>
  <c r="G45" i="3"/>
  <c r="BL45" i="3"/>
  <c r="BA48" i="3"/>
  <c r="BA49" i="3"/>
  <c r="AZ49" i="3" s="1"/>
  <c r="BA51" i="3"/>
  <c r="AZ51" i="3" s="1"/>
  <c r="G54" i="3"/>
  <c r="G55" i="3"/>
  <c r="BL56" i="3"/>
  <c r="BA58" i="3"/>
  <c r="AZ58" i="3" s="1"/>
  <c r="BL59" i="3"/>
  <c r="AZ59" i="3" s="1"/>
  <c r="BL60" i="3"/>
  <c r="BA61" i="3"/>
  <c r="AZ61" i="3" s="1"/>
  <c r="BA68" i="3"/>
  <c r="BA71" i="3"/>
  <c r="AZ71" i="3" s="1"/>
  <c r="BL72" i="3"/>
  <c r="BL75" i="3"/>
  <c r="BL91" i="3"/>
  <c r="BL100" i="3"/>
  <c r="AZ100" i="3" s="1"/>
  <c r="BL105" i="3"/>
  <c r="F40" i="68"/>
  <c r="C21" i="68"/>
  <c r="D31" i="71"/>
  <c r="C32" i="71"/>
  <c r="G72" i="3"/>
  <c r="BL73" i="3"/>
  <c r="BA74" i="3"/>
  <c r="AZ74" i="3" s="1"/>
  <c r="BA75" i="3"/>
  <c r="G81" i="3"/>
  <c r="G85" i="3"/>
  <c r="BL85" i="3"/>
  <c r="BA86" i="3"/>
  <c r="AZ86" i="3" s="1"/>
  <c r="BA87" i="3"/>
  <c r="BA91" i="3"/>
  <c r="AZ91" i="3" s="1"/>
  <c r="G96" i="3"/>
  <c r="BL97" i="3"/>
  <c r="AZ97" i="3" s="1"/>
  <c r="BL101" i="3"/>
  <c r="AZ101" i="3" s="1"/>
  <c r="BL102" i="3"/>
  <c r="AZ102" i="3" s="1"/>
  <c r="G104" i="3"/>
  <c r="G105" i="3"/>
  <c r="BL106" i="3"/>
  <c r="BA108" i="3"/>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5" i="68"/>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107" i="3"/>
  <c r="BA111" i="3"/>
  <c r="S18" i="36"/>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F64" i="15"/>
  <c r="C27" i="15"/>
  <c r="F65" i="15"/>
  <c r="B13" i="70"/>
  <c r="F68" i="15"/>
  <c r="C36" i="68"/>
  <c r="D9" i="69"/>
  <c r="D9" i="68"/>
  <c r="C16" i="15"/>
  <c r="M24" i="67"/>
  <c r="F16" i="67"/>
  <c r="M23" i="67"/>
  <c r="M8" i="67"/>
  <c r="L47" i="67"/>
  <c r="D3" i="73"/>
  <c r="L48" i="67"/>
  <c r="C76" i="67"/>
  <c r="F26" i="67"/>
  <c r="M26" i="67"/>
  <c r="F40" i="67"/>
  <c r="D5" i="73"/>
  <c r="J15" i="67"/>
  <c r="D4" i="73"/>
  <c r="F42" i="67"/>
  <c r="D7" i="73"/>
  <c r="F36" i="67"/>
  <c r="AC28" i="33" l="1"/>
  <c r="F68" i="67"/>
  <c r="C27" i="67"/>
  <c r="F64" i="67"/>
  <c r="L56" i="67"/>
  <c r="I54" i="67"/>
  <c r="J57" i="67"/>
  <c r="J55" i="67" s="1"/>
  <c r="J58" i="67" s="1"/>
  <c r="Q50" i="67" s="1"/>
  <c r="J53" i="67"/>
  <c r="Q52" i="67" s="1"/>
  <c r="Q71" i="67"/>
  <c r="L59" i="67"/>
  <c r="Q74" i="67" s="1"/>
  <c r="L58" i="67"/>
  <c r="Q73" i="67" s="1"/>
  <c r="N59" i="67"/>
  <c r="M59" i="67"/>
  <c r="W36" i="33"/>
  <c r="AC36" i="33"/>
  <c r="AZ75" i="3"/>
  <c r="AZ178" i="3"/>
  <c r="AZ25" i="3"/>
  <c r="S15" i="33"/>
  <c r="D23" i="71"/>
  <c r="C22" i="71"/>
  <c r="B19" i="71"/>
  <c r="B18" i="71" s="1"/>
  <c r="B17" i="71" s="1"/>
  <c r="B16" i="71" s="1"/>
  <c r="S20" i="71"/>
  <c r="AZ397" i="3"/>
  <c r="U12" i="34"/>
  <c r="AB12" i="34"/>
  <c r="C64" i="71"/>
  <c r="D63" i="71"/>
  <c r="V23" i="1"/>
  <c r="J7" i="36"/>
  <c r="AZ27" i="3"/>
  <c r="AZ66" i="3"/>
  <c r="AZ421" i="3"/>
  <c r="S7" i="82"/>
  <c r="AA7" i="82"/>
  <c r="R48" i="82" s="1"/>
  <c r="AC13" i="21"/>
  <c r="W13" i="21"/>
  <c r="D3" i="82"/>
  <c r="K6" i="1"/>
  <c r="AB9" i="34"/>
  <c r="U9" i="34"/>
  <c r="U39" i="40"/>
  <c r="AB39" i="40"/>
  <c r="S30" i="34"/>
  <c r="AA30" i="34"/>
  <c r="P67" i="71"/>
  <c r="E66" i="71"/>
  <c r="AZ429" i="3"/>
  <c r="W7" i="82"/>
  <c r="AC7" i="82"/>
  <c r="V48" i="82" s="1"/>
  <c r="I48" i="82" s="1"/>
  <c r="I52" i="82" s="1"/>
  <c r="J52" i="82" s="1"/>
  <c r="AZ244" i="3"/>
  <c r="AA25" i="37"/>
  <c r="S25" i="37"/>
  <c r="U29" i="21"/>
  <c r="AB29" i="21"/>
  <c r="AC44" i="21"/>
  <c r="W44" i="21"/>
  <c r="G111" i="33"/>
  <c r="H111" i="33" s="1"/>
  <c r="I111" i="33" s="1"/>
  <c r="J111" i="33" s="1"/>
  <c r="K111" i="33" s="1"/>
  <c r="L111" i="33" s="1"/>
  <c r="M111" i="33" s="1"/>
  <c r="H36" i="33"/>
  <c r="U7" i="82"/>
  <c r="AB7" i="82"/>
  <c r="T48" i="82" s="1"/>
  <c r="G48" i="82" s="1"/>
  <c r="AZ297" i="3"/>
  <c r="AZ277" i="3"/>
  <c r="AZ210" i="3"/>
  <c r="AZ241" i="3"/>
  <c r="AB25" i="35"/>
  <c r="U25" i="35"/>
  <c r="U39" i="33"/>
  <c r="W27" i="33"/>
  <c r="U27" i="33"/>
  <c r="K16" i="1"/>
  <c r="T28" i="71"/>
  <c r="D28" i="71"/>
  <c r="U28" i="71" s="1"/>
  <c r="C27" i="71"/>
  <c r="D79" i="71"/>
  <c r="C78" i="71"/>
  <c r="D78" i="71" s="1"/>
  <c r="T32" i="71"/>
  <c r="D32" i="71"/>
  <c r="C56" i="71"/>
  <c r="D55" i="71"/>
  <c r="D44" i="71"/>
  <c r="T44" i="71"/>
  <c r="AZ243" i="3"/>
  <c r="AZ459" i="3"/>
  <c r="AZ432" i="3"/>
  <c r="AZ417" i="3"/>
  <c r="G5" i="3"/>
  <c r="B3" i="3" s="1"/>
  <c r="E539" i="3" s="1"/>
  <c r="AZ111" i="3"/>
  <c r="D83" i="71"/>
  <c r="C82" i="71"/>
  <c r="D82" i="71" s="1"/>
  <c r="O65" i="71"/>
  <c r="D66" i="71"/>
  <c r="O66" i="71"/>
  <c r="N65" i="71"/>
  <c r="N66" i="71"/>
  <c r="AZ28" i="3"/>
  <c r="AZ105" i="3"/>
  <c r="AZ45" i="3"/>
  <c r="AZ118" i="3"/>
  <c r="AZ229" i="3"/>
  <c r="AZ218" i="3"/>
  <c r="AZ271" i="3"/>
  <c r="AZ332" i="3"/>
  <c r="AZ483" i="3"/>
  <c r="AZ457" i="3"/>
  <c r="AZ414" i="3"/>
  <c r="AZ471" i="3"/>
  <c r="AZ408" i="3"/>
  <c r="AZ491" i="3"/>
  <c r="G16" i="1"/>
  <c r="F10" i="39" s="1"/>
  <c r="S10" i="39" s="1"/>
  <c r="C40" i="71"/>
  <c r="D39" i="71"/>
  <c r="AZ108" i="3"/>
  <c r="AZ57" i="3"/>
  <c r="AB24" i="36"/>
  <c r="U24" i="36"/>
  <c r="U12" i="36"/>
  <c r="AB12" i="36"/>
  <c r="AA26" i="33"/>
  <c r="S26" i="33"/>
  <c r="C70" i="71"/>
  <c r="D70" i="71" s="1"/>
  <c r="D71" i="71"/>
  <c r="C36" i="71"/>
  <c r="D35" i="71"/>
  <c r="AZ72" i="3"/>
  <c r="T52" i="71"/>
  <c r="D52" i="71"/>
  <c r="AZ63" i="3"/>
  <c r="AZ126" i="3"/>
  <c r="AZ274" i="3"/>
  <c r="AZ223" i="3"/>
  <c r="AZ460" i="3"/>
  <c r="AZ425" i="3"/>
  <c r="AZ353" i="3"/>
  <c r="AZ428" i="3"/>
  <c r="AZ411" i="3"/>
  <c r="AB36" i="35"/>
  <c r="U36" i="35"/>
  <c r="W12" i="35"/>
  <c r="AC12" i="35"/>
  <c r="J7" i="37"/>
  <c r="K1" i="73"/>
  <c r="E510" i="3"/>
  <c r="E300" i="3"/>
  <c r="E264" i="3"/>
  <c r="E452" i="3"/>
  <c r="E342" i="3"/>
  <c r="E455" i="3"/>
  <c r="E147" i="3"/>
  <c r="E582" i="3"/>
  <c r="Y6" i="3"/>
  <c r="E432" i="3"/>
  <c r="E153" i="3"/>
  <c r="E55" i="3"/>
  <c r="E443" i="3"/>
  <c r="E253" i="3"/>
  <c r="E433" i="3"/>
  <c r="E380" i="3"/>
  <c r="E503" i="3"/>
  <c r="E568" i="3"/>
  <c r="E228" i="3"/>
  <c r="K6" i="3"/>
  <c r="E560" i="3"/>
  <c r="E465" i="3"/>
  <c r="E587" i="3"/>
  <c r="E454" i="3"/>
  <c r="E106" i="3"/>
  <c r="E214" i="3"/>
  <c r="E315"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D26" i="43"/>
  <c r="C25" i="43" s="1"/>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60" i="15"/>
  <c r="Q73" i="15"/>
  <c r="Q61" i="67"/>
  <c r="Q74" i="15"/>
  <c r="Q61" i="15"/>
  <c r="AE11" i="1"/>
  <c r="AE9" i="1"/>
  <c r="AE7" i="1"/>
  <c r="AE8" i="1"/>
  <c r="AE12" i="1"/>
  <c r="AE10" i="1"/>
  <c r="F7" i="67"/>
  <c r="M29" i="67"/>
  <c r="G1" i="73"/>
  <c r="F43" i="67"/>
  <c r="AE6" i="1"/>
  <c r="M7" i="67" l="1"/>
  <c r="F50" i="67"/>
  <c r="F71" i="67"/>
  <c r="E74" i="3"/>
  <c r="E171" i="3"/>
  <c r="E468" i="3"/>
  <c r="E406" i="3"/>
  <c r="E133" i="3"/>
  <c r="E124" i="3"/>
  <c r="E343" i="3"/>
  <c r="E130" i="3"/>
  <c r="E156" i="3"/>
  <c r="E475" i="3"/>
  <c r="E421" i="3"/>
  <c r="E40" i="3"/>
  <c r="E140" i="3"/>
  <c r="E363" i="3"/>
  <c r="G52" i="82"/>
  <c r="H52" i="82" s="1"/>
  <c r="G53" i="82"/>
  <c r="H53" i="82" s="1"/>
  <c r="D22" i="71"/>
  <c r="C21" i="71"/>
  <c r="E242" i="3"/>
  <c r="E119" i="3"/>
  <c r="X6" i="3"/>
  <c r="E423" i="3"/>
  <c r="E161" i="3"/>
  <c r="E563" i="3"/>
  <c r="E215" i="3"/>
  <c r="M6" i="3"/>
  <c r="E201" i="3"/>
  <c r="E509" i="3"/>
  <c r="E526" i="3"/>
  <c r="E377" i="3"/>
  <c r="E70" i="3"/>
  <c r="E557" i="3"/>
  <c r="AO6" i="3"/>
  <c r="E89" i="3"/>
  <c r="E362" i="3"/>
  <c r="E146" i="3"/>
  <c r="E577" i="3"/>
  <c r="E472" i="3"/>
  <c r="E277" i="3"/>
  <c r="E301" i="3"/>
  <c r="E414" i="3"/>
  <c r="E282" i="3"/>
  <c r="E169" i="3"/>
  <c r="E122" i="3"/>
  <c r="E398" i="3"/>
  <c r="E493" i="3"/>
  <c r="E129" i="3"/>
  <c r="I3" i="6"/>
  <c r="U36" i="33"/>
  <c r="AB36" i="33"/>
  <c r="P65" i="71"/>
  <c r="P66" i="71"/>
  <c r="AP6" i="1"/>
  <c r="C36" i="69" s="1"/>
  <c r="H16" i="1"/>
  <c r="Q16" i="1"/>
  <c r="M6" i="1"/>
  <c r="O6" i="1" s="1"/>
  <c r="R49" i="82"/>
  <c r="E48" i="82"/>
  <c r="T64" i="71"/>
  <c r="D64" i="71"/>
  <c r="AA10" i="39"/>
  <c r="J10" i="39"/>
  <c r="W10" i="39" s="1"/>
  <c r="F10" i="40"/>
  <c r="S10" i="40" s="1"/>
  <c r="AK6" i="3"/>
  <c r="E77" i="3"/>
  <c r="E495" i="3"/>
  <c r="E134" i="3"/>
  <c r="E183" i="3"/>
  <c r="E538" i="3"/>
  <c r="E44" i="3"/>
  <c r="E107" i="3"/>
  <c r="E457" i="3"/>
  <c r="E518" i="3"/>
  <c r="E407" i="3"/>
  <c r="E480" i="3"/>
  <c r="E576" i="3"/>
  <c r="E344" i="3"/>
  <c r="AN6" i="3"/>
  <c r="E418" i="3"/>
  <c r="E29" i="3"/>
  <c r="E379" i="3"/>
  <c r="E288" i="3"/>
  <c r="E98" i="3"/>
  <c r="E259" i="3"/>
  <c r="E19" i="3"/>
  <c r="E51" i="3"/>
  <c r="E101" i="3"/>
  <c r="E52" i="3"/>
  <c r="E43" i="3"/>
  <c r="E498" i="3"/>
  <c r="E223" i="3"/>
  <c r="E78" i="3"/>
  <c r="E360" i="3"/>
  <c r="E287" i="3"/>
  <c r="E75" i="3"/>
  <c r="E381" i="3"/>
  <c r="E103" i="3"/>
  <c r="E192" i="3"/>
  <c r="E541" i="3"/>
  <c r="E545" i="3"/>
  <c r="E347" i="3"/>
  <c r="E586" i="3"/>
  <c r="E91" i="3"/>
  <c r="E261" i="3"/>
  <c r="E270" i="3"/>
  <c r="E186" i="3"/>
  <c r="E567" i="3"/>
  <c r="E519" i="3"/>
  <c r="E61" i="3"/>
  <c r="E358" i="3"/>
  <c r="E295" i="3"/>
  <c r="I6" i="3"/>
  <c r="Q6" i="3"/>
  <c r="E254" i="3"/>
  <c r="E390" i="3"/>
  <c r="E272" i="3"/>
  <c r="E397" i="3"/>
  <c r="E532" i="3"/>
  <c r="E167" i="3"/>
  <c r="E373" i="3"/>
  <c r="E209" i="3"/>
  <c r="E65" i="3"/>
  <c r="E218" i="3"/>
  <c r="E339" i="3"/>
  <c r="E333" i="3"/>
  <c r="E490" i="3"/>
  <c r="E83" i="3"/>
  <c r="E243" i="3"/>
  <c r="E469" i="3"/>
  <c r="E251" i="3"/>
  <c r="E332" i="3"/>
  <c r="E144" i="3"/>
  <c r="E425" i="3"/>
  <c r="E56" i="3"/>
  <c r="R6" i="3"/>
  <c r="E181" i="3"/>
  <c r="E399" i="3"/>
  <c r="E350" i="3"/>
  <c r="E180" i="3"/>
  <c r="E216" i="3"/>
  <c r="E555" i="3"/>
  <c r="E476" i="3"/>
  <c r="E279" i="3"/>
  <c r="E511" i="3"/>
  <c r="E260" i="3"/>
  <c r="E569" i="3"/>
  <c r="E404" i="3"/>
  <c r="E274" i="3"/>
  <c r="E262" i="3"/>
  <c r="E213" i="3"/>
  <c r="E574" i="3"/>
  <c r="E546" i="3"/>
  <c r="E257" i="3"/>
  <c r="E306" i="3"/>
  <c r="E488" i="3"/>
  <c r="E47" i="3"/>
  <c r="E57" i="3"/>
  <c r="E155" i="3"/>
  <c r="E50" i="3"/>
  <c r="E137" i="3"/>
  <c r="E202" i="3"/>
  <c r="E486" i="3"/>
  <c r="E370" i="3"/>
  <c r="E104" i="3"/>
  <c r="E534" i="3"/>
  <c r="E522" i="3"/>
  <c r="E21" i="3"/>
  <c r="E23" i="3"/>
  <c r="E76" i="3"/>
  <c r="E435" i="3"/>
  <c r="E199" i="3"/>
  <c r="E3" i="6"/>
  <c r="B14" i="74" s="1"/>
  <c r="AB7" i="36"/>
  <c r="T36" i="36" s="1"/>
  <c r="G36" i="36" s="1"/>
  <c r="S7" i="36"/>
  <c r="H10" i="40"/>
  <c r="AB10" i="40" s="1"/>
  <c r="J10" i="40"/>
  <c r="AC10" i="40" s="1"/>
  <c r="D36" i="71"/>
  <c r="T36" i="71"/>
  <c r="T40" i="71"/>
  <c r="D40" i="71"/>
  <c r="D56" i="71"/>
  <c r="T56" i="71"/>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67"/>
  <c r="F41" i="15"/>
  <c r="M27" i="15"/>
  <c r="C16" i="67"/>
  <c r="F69" i="67" l="1"/>
  <c r="C49" i="82"/>
  <c r="C48" i="82"/>
  <c r="D21" i="71"/>
  <c r="C20" i="71"/>
  <c r="C49" i="67"/>
  <c r="F59" i="67"/>
  <c r="AC10" i="39"/>
  <c r="J6" i="67"/>
  <c r="M17" i="67"/>
  <c r="I53" i="82"/>
  <c r="J53" i="82" s="1"/>
  <c r="E52" i="82"/>
  <c r="F52" i="82" s="1"/>
  <c r="E53" i="82"/>
  <c r="F53" i="82" s="1"/>
  <c r="C48" i="67"/>
  <c r="C66" i="67" s="1"/>
  <c r="F27" i="69"/>
  <c r="Q18" i="1"/>
  <c r="F27" i="11"/>
  <c r="F28" i="12"/>
  <c r="C29" i="12" s="1"/>
  <c r="D28" i="12" s="1"/>
  <c r="F27" i="68"/>
  <c r="AC6" i="3"/>
  <c r="H6" i="3"/>
  <c r="F22" i="68"/>
  <c r="C23" i="68" s="1"/>
  <c r="D116" i="43"/>
  <c r="F25" i="12"/>
  <c r="C26" i="12" s="1"/>
  <c r="D25" i="12" s="1"/>
  <c r="W10" i="40"/>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9"/>
  <c r="C34" i="69"/>
  <c r="D10" i="68"/>
  <c r="C17" i="15"/>
  <c r="C17" i="67"/>
  <c r="C14" i="67"/>
  <c r="F45" i="68" l="1"/>
  <c r="C47" i="68"/>
  <c r="D45" i="68" s="1"/>
  <c r="C29" i="68"/>
  <c r="D27" i="68" s="1"/>
  <c r="C47" i="69"/>
  <c r="D45" i="69" s="1"/>
  <c r="C29" i="69"/>
  <c r="D27" i="69" s="1"/>
  <c r="F45" i="69"/>
  <c r="U6" i="1"/>
  <c r="B3" i="82"/>
  <c r="B2" i="82"/>
  <c r="E6" i="3"/>
  <c r="C29" i="11"/>
  <c r="D27" i="11" s="1"/>
  <c r="C47" i="11"/>
  <c r="D45" i="11" s="1"/>
  <c r="J18" i="67"/>
  <c r="J5" i="67"/>
  <c r="J24" i="67" s="1"/>
  <c r="T20" i="71"/>
  <c r="D20" i="71"/>
  <c r="U20" i="71" s="1"/>
  <c r="C19" i="71"/>
  <c r="C44" i="11"/>
  <c r="D41" i="11" s="1"/>
  <c r="C44" i="68"/>
  <c r="D41" i="68" s="1"/>
  <c r="C26" i="68"/>
  <c r="D22" i="68" s="1"/>
  <c r="F41" i="68"/>
  <c r="C26" i="11"/>
  <c r="D22" i="1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U18" i="1" s="1"/>
  <c r="H58" i="21"/>
  <c r="E47" i="37"/>
  <c r="F47" i="37" s="1"/>
  <c r="E46" i="37"/>
  <c r="F46" i="37" s="1"/>
  <c r="I47" i="37"/>
  <c r="J47" i="37" s="1"/>
  <c r="E53" i="33"/>
  <c r="F53" i="33" s="1"/>
  <c r="E52" i="33"/>
  <c r="F52" i="33" s="1"/>
  <c r="C33" i="15"/>
  <c r="C33" i="67"/>
  <c r="J19" i="67"/>
  <c r="C34" i="68"/>
  <c r="B6" i="76"/>
  <c r="C14" i="15"/>
  <c r="E6" i="76"/>
  <c r="F6" i="67"/>
  <c r="F31" i="67" l="1"/>
  <c r="C6" i="67"/>
  <c r="C10" i="67" s="1"/>
  <c r="C5" i="67" s="1"/>
  <c r="C38" i="67"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C15" i="71" l="1"/>
  <c r="T16"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19" i="9"/>
  <c r="L51" i="15"/>
  <c r="D2" i="34"/>
  <c r="D2" i="35"/>
  <c r="D2" i="36"/>
  <c r="C19" i="9"/>
  <c r="T12" i="71" l="1"/>
  <c r="D12" i="71"/>
  <c r="U12" i="71" s="1"/>
  <c r="C11" i="71"/>
  <c r="C102" i="9"/>
  <c r="C21" i="9"/>
  <c r="B3" i="33"/>
  <c r="D102" i="9"/>
  <c r="D22" i="9"/>
  <c r="G19"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9" i="1"/>
  <c r="D34" i="9"/>
  <c r="AO12" i="1"/>
  <c r="AO8" i="1"/>
  <c r="C20" i="9"/>
  <c r="AO7" i="1"/>
  <c r="AO11" i="1"/>
  <c r="D20" i="9"/>
  <c r="D35" i="9"/>
  <c r="C10" i="71" l="1"/>
  <c r="D11" i="71"/>
  <c r="G21" i="9"/>
  <c r="D14" i="74"/>
  <c r="G14" i="74" s="1"/>
  <c r="C103" i="9"/>
  <c r="D103" i="9"/>
  <c r="G20"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32" i="9"/>
  <c r="C35" i="9" s="1"/>
  <c r="C34" i="9" s="1"/>
  <c r="E14" i="74"/>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I118" i="9" l="1"/>
  <c r="H102" i="9" s="1"/>
  <c r="G118" i="9"/>
  <c r="G4" i="52" s="1"/>
  <c r="B52" i="72" s="1"/>
  <c r="F118" i="9" l="1"/>
  <c r="F119" i="9" s="1"/>
  <c r="F5" i="52" s="1"/>
  <c r="B53" i="72" s="1"/>
  <c r="C5" i="74"/>
  <c r="D7" i="53"/>
  <c r="B21" i="72" s="1"/>
  <c r="I4" i="52"/>
  <c r="E118" i="9"/>
  <c r="C105" i="9"/>
  <c r="H118" i="9"/>
  <c r="F4" i="52" l="1"/>
  <c r="B51" i="72" s="1"/>
  <c r="H119" i="9"/>
  <c r="H5" i="52" s="1"/>
  <c r="H101" i="9"/>
  <c r="H4" i="52"/>
  <c r="C104" i="9"/>
  <c r="E4" i="52"/>
  <c r="B48" i="72" s="1"/>
  <c r="D118" i="9"/>
  <c r="D119" i="9" l="1"/>
  <c r="D5" i="52" s="1"/>
  <c r="B49" i="72" s="1"/>
  <c r="D4" i="52"/>
  <c r="B47" i="72" s="1"/>
  <c r="D5" i="53"/>
  <c r="M48" i="9"/>
  <c r="H107" i="9"/>
  <c r="D45" i="9"/>
  <c r="H108" i="9" l="1"/>
  <c r="D13" i="53"/>
  <c r="M49" i="9"/>
  <c r="D122" i="9"/>
  <c r="D6" i="53"/>
  <c r="B22" i="72" s="1"/>
  <c r="B20" i="72"/>
  <c r="D52" i="9"/>
  <c r="C78" i="9"/>
  <c r="C73" i="9" s="1"/>
  <c r="C64" i="9"/>
  <c r="C63" i="9" s="1"/>
  <c r="C67" i="9" s="1"/>
  <c r="D53" i="9"/>
  <c r="C93" i="9"/>
  <c r="C86" i="9" s="1"/>
  <c r="C85" i="9"/>
  <c r="C72" i="9"/>
  <c r="D55" i="9"/>
  <c r="M53" i="9" s="1"/>
  <c r="C79" i="9" l="1"/>
  <c r="D59" i="9"/>
  <c r="M55" i="9" s="1"/>
  <c r="C68" i="9"/>
  <c r="D54" i="9" s="1"/>
  <c r="D48" i="9" s="1"/>
  <c r="M52" i="9" s="1"/>
  <c r="C6" i="74"/>
  <c r="D15" i="53"/>
  <c r="B31" i="72" s="1"/>
  <c r="C95" i="9"/>
  <c r="D8" i="52"/>
  <c r="D123" i="9"/>
  <c r="D9" i="52" s="1"/>
  <c r="L67" i="9"/>
  <c r="M67" i="9" s="1"/>
  <c r="L65" i="9"/>
  <c r="M65" i="9" s="1"/>
  <c r="L68" i="9"/>
  <c r="M68" i="9" s="1"/>
  <c r="L64" i="9"/>
  <c r="M64" i="9" s="1"/>
  <c r="L66" i="9"/>
  <c r="M66" i="9" s="1"/>
  <c r="L63" i="9"/>
  <c r="M63" i="9" s="1"/>
  <c r="D14" i="53"/>
  <c r="B32" i="72" s="1"/>
  <c r="B30" i="72"/>
  <c r="M69" i="9" l="1"/>
  <c r="N69" i="9" s="1"/>
  <c r="C80" i="9"/>
  <c r="E80" i="9" s="1"/>
  <c r="E81" i="9" s="1"/>
  <c r="C96" i="9"/>
  <c r="E96" i="9" s="1"/>
  <c r="E97" i="9" s="1"/>
  <c r="C81" i="9" l="1"/>
  <c r="C97" i="9"/>
  <c r="D58" i="9" l="1"/>
  <c r="D56" i="9" s="1"/>
  <c r="M54" i="9" s="1"/>
  <c r="N57" i="9" s="1"/>
  <c r="N58" i="9" l="1"/>
  <c r="P57" i="9"/>
  <c r="N59" i="9"/>
  <c r="N60" i="9" l="1"/>
  <c r="I14" i="74"/>
  <c r="B8" i="74" s="1"/>
  <c r="N61" i="9"/>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<sst xmlns="http://schemas.openxmlformats.org/spreadsheetml/2006/main" count="8358" uniqueCount="3538">
  <si>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</si>
  <si>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</si>
  <si>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</si>
  <si>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</si>
  <si>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</si>
  <si>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</si>
  <si>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</si>
  <si>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</si>
  <si>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</si>
  <si>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</si>
  <si>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</si>
  <si>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</si>
  <si>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</si>
  <si>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</si>
  <si>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</si>
  <si>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</si>
  <si>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</si>
  <si>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</si>
  <si>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</si>
  <si>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</si>
  <si>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</si>
  <si>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</si>
  <si>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</si>
  <si>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</si>
  <si>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</si>
  <si>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</si>
  <si>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</si>
  <si>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</si>
  <si>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</si>
  <si>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</si>
  <si>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</si>
  <si>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</si>
  <si>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</si>
  <si>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</si>
  <si>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</si>
  <si>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</si>
  <si>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</si>
  <si>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</si>
  <si>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</si>
  <si>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</si>
  <si>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</si>
  <si>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</si>
  <si>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</si>
  <si>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</si>
  <si>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</si>
  <si>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</si>
  <si>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</si>
  <si>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</si>
  <si>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</si>
  <si>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</si>
  <si>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</si>
  <si>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</si>
  <si>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</si>
  <si>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</si>
  <si>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</si>
  <si>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</si>
  <si>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</si>
  <si>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</si>
  <si>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</si>
  <si>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</si>
  <si>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</si>
  <si>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</si>
  <si>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</si>
  <si>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</si>
  <si>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</si>
  <si>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</si>
  <si>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</si>
  <si>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</si>
  <si>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</si>
  <si>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</si>
  <si>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</si>
  <si>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</si>
  <si>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</si>
  <si>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</si>
  <si>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</si>
  <si>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</si>
  <si>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</si>
  <si>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</si>
  <si>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</si>
  <si>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</si>
  <si>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</si>
  <si>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</si>
  <si>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</si>
  <si>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</si>
  <si>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</si>
  <si>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</si>
  <si>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</si>
  <si>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</si>
  <si>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</si>
  <si>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</si>
  <si>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</si>
  <si>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</si>
  <si>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</si>
  <si>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</si>
  <si>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</si>
  <si>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</si>
  <si>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</si>
  <si>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</si>
  <si>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</si>
  <si>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</si>
  <si>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</si>
  <si>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</si>
  <si>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</si>
  <si>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</si>
  <si>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</si>
  <si>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</si>
  <si>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</si>
  <si>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</si>
  <si>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</si>
  <si>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</si>
  <si>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</si>
  <si>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</si>
  <si>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</si>
  <si>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</si>
  <si>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</si>
  <si>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</si>
  <si>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</si>
  <si>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</si>
  <si>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</si>
  <si>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</si>
  <si>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</si>
  <si>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</si>
  <si>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</si>
  <si>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</si>
  <si>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</si>
  <si>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</si>
  <si>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</si>
  <si>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</si>
  <si>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</si>
  <si>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</si>
  <si>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</si>
  <si>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</si>
  <si>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</si>
  <si>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</si>
  <si>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</si>
  <si>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</si>
  <si>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</si>
  <si>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</si>
  <si>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</si>
  <si>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</si>
  <si>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</si>
  <si>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</si>
  <si>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</si>
  <si>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</si>
  <si>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</si>
  <si>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</si>
  <si>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</si>
  <si>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</si>
  <si>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</si>
  <si>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</si>
  <si>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</si>
  <si>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</si>
  <si>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</si>
  <si>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</si>
  <si>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</si>
  <si>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</si>
  <si>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</si>
  <si>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</si>
  <si>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</si>
  <si>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</si>
  <si>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</si>
  <si>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</si>
  <si>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</si>
  <si>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</si>
  <si>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</si>
  <si>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</si>
  <si>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</si>
  <si>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</si>
  <si>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</si>
  <si>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</si>
  <si>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</si>
  <si>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</si>
  <si>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</si>
  <si>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</si>
  <si>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</si>
  <si>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</si>
  <si>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</si>
  <si>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</si>
  <si>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</si>
  <si>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</si>
  <si>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</si>
  <si>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</si>
  <si>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</si>
  <si>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</si>
  <si>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</si>
  <si>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</si>
  <si>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</si>
  <si>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</si>
  <si>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</si>
  <si>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</si>
  <si>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</si>
  <si>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</si>
  <si>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</si>
  <si>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</si>
  <si>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</si>
  <si>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</si>
  <si>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</si>
  <si>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</si>
  <si>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</si>
  <si>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</si>
  <si>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</si>
  <si>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</si>
  <si>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</si>
  <si>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</si>
  <si>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</si>
  <si>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</si>
  <si>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</si>
  <si>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</si>
  <si>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</si>
  <si>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</si>
  <si>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</si>
  <si>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</si>
  <si>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</si>
  <si>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</si>
  <si>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</si>
  <si>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</si>
  <si>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</si>
  <si>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</si>
  <si>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</si>
  <si>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</si>
  <si>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</si>
  <si>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</si>
  <si>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</si>
  <si>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</si>
  <si>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</si>
  <si>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</si>
  <si>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</si>
  <si>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</si>
  <si>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</si>
  <si>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</si>
  <si>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</si>
  <si>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</si>
  <si>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</si>
  <si>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</si>
  <si>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</si>
  <si>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</si>
  <si>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</si>
  <si>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</si>
  <si>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</si>
  <si>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</si>
  <si>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</si>
  <si>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</si>
  <si>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</si>
  <si>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</si>
  <si>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</si>
  <si>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</si>
  <si>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</si>
  <si>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</si>
  <si>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</si>
  <si>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</si>
  <si>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</si>
  <si>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</si>
  <si>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</si>
  <si>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</si>
  <si>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</si>
  <si>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</si>
  <si>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</si>
  <si>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</si>
  <si>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</si>
  <si>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</si>
  <si>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</si>
  <si>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</si>
  <si>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</si>
  <si>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</si>
  <si>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</si>
  <si>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</si>
  <si>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</si>
  <si>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</si>
  <si>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</si>
  <si>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</si>
  <si>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</si>
  <si>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</si>
  <si>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</si>
  <si>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</si>
  <si>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</si>
  <si>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</si>
  <si>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</si>
  <si>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</si>
  <si>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</si>
  <si>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</si>
  <si>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</si>
  <si>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</si>
  <si>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</si>
  <si>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</si>
  <si>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</si>
  <si>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</si>
  <si>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</si>
  <si>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</si>
  <si>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</si>
  <si>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</si>
  <si>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</si>
  <si>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</si>
  <si>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</si>
  <si>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</si>
  <si>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</si>
  <si>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</si>
  <si>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</si>
  <si>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</si>
  <si>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</si>
  <si>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</si>
  <si>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</si>
  <si>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</si>
  <si>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</si>
  <si>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</si>
  <si>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</si>
  <si>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</si>
  <si>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</si>
  <si>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</si>
  <si>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</si>
  <si>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</si>
  <si>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</si>
  <si>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</si>
  <si>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</si>
  <si>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</si>
  <si>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</si>
  <si>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</si>
  <si>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</si>
  <si>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</si>
  <si>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</si>
  <si>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</si>
  <si>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</si>
  <si>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</si>
  <si>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</si>
  <si>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</si>
  <si>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</si>
  <si>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</si>
  <si>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</si>
  <si>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</si>
  <si>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</si>
  <si>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</si>
  <si>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</si>
  <si>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</si>
  <si>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</si>
  <si>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</si>
  <si>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</si>
  <si>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</si>
  <si>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</si>
  <si>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</si>
  <si>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</si>
  <si>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</si>
  <si>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</si>
  <si>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</si>
  <si>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</si>
  <si>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</si>
  <si>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</si>
  <si>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</si>
  <si>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</si>
  <si>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</si>
  <si>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</si>
  <si>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</si>
  <si>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</si>
  <si>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</si>
  <si>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</si>
  <si>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</si>
  <si>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</si>
  <si>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</si>
  <si>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</si>
  <si>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</si>
  <si>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</si>
  <si>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</si>
  <si>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</si>
  <si>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</si>
  <si>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</si>
  <si>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</si>
  <si>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</si>
  <si>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</si>
  <si>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</si>
  <si>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</si>
  <si>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</si>
  <si>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</si>
  <si>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</si>
  <si>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</si>
  <si>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</si>
  <si>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</si>
  <si>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</si>
  <si>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</si>
  <si>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</si>
  <si>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</si>
  <si>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</si>
  <si>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</si>
  <si>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</si>
  <si>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</si>
  <si>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</si>
  <si>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</si>
  <si>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</si>
  <si>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</si>
  <si>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</si>
  <si>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</si>
  <si>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</si>
  <si>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</si>
  <si>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</si>
  <si>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</si>
  <si>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</si>
  <si>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</si>
  <si>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</si>
  <si>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</si>
  <si>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</si>
  <si>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</si>
  <si>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</si>
  <si>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</si>
  <si>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</si>
  <si>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</si>
  <si>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</si>
  <si>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</si>
  <si>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</si>
  <si>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</si>
  <si>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</si>
  <si>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</si>
  <si>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</si>
  <si>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</si>
  <si>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</si>
  <si>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</si>
  <si>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</si>
  <si>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</si>
  <si>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</si>
  <si>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</si>
  <si>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</si>
  <si>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</si>
  <si>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</si>
  <si>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</si>
  <si>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</si>
  <si>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</si>
  <si>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</si>
  <si>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</si>
  <si>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</si>
  <si>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</si>
  <si>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</si>
  <si>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</si>
  <si>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</si>
  <si>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</si>
  <si>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</si>
  <si>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</si>
  <si>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</si>
  <si>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</si>
  <si>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</si>
  <si>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</si>
  <si>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</si>
  <si>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</si>
  <si>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</si>
  <si>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</si>
  <si>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</si>
  <si>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</si>
  <si>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</si>
  <si>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</si>
  <si>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</si>
  <si>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</si>
  <si>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</si>
  <si>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</si>
  <si>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</si>
  <si>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</si>
  <si>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</si>
  <si>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</si>
  <si>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</si>
  <si>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</si>
  <si>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</si>
  <si>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</si>
  <si>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</si>
  <si>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</si>
  <si>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</si>
  <si>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</si>
  <si>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</si>
  <si>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</si>
  <si>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</si>
  <si>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</si>
  <si>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</si>
  <si>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</si>
  <si>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</si>
  <si>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</si>
  <si>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</si>
  <si>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</si>
  <si>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</si>
  <si>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</si>
  <si>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</si>
  <si>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</si>
  <si>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</si>
  <si>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</si>
  <si>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</si>
  <si>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</si>
  <si>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</si>
  <si>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</si>
  <si>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</si>
  <si>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</si>
  <si>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</si>
  <si>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</si>
  <si>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</si>
  <si>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</si>
  <si>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</si>
  <si>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</si>
  <si>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</si>
  <si>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</si>
  <si>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</si>
  <si>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</si>
  <si>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</si>
  <si>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</si>
  <si>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</si>
  <si>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</si>
  <si>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</si>
  <si>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</si>
  <si>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</si>
  <si>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</si>
  <si>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</si>
  <si>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</si>
  <si>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</si>
  <si>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</si>
  <si>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</si>
  <si>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</si>
  <si>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</si>
  <si>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</si>
  <si>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</si>
  <si>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</si>
  <si>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</si>
  <si>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</si>
  <si>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</si>
  <si>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</si>
  <si>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</si>
  <si>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</si>
  <si>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</si>
  <si>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</si>
  <si>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</si>
  <si>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</si>
  <si>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</si>
  <si>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</si>
  <si>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</si>
  <si>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</si>
  <si>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</si>
  <si>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</si>
  <si>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</si>
  <si>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</si>
  <si>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</si>
  <si>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</si>
  <si>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</si>
  <si>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</si>
  <si>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</si>
  <si>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</si>
  <si>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</si>
  <si>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</si>
  <si>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</si>
  <si>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</si>
  <si>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</si>
  <si>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</si>
  <si>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</si>
  <si>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</si>
  <si>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</si>
  <si>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</si>
  <si>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</si>
  <si>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</si>
  <si>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</si>
  <si>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</si>
  <si>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</si>
  <si>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</si>
  <si>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</si>
  <si>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</si>
  <si>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</si>
  <si>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</si>
  <si>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</si>
  <si>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</si>
  <si>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</si>
  <si>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</si>
  <si>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</si>
  <si>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</si>
  <si>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</si>
  <si>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</si>
  <si>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</si>
  <si>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</si>
  <si>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</si>
  <si>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</si>
  <si>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</si>
  <si>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</si>
  <si>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</si>
  <si>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</si>
  <si>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</si>
  <si>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</si>
  <si>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</si>
  <si>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</si>
  <si>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</si>
  <si>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</si>
  <si>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</si>
  <si>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</si>
  <si>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</si>
  <si>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</si>
  <si>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</si>
  <si>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</si>
  <si>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</si>
  <si>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</si>
  <si>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</si>
  <si>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</si>
  <si>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</si>
  <si>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</si>
  <si>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</si>
  <si>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</si>
  <si>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</si>
  <si>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</si>
  <si>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</si>
  <si>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</si>
  <si>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</si>
  <si>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</si>
  <si>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</si>
  <si>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</si>
  <si>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</si>
  <si>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</si>
  <si>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</si>
  <si>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</si>
  <si>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</si>
  <si>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</si>
  <si>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</si>
  <si>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</si>
  <si>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</si>
  <si>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</si>
  <si>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</si>
  <si>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</si>
  <si>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</si>
  <si>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</si>
  <si>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</si>
  <si>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</si>
  <si>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</si>
  <si>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</si>
  <si>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</si>
  <si>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</si>
  <si>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</si>
  <si>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</si>
  <si>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</si>
  <si>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</si>
  <si>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</si>
  <si>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</si>
  <si>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</si>
  <si>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</si>
  <si>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</si>
  <si>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</si>
  <si>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</si>
  <si>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</si>
  <si>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</si>
  <si>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</si>
  <si>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</si>
  <si>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</si>
  <si>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</si>
  <si>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</si>
  <si>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</si>
  <si>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</si>
  <si>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</si>
  <si>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</si>
  <si>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</si>
  <si>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</si>
  <si>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</si>
  <si>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</si>
  <si>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</si>
  <si>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</si>
  <si>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</si>
  <si>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</si>
  <si>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</si>
  <si>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</si>
  <si>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</si>
  <si>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</si>
  <si>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</si>
  <si>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</si>
  <si>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</si>
  <si>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</si>
  <si>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</si>
  <si>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</si>
  <si>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</si>
  <si>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</si>
  <si>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</si>
  <si>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</si>
  <si>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</si>
  <si>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</si>
  <si>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</si>
  <si>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</si>
  <si>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</si>
  <si>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</si>
  <si>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</si>
  <si>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</si>
  <si>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</si>
  <si>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</si>
  <si>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</si>
  <si>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</si>
  <si>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</si>
  <si>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</si>
  <si>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</si>
  <si>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</si>
  <si>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</si>
  <si>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</si>
  <si>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</si>
  <si>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</si>
  <si>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</si>
  <si>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</si>
  <si>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</si>
  <si>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</si>
  <si>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</si>
  <si>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</si>
  <si>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</si>
  <si>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</si>
  <si>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</si>
  <si>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</si>
  <si>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</si>
  <si>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</si>
  <si>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</si>
  <si>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</si>
  <si>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</si>
  <si>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</si>
  <si>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</si>
  <si>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</si>
  <si>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</si>
  <si>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</si>
  <si>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</si>
  <si>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</si>
  <si>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</si>
  <si>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</si>
  <si>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</si>
  <si>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</si>
  <si>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</si>
  <si>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</si>
  <si>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</si>
  <si>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</si>
  <si>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</si>
  <si>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</si>
  <si>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</si>
  <si>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</si>
  <si>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</si>
  <si>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</si>
  <si>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</si>
  <si>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</si>
  <si>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</si>
  <si>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</si>
  <si>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</si>
  <si>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</si>
  <si>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</si>
  <si>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</si>
  <si>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</si>
  <si>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</si>
  <si>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</si>
  <si>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</si>
  <si>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</si>
  <si>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</si>
  <si>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</si>
  <si>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</si>
  <si>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</si>
  <si>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</si>
  <si>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</si>
  <si>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</si>
  <si>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</si>
  <si>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</si>
  <si>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</si>
  <si>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</si>
  <si>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</si>
  <si>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</si>
  <si>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</si>
  <si>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</si>
  <si>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</si>
  <si>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</si>
  <si>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</si>
  <si>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</si>
  <si>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</si>
  <si>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</si>
  <si>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</si>
  <si>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</si>
  <si>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</si>
  <si>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</si>
  <si>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</si>
  <si>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</si>
  <si>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</si>
  <si>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</si>
  <si>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</si>
  <si>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</si>
  <si>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</si>
  <si>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</si>
  <si>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</si>
  <si>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</si>
  <si>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</si>
  <si>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</si>
  <si>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</si>
  <si>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</si>
  <si>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</si>
  <si>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</si>
  <si>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</si>
  <si>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</si>
  <si>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</si>
  <si>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</si>
  <si>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</si>
  <si>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</si>
  <si>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</si>
  <si>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</si>
  <si>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</si>
  <si>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</si>
  <si>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</si>
  <si>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</si>
  <si>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</si>
  <si>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</si>
  <si>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</si>
  <si>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</si>
  <si>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</si>
  <si>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</si>
  <si>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</si>
  <si>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</si>
  <si>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</si>
  <si>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</si>
  <si>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</si>
  <si>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</si>
  <si>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</si>
  <si>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</si>
  <si>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</si>
  <si>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</si>
  <si>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</si>
  <si>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</si>
  <si>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</si>
  <si>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</si>
  <si>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</si>
  <si>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</si>
  <si>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</si>
  <si>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</si>
  <si>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</si>
  <si>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</si>
  <si>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</si>
  <si>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</si>
  <si>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</si>
  <si>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</si>
  <si>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</si>
  <si>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</si>
  <si>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</si>
  <si>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</si>
  <si>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</si>
  <si>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</si>
  <si>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</si>
  <si>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</si>
  <si>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</si>
  <si>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</si>
  <si>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</si>
  <si>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</si>
  <si>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</si>
  <si>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</si>
  <si>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</si>
  <si>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</si>
  <si>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</si>
  <si>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</si>
  <si>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</si>
  <si>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</si>
  <si>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</si>
  <si>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</si>
  <si>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</si>
  <si>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</si>
  <si>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</si>
  <si>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</si>
  <si>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</si>
  <si>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</si>
  <si>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</si>
  <si>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</si>
  <si>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</si>
  <si>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</si>
  <si>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</si>
  <si>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</si>
  <si>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</si>
  <si>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</si>
  <si>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</si>
  <si>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</si>
  <si>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</si>
  <si>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</si>
  <si>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</si>
  <si>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</si>
  <si>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</si>
  <si>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</si>
  <si>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</si>
  <si>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</si>
  <si>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</si>
  <si>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</si>
  <si>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</si>
  <si>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</si>
  <si>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</si>
  <si>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</si>
  <si>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</si>
  <si>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</si>
  <si>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</si>
  <si>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</si>
  <si>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</si>
  <si>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</si>
  <si>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</si>
  <si>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</si>
  <si>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</si>
  <si>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</si>
  <si>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</si>
  <si>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</si>
  <si>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</si>
  <si>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</si>
  <si>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</si>
  <si>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</si>
  <si>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</si>
  <si>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</si>
  <si>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</si>
  <si>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</si>
  <si>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</si>
  <si>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</si>
  <si>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</si>
  <si>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</si>
  <si>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</si>
  <si>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</si>
  <si>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</si>
  <si>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</si>
  <si>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</si>
  <si>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</si>
  <si>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</si>
  <si>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</si>
  <si>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</si>
  <si>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</si>
  <si>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</si>
  <si>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</si>
  <si>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</si>
  <si>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</si>
  <si>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</si>
  <si>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</si>
  <si>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</si>
  <si>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</si>
  <si>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</si>
  <si>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</si>
  <si>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</si>
  <si>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</si>
  <si>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</si>
  <si>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</si>
  <si>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</si>
  <si>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</si>
  <si>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</si>
  <si>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</si>
  <si>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</si>
  <si>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</si>
  <si>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</si>
  <si>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</si>
  <si>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</si>
  <si>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</si>
  <si>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</si>
  <si>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</si>
  <si>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</si>
  <si>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</si>
  <si>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</si>
  <si>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</si>
  <si>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</si>
  <si>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</si>
  <si>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</si>
  <si>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</si>
  <si>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</si>
  <si>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</si>
  <si>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</si>
  <si>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</si>
  <si>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</si>
  <si>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</si>
  <si>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</si>
  <si>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</si>
  <si>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</si>
  <si>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</si>
  <si>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</si>
  <si>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</si>
  <si>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</si>
  <si>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</si>
  <si>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</si>
  <si>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</si>
  <si>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</si>
  <si>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</si>
  <si>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</si>
  <si>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</si>
  <si>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</si>
  <si>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</si>
  <si>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</si>
  <si>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</si>
  <si>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</si>
  <si>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</si>
  <si>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</si>
  <si>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</si>
  <si>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</si>
  <si>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</si>
  <si>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</si>
  <si>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</si>
  <si>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</si>
  <si>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</si>
  <si>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</si>
  <si>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</si>
  <si>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</si>
  <si>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</si>
  <si>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</si>
  <si>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</si>
  <si>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</si>
  <si>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</si>
  <si>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</si>
  <si>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</si>
  <si>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</si>
  <si>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</si>
  <si>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</si>
  <si>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</si>
  <si>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</si>
  <si>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</si>
  <si>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</si>
  <si>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</si>
  <si>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</si>
  <si>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</si>
  <si>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</si>
  <si>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</si>
  <si>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</si>
  <si>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</si>
  <si>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</si>
  <si>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</si>
  <si>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</si>
  <si>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</si>
  <si>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</si>
  <si>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</si>
  <si>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</si>
  <si>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</si>
  <si>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</si>
  <si>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</si>
  <si>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</si>
  <si>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</si>
  <si>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</si>
  <si>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</si>
  <si>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</si>
  <si>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</si>
  <si>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</si>
  <si>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</si>
  <si>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</si>
  <si>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</si>
  <si>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</si>
  <si>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</si>
  <si>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</si>
  <si>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</si>
  <si>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</si>
  <si>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</si>
  <si>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</si>
  <si>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</si>
  <si>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</si>
  <si>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</si>
  <si>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</si>
  <si>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</si>
  <si>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</si>
  <si>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</si>
  <si>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</si>
  <si>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</si>
  <si>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</si>
  <si>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</si>
  <si>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</si>
  <si>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</si>
  <si>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</si>
  <si>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</si>
  <si>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</si>
  <si>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</si>
  <si>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</si>
  <si>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</si>
  <si>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</si>
  <si>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</si>
  <si>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</si>
  <si>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</si>
  <si>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</si>
  <si>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</si>
  <si>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</si>
  <si>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</si>
  <si>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</si>
  <si>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</si>
  <si>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</si>
  <si>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</si>
  <si>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</si>
  <si>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</si>
  <si>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</si>
  <si>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</si>
  <si>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</si>
  <si>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</si>
  <si>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</si>
  <si>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</si>
  <si>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</si>
  <si>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</si>
  <si>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</si>
  <si>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</si>
  <si>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</si>
  <si>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</si>
  <si>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</si>
  <si>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</si>
  <si>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</si>
  <si>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</si>
  <si>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</si>
  <si>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</si>
  <si>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</si>
  <si>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</si>
  <si>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</si>
  <si>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</si>
  <si>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</si>
  <si>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</si>
  <si>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</si>
  <si>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</si>
  <si>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</si>
  <si>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</si>
  <si>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</si>
  <si>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</si>
  <si>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</si>
  <si>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</si>
  <si>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</si>
  <si>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</si>
  <si>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</si>
  <si>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</si>
  <si>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</si>
  <si>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</si>
  <si>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</si>
  <si>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</si>
  <si>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</si>
  <si>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</si>
  <si>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</si>
  <si>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</si>
  <si>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</si>
  <si>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</si>
  <si>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</si>
  <si>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</si>
  <si>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</si>
  <si>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</si>
  <si>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</si>
  <si>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</si>
  <si>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</si>
  <si>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</si>
  <si>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</si>
  <si>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</si>
  <si>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</si>
  <si>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</si>
  <si>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</si>
  <si>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</si>
  <si>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</si>
  <si>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</si>
  <si>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</si>
  <si>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</si>
  <si>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</si>
  <si>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</si>
  <si>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</si>
  <si>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</si>
  <si>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</si>
  <si>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</si>
  <si>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</si>
  <si>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</si>
  <si>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</si>
  <si>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</si>
  <si>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</si>
  <si>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</si>
  <si>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</si>
  <si>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</si>
  <si>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</si>
  <si>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</si>
  <si>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</si>
  <si>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</si>
  <si>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</si>
  <si>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</si>
  <si>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</si>
  <si>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</si>
  <si>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</si>
  <si>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</si>
  <si>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</si>
  <si>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</si>
  <si>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</si>
  <si>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</si>
  <si>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</si>
  <si>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</si>
  <si>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</si>
  <si>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</si>
  <si>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</si>
  <si>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</si>
  <si>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</si>
  <si>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</si>
  <si>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</si>
  <si>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</si>
  <si>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</si>
  <si>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</si>
  <si>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</si>
  <si>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</si>
  <si>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</si>
  <si>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</si>
  <si>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</si>
  <si>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</si>
  <si>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</si>
  <si>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</si>
  <si>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</si>
  <si>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</si>
  <si>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</si>
  <si>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</si>
  <si>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</si>
  <si>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</si>
  <si>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</si>
  <si>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</si>
  <si>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</si>
  <si>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</si>
  <si>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</si>
  <si>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</si>
  <si>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</si>
  <si>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</si>
  <si>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</si>
  <si>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</si>
  <si>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</si>
  <si>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</si>
  <si>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</si>
  <si>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</si>
  <si>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</si>
  <si>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</si>
  <si>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</si>
  <si>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</si>
  <si>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</si>
  <si>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</si>
  <si>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</si>
  <si>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</si>
  <si>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</si>
  <si>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</si>
  <si>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</si>
  <si>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</si>
  <si>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</si>
  <si>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</si>
  <si>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</si>
  <si>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</si>
  <si>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</si>
  <si>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</si>
  <si>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</si>
  <si>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</si>
  <si>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</si>
  <si>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</si>
  <si>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</si>
  <si>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</si>
  <si>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</si>
  <si>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</si>
  <si>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</si>
  <si>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</si>
  <si>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</si>
  <si>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</si>
  <si>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</si>
  <si>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</si>
  <si>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</si>
  <si>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</si>
  <si>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</si>
  <si>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</si>
  <si>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</si>
  <si>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</si>
  <si>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</si>
  <si>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</si>
  <si>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</si>
  <si>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</si>
  <si>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</si>
  <si>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</si>
  <si>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</si>
  <si>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</si>
  <si>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</si>
  <si>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</si>
  <si>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</si>
  <si>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</si>
  <si>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</si>
  <si>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</si>
  <si>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</si>
  <si>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</si>
  <si>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</si>
  <si>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</si>
  <si>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</si>
  <si>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</si>
  <si>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</si>
  <si>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</si>
  <si>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</si>
  <si>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</si>
  <si>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</si>
  <si>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</si>
  <si>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</si>
  <si>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</si>
  <si>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</si>
  <si>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</si>
  <si>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</si>
  <si>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</si>
  <si>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</si>
  <si>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</si>
  <si>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</si>
  <si>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</si>
  <si>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</si>
  <si>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</si>
  <si>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</si>
  <si>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</si>
  <si>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</si>
  <si>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</si>
  <si>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</si>
  <si>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</si>
  <si>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</si>
  <si>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</si>
  <si>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</si>
  <si>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</si>
  <si>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</si>
  <si>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</si>
  <si>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</si>
  <si>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</si>
  <si>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</si>
  <si>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</si>
  <si>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</si>
  <si>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</si>
  <si>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</si>
  <si>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</si>
  <si>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</si>
  <si>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</si>
  <si>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</si>
  <si>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</si>
  <si>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</si>
  <si>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</si>
  <si>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</si>
  <si>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</si>
  <si>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</si>
  <si>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</si>
  <si>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</si>
  <si>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</si>
  <si>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</si>
  <si>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</si>
  <si>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</si>
  <si>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</si>
  <si>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</si>
  <si>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</si>
  <si>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</si>
  <si>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</si>
  <si>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</si>
  <si>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</si>
  <si>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</si>
  <si>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</si>
  <si>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</si>
  <si>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</si>
  <si>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</si>
  <si>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</si>
  <si>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</si>
  <si>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</si>
  <si>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</si>
  <si>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</si>
  <si>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</si>
  <si>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</si>
  <si>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</si>
  <si>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</si>
  <si>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</si>
  <si>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</si>
  <si>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</si>
  <si>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</si>
  <si>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</si>
  <si>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</si>
  <si>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</si>
  <si>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</si>
  <si>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</si>
  <si>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</si>
  <si>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</si>
  <si>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</si>
  <si>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</si>
  <si>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</si>
  <si>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</si>
  <si>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</si>
  <si>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</si>
  <si>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</si>
  <si>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</si>
  <si>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</si>
  <si>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</si>
  <si>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</si>
  <si>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</si>
  <si>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</si>
  <si>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</si>
  <si>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</si>
  <si>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</si>
  <si>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</si>
  <si>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</si>
  <si>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</si>
  <si>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</si>
  <si>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</si>
  <si>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</si>
  <si>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</si>
  <si>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</si>
  <si>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</si>
  <si>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</si>
  <si>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</si>
  <si>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</si>
  <si>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</si>
  <si>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</si>
  <si>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</si>
  <si>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</si>
  <si>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</si>
  <si>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</si>
  <si>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</si>
  <si>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</si>
  <si>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</si>
  <si>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</si>
  <si>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</si>
  <si>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</si>
  <si>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</si>
  <si>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</si>
  <si>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</si>
  <si>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</si>
  <si>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</si>
  <si>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</si>
  <si>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</si>
  <si>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</si>
  <si>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</si>
  <si>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</si>
  <si>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</si>
  <si>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</si>
  <si>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</si>
  <si>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</si>
  <si>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</si>
  <si>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</si>
  <si>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</si>
  <si>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</si>
  <si>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</si>
  <si>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</si>
  <si>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</si>
  <si>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</si>
  <si>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</si>
  <si>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</si>
  <si>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</si>
  <si>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</si>
  <si>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</si>
  <si>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</si>
  <si>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</si>
  <si>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</si>
  <si>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</si>
  <si>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</si>
  <si>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</si>
  <si>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</si>
  <si>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</si>
  <si>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</si>
  <si>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</si>
  <si>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</si>
  <si>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</si>
  <si>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</si>
  <si>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</si>
  <si>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</si>
  <si>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</si>
  <si>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</si>
  <si>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</si>
  <si>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</si>
  <si>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</si>
  <si>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</si>
  <si>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</si>
  <si>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</si>
  <si>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</si>
  <si>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</si>
  <si>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</si>
  <si>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</si>
  <si>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</si>
  <si>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</si>
  <si>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</si>
  <si>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</si>
  <si>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</si>
  <si>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</si>
  <si>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</si>
  <si>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</si>
  <si>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</si>
  <si>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</si>
  <si>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</si>
  <si>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</si>
  <si>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</si>
  <si>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</si>
  <si>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</si>
  <si>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</si>
  <si>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</si>
  <si>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</si>
  <si>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</si>
  <si>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</si>
  <si>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</si>
  <si>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</si>
  <si>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</si>
  <si>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</si>
  <si>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</si>
  <si>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</si>
  <si>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</si>
  <si>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</si>
  <si>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</si>
  <si>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</si>
  <si>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</si>
  <si>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</si>
  <si>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</si>
  <si>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</si>
  <si>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</si>
  <si>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</si>
  <si>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</si>
  <si>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</si>
  <si>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</si>
  <si>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</si>
  <si>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</si>
  <si>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</si>
  <si>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</si>
  <si>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</si>
  <si>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</si>
  <si>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</si>
  <si>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</si>
  <si>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</si>
  <si>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</si>
  <si>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</si>
  <si>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</si>
  <si>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</si>
  <si>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</si>
  <si>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</si>
  <si>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</si>
  <si>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</si>
  <si>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</si>
  <si>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</si>
  <si>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</si>
  <si>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</si>
  <si>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</si>
  <si>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</si>
  <si>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</si>
  <si>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</si>
  <si>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</si>
  <si>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</si>
  <si>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</si>
  <si>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</si>
  <si>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</si>
  <si>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</si>
  <si>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</si>
  <si>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</si>
  <si>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</si>
  <si>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</si>
  <si>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</si>
  <si>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</si>
  <si>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</si>
  <si>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</si>
  <si>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</si>
  <si>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</si>
  <si>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</si>
  <si>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</si>
  <si>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</si>
  <si>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</si>
  <si>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</si>
  <si>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</si>
  <si>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</si>
  <si>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</si>
  <si>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</si>
  <si>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</si>
  <si>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</si>
  <si>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</si>
  <si>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</si>
  <si>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</si>
  <si>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</si>
  <si>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</si>
  <si>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</si>
  <si>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</si>
  <si>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</si>
  <si>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</si>
  <si>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</si>
  <si>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</si>
  <si>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</si>
  <si>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</si>
  <si>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</si>
  <si>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</si>
  <si>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</si>
  <si>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</si>
  <si>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</si>
  <si>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</si>
  <si>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</si>
  <si>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</si>
  <si>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</si>
  <si>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</si>
  <si>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</si>
  <si>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</si>
  <si>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</si>
  <si>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</si>
  <si>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</si>
  <si>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</si>
  <si>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</si>
  <si>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</si>
  <si>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</si>
  <si>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</si>
  <si>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</si>
  <si>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</si>
  <si>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</si>
  <si>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</si>
  <si>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</si>
  <si>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</si>
  <si>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</si>
  <si>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</si>
  <si>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</si>
  <si>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</si>
  <si>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</si>
  <si>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</si>
  <si>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</si>
  <si>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</si>
  <si>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</si>
  <si>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</si>
  <si>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</si>
  <si>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</si>
  <si>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</si>
  <si>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</si>
  <si>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</si>
  <si>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</si>
  <si>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</si>
  <si>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</si>
  <si>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</si>
  <si>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</si>
  <si>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</si>
  <si>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</si>
  <si>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</si>
  <si>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</si>
  <si>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</si>
  <si>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</si>
  <si>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</si>
  <si>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</si>
  <si>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</si>
  <si>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</si>
  <si>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</si>
  <si>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</si>
  <si>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</si>
  <si>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</si>
  <si>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</si>
  <si>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</si>
  <si>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</si>
  <si>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</si>
  <si>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</si>
  <si>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</si>
  <si>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</si>
  <si>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</si>
  <si>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</si>
  <si>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</si>
  <si>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</si>
  <si>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</si>
  <si>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</si>
  <si>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</si>
  <si>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</si>
  <si>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</si>
  <si>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</si>
  <si>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</si>
  <si>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</si>
  <si>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</si>
  <si>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</si>
  <si>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</si>
  <si>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</si>
  <si>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</si>
  <si>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</si>
  <si>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</si>
  <si>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</si>
  <si>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</si>
  <si>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</si>
  <si>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</si>
  <si>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</si>
  <si>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</si>
  <si>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</si>
  <si>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</si>
  <si>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</si>
  <si>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</si>
  <si>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</si>
  <si>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</si>
  <si>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</si>
  <si>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</si>
  <si>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</si>
  <si>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</si>
  <si>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</si>
  <si>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</si>
  <si>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</si>
  <si>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</si>
  <si>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</si>
  <si>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</si>
  <si>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</si>
  <si>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</si>
  <si>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</si>
  <si>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</si>
  <si>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</si>
  <si>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</si>
  <si>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</si>
  <si>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</si>
  <si>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</si>
  <si>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</si>
  <si>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</si>
  <si>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</si>
  <si>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</si>
  <si>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</si>
  <si>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</si>
  <si>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</si>
  <si>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</si>
  <si>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</si>
  <si>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</si>
  <si>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</si>
  <si>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</si>
  <si>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</si>
  <si>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</si>
  <si>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</si>
  <si>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</si>
  <si>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</si>
  <si>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</si>
  <si>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</si>
  <si>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</si>
  <si>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</si>
  <si>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</si>
  <si>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</si>
  <si>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</si>
  <si>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</si>
  <si>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</si>
  <si>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</si>
  <si>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</si>
  <si>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</si>
  <si>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</si>
  <si>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</si>
  <si>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</si>
  <si>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</si>
  <si>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</si>
  <si>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</si>
  <si>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</si>
  <si>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</si>
  <si>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</si>
  <si>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</si>
  <si>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</si>
  <si>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</si>
  <si>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</si>
  <si>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</si>
  <si>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</si>
  <si>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</si>
  <si>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</si>
  <si>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</si>
  <si>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</si>
  <si>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</si>
  <si>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</si>
  <si>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</si>
  <si>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</si>
  <si>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</si>
  <si>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</si>
  <si>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</si>
  <si>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</si>
  <si>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</si>
  <si>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</si>
  <si>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</si>
  <si>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</si>
  <si>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</si>
  <si>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</si>
  <si>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</si>
  <si>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</si>
  <si>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</si>
  <si>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</si>
  <si>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</si>
  <si>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</si>
  <si>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</si>
  <si>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</si>
  <si>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</si>
  <si>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</si>
  <si>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</si>
  <si>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</si>
  <si>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</si>
  <si>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</si>
  <si>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</si>
  <si>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</si>
  <si>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</si>
  <si>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</si>
  <si>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</si>
  <si>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</si>
  <si>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</si>
  <si>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</si>
  <si>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</si>
  <si>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</si>
  <si>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</si>
  <si>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</si>
  <si>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</si>
  <si>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</si>
  <si>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</si>
  <si>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</si>
  <si>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</si>
  <si>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</si>
  <si>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</si>
  <si>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</si>
  <si>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</si>
  <si>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</si>
  <si>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</si>
  <si>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</si>
  <si>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</si>
  <si>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</si>
  <si>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</si>
  <si>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</si>
  <si>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</si>
  <si>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</si>
  <si>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</si>
  <si>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</si>
  <si>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</si>
  <si>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</si>
  <si>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</si>
  <si>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</si>
  <si>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</si>
  <si>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</si>
  <si>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</si>
  <si>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</si>
  <si>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</si>
  <si>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</si>
  <si>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</si>
  <si>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</si>
  <si>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</si>
  <si>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</si>
  <si>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</si>
  <si>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</si>
  <si>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</si>
  <si>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</si>
  <si>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</si>
  <si>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</si>
  <si>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</si>
  <si>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</si>
  <si>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</si>
  <si>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</si>
  <si>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</si>
  <si>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</si>
  <si>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</si>
  <si>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</si>
  <si>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</si>
  <si>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</si>
  <si>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</si>
  <si>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</si>
  <si>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</si>
  <si>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</si>
  <si>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</si>
  <si>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</si>
  <si>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</si>
  <si>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</si>
  <si>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</si>
  <si>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</si>
  <si>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</si>
  <si>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</si>
  <si>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</si>
  <si>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</si>
  <si>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</si>
  <si>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</si>
  <si>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</si>
  <si>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</si>
  <si>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</si>
  <si>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</si>
  <si>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</si>
  <si>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</si>
  <si>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</si>
  <si>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</si>
  <si>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</si>
  <si>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</si>
  <si>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</si>
  <si>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</si>
  <si>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</si>
  <si>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</si>
  <si>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</si>
  <si>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</si>
  <si>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</si>
  <si>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</si>
  <si>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</si>
  <si>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</si>
  <si>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</si>
  <si>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</si>
  <si>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</si>
  <si>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</si>
  <si>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</si>
  <si>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</si>
  <si>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</si>
  <si>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</si>
  <si>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</si>
  <si>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</si>
  <si>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</si>
  <si>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</si>
  <si>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</si>
  <si>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</si>
  <si>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</si>
  <si>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</si>
  <si>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</si>
  <si>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</si>
  <si>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</si>
  <si>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</si>
  <si>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</si>
  <si>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</si>
  <si>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</si>
  <si>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</si>
  <si>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</si>
  <si>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</si>
  <si>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</si>
  <si>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</si>
  <si>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</si>
  <si>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</si>
  <si>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</si>
  <si>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</si>
  <si>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</si>
  <si>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</si>
  <si>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</si>
  <si>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</si>
  <si>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</si>
  <si>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</si>
  <si>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</si>
  <si>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</si>
  <si>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</si>
  <si>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</si>
  <si>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</si>
  <si>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</si>
  <si>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</si>
  <si>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</si>
  <si>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</si>
  <si>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</si>
  <si>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</si>
  <si>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</si>
  <si>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</si>
  <si>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</si>
  <si>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</si>
  <si>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</si>
  <si>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</si>
  <si>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</si>
  <si>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</si>
  <si>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</si>
  <si>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</si>
  <si>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</si>
  <si>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</si>
  <si>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</si>
  <si>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</si>
  <si>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</si>
  <si>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</si>
  <si>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</si>
  <si>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</si>
  <si>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</si>
  <si>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</si>
  <si>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</si>
  <si>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</si>
  <si>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</si>
  <si>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</si>
  <si>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</si>
  <si>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</si>
  <si>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</si>
  <si>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</si>
  <si>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</si>
  <si>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</si>
  <si>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</si>
  <si>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</si>
  <si>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</si>
  <si>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</si>
  <si>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</si>
  <si>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</si>
  <si>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</si>
  <si>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</si>
  <si>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</si>
  <si>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</si>
  <si>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</si>
  <si>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</si>
  <si>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</si>
  <si>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</si>
  <si>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</si>
  <si>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</si>
  <si>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</si>
  <si>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</si>
  <si>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</si>
  <si>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</si>
  <si>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</si>
  <si>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</si>
  <si>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</si>
  <si>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</si>
  <si>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</si>
  <si>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</si>
  <si>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</si>
  <si>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</si>
  <si>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</si>
  <si>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</si>
  <si>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</si>
  <si>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</si>
  <si>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</si>
  <si>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</si>
  <si>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</si>
  <si>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</si>
  <si>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</si>
  <si>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</si>
  <si>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</si>
  <si>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</si>
  <si>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</si>
  <si>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</si>
  <si>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</si>
  <si>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</si>
  <si>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</si>
  <si>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</si>
  <si>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</si>
  <si>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</si>
  <si>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</si>
  <si>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</si>
  <si>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</si>
  <si>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</si>
  <si>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</si>
  <si>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</si>
  <si>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</si>
  <si>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</si>
  <si>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</si>
  <si>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</si>
  <si>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</si>
  <si>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</si>
  <si>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</si>
  <si>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</si>
  <si>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</si>
  <si>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</si>
  <si>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</si>
  <si>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</si>
  <si>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</si>
  <si>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</si>
  <si>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</si>
  <si>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</si>
  <si>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</si>
  <si>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</si>
  <si>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</si>
  <si>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</si>
  <si>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</si>
  <si>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</si>
  <si>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</si>
  <si>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</si>
  <si>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</si>
  <si>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</si>
  <si>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</si>
  <si>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</si>
  <si>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</si>
  <si>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</si>
  <si>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</si>
  <si>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</si>
  <si>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</si>
  <si>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</si>
  <si>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</si>
  <si>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</si>
  <si>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</si>
  <si>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</si>
  <si>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</si>
  <si>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</si>
  <si>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</si>
  <si>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</si>
  <si>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</si>
  <si>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</si>
  <si>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</si>
  <si>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</si>
  <si>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</si>
  <si>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</si>
  <si>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</si>
  <si>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</si>
  <si>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</si>
  <si>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</si>
  <si>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</si>
  <si>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</si>
  <si>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</si>
  <si>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</si>
  <si>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</si>
  <si>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</si>
  <si>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</si>
  <si>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</si>
  <si>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</si>
  <si>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</si>
  <si>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</si>
  <si>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</si>
  <si>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</si>
  <si>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</si>
  <si>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</si>
  <si>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</si>
  <si>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</si>
  <si>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</si>
  <si>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</si>
  <si>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</si>
  <si>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</si>
  <si>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</si>
  <si>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</si>
  <si>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</si>
  <si>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</si>
  <si>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</si>
  <si>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</si>
  <si>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</si>
  <si>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</si>
  <si>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</si>
  <si>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</si>
  <si>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</si>
  <si>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</si>
  <si>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</si>
  <si>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</si>
  <si>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</si>
  <si>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</si>
  <si>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</si>
  <si>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</si>
  <si>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</si>
  <si>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</si>
  <si>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</si>
  <si>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</si>
  <si>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</si>
  <si>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</si>
  <si>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</si>
  <si>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</si>
  <si>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</si>
  <si>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</si>
  <si>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</si>
  <si>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</si>
  <si>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</si>
  <si>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</si>
  <si>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</si>
  <si>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</si>
  <si>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</si>
  <si>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</si>
  <si>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</si>
  <si>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</si>
  <si>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</si>
  <si>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</si>
  <si>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</si>
  <si>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</si>
  <si>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</si>
  <si>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</si>
  <si>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</si>
  <si>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</si>
  <si>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</si>
  <si>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</si>
  <si>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</si>
  <si>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</si>
  <si>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</si>
  <si>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</si>
  <si>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</si>
  <si>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</si>
  <si>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</si>
  <si>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</si>
  <si>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</si>
  <si>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</si>
  <si>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</si>
  <si>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</si>
  <si>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</si>
  <si>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</si>
  <si>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</si>
  <si>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</si>
  <si>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</si>
  <si>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</si>
  <si>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</si>
  <si>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</si>
  <si>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</si>
  <si>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</si>
  <si>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</si>
  <si>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</si>
  <si>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</si>
  <si>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</si>
  <si>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</si>
  <si>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</si>
  <si>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</si>
  <si>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</si>
  <si>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</si>
  <si>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</si>
  <si>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</si>
  <si>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</si>
  <si>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</si>
  <si>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</si>
  <si>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</si>
  <si>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</si>
  <si>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</si>
  <si>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</si>
  <si>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</si>
  <si>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</si>
  <si>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</si>
  <si>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</si>
  <si>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</si>
  <si>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</si>
  <si>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</si>
  <si>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</si>
  <si>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</si>
  <si>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</si>
  <si>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</si>
  <si>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</si>
  <si>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</si>
  <si>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</si>
  <si>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</si>
  <si>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</si>
  <si>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</si>
  <si>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</si>
  <si>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</si>
  <si>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</si>
  <si>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</si>
  <si>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</si>
  <si>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</si>
  <si>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</si>
  <si>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</si>
  <si>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</si>
  <si>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</si>
  <si>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</si>
  <si>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</si>
  <si>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</si>
  <si>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</si>
  <si>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</si>
  <si>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</si>
  <si>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</si>
  <si>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</si>
  <si>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</si>
  <si>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</si>
  <si>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</si>
  <si>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</si>
  <si>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</si>
  <si>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</si>
  <si>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</si>
  <si>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</si>
  <si>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</si>
  <si>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</si>
  <si>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</si>
  <si>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</si>
  <si>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</si>
  <si>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</si>
  <si>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</si>
  <si>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</si>
  <si>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</si>
  <si>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</si>
  <si>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</si>
  <si>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</si>
  <si>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</si>
  <si>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</si>
  <si>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</si>
  <si>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</si>
  <si>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</si>
  <si>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</si>
  <si>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</si>
  <si>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</si>
  <si>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</si>
  <si>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</si>
  <si>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</si>
  <si>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</si>
  <si>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</si>
  <si>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</si>
  <si>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</si>
  <si>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</si>
  <si>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</si>
  <si>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</si>
  <si>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</si>
  <si>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</si>
  <si>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</si>
  <si>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</si>
  <si>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</si>
  <si>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</si>
  <si>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</si>
  <si>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</si>
  <si>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</si>
  <si>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</si>
  <si>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</si>
  <si>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</si>
  <si>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</si>
  <si>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</si>
  <si>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</si>
  <si>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</si>
  <si>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</si>
  <si>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</si>
  <si>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</si>
  <si>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</si>
  <si>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</si>
  <si>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</si>
  <si>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</si>
  <si>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</si>
  <si>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</si>
  <si>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</si>
  <si>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</si>
  <si>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</si>
  <si>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</si>
  <si>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</si>
  <si>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</si>
  <si>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</si>
  <si>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</si>
  <si>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</si>
  <si>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</si>
  <si>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</si>
  <si>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</si>
  <si>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</si>
  <si>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</si>
  <si>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</si>
  <si>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</si>
  <si>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</si>
  <si>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</si>
  <si>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</si>
  <si>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</si>
  <si>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</si>
  <si>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</si>
  <si>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</si>
  <si>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</si>
  <si>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</si>
  <si>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</si>
  <si>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</si>
  <si>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</si>
  <si>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</si>
  <si>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</si>
  <si>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</si>
  <si>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</si>
  <si>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</si>
  <si>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</si>
  <si>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</si>
  <si>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</si>
  <si>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</si>
  <si>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</si>
  <si>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</si>
  <si>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</si>
  <si>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</si>
  <si>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</si>
  <si>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</si>
  <si>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</si>
  <si>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</si>
  <si>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</si>
  <si>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</si>
  <si>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</si>
  <si>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</si>
  <si>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</si>
  <si>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</si>
  <si>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</si>
  <si>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</si>
  <si>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</si>
  <si>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</si>
  <si>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</si>
  <si>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</si>
  <si>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</si>
  <si>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</si>
  <si>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</si>
  <si>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</si>
  <si>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</si>
  <si>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</si>
  <si>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</si>
  <si>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</si>
  <si>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</si>
  <si>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</si>
  <si>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</si>
  <si>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</si>
  <si>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</si>
  <si>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</si>
  <si>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</si>
  <si>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</si>
  <si>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</si>
  <si>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</si>
  <si>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</si>
  <si>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</si>
  <si>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</si>
  <si>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</si>
  <si>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</si>
  <si>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</si>
  <si>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</si>
  <si>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</si>
  <si>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</si>
  <si>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</si>
  <si>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</si>
  <si>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</si>
  <si>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</si>
  <si>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</si>
  <si>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</si>
  <si>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</si>
  <si>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</si>
  <si>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</si>
  <si>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</si>
  <si>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</si>
  <si>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</si>
  <si>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</si>
  <si>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</si>
  <si>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</si>
  <si>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</si>
  <si>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</si>
  <si>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</si>
  <si>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</si>
  <si>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</si>
  <si>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</si>
  <si>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</si>
  <si>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</si>
  <si>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</si>
  <si>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</si>
  <si>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</si>
  <si>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</si>
  <si>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</si>
  <si>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</si>
  <si>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</si>
  <si>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</si>
  <si>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</si>
  <si>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</si>
  <si>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</si>
  <si>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</si>
  <si>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</si>
  <si>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</si>
  <si>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</si>
  <si>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</si>
  <si>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</si>
  <si>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</si>
  <si>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</si>
  <si>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</si>
  <si>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</si>
  <si>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</si>
  <si>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</si>
  <si>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</si>
  <si>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</si>
  <si>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</si>
  <si>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</si>
  <si>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</si>
  <si>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</si>
  <si>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</si>
  <si>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</si>
  <si>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</si>
  <si>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</si>
  <si>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</si>
  <si>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</si>
  <si>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</si>
  <si>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</si>
  <si>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</si>
  <si>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</si>
  <si>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</si>
  <si>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</si>
  <si>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</si>
  <si>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</si>
  <si>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</si>
  <si>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</si>
  <si>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</si>
  <si>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</si>
  <si>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</si>
  <si>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</si>
  <si>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</si>
  <si>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</si>
  <si>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</si>
  <si>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</si>
  <si>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</si>
  <si>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</si>
  <si>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</si>
  <si>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</si>
  <si>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</si>
  <si>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</si>
  <si>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</si>
  <si>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</si>
  <si>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</si>
  <si>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</si>
  <si>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</si>
  <si>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</si>
  <si>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</si>
  <si>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</si>
  <si>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</si>
  <si>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</si>
  <si>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</si>
  <si>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</si>
  <si>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</si>
  <si>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</si>
  <si>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</si>
  <si>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</si>
  <si>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</si>
  <si>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</si>
  <si>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</si>
  <si>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</si>
  <si>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</si>
  <si>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</si>
  <si>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</si>
  <si>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</si>
  <si>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</si>
  <si>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</si>
  <si>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</si>
  <si>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</si>
  <si>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</si>
  <si>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</si>
  <si>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</si>
  <si>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</si>
  <si>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</si>
  <si>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</si>
  <si>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</si>
  <si>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</si>
  <si>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</si>
  <si>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</si>
  <si>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</si>
  <si>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</si>
  <si>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</si>
  <si>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</si>
  <si>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</si>
  <si>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</si>
  <si>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</si>
  <si>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</si>
  <si>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</si>
  <si>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</si>
  <si>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</si>
  <si>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</si>
  <si>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</si>
  <si>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</si>
  <si>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</si>
  <si>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</si>
  <si>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</si>
  <si>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</si>
  <si>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</si>
  <si>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</si>
  <si>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</si>
  <si>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</si>
  <si>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</si>
  <si>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</si>
  <si>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</si>
  <si>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</si>
  <si>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</si>
  <si>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</si>
  <si>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</si>
  <si>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</si>
  <si>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</si>
  <si>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</si>
  <si>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</si>
  <si>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</si>
  <si>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</si>
  <si>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</si>
  <si>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</si>
  <si>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</si>
  <si>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</si>
  <si>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</si>
  <si>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</si>
  <si>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</si>
  <si>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</si>
  <si>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</si>
  <si>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</si>
  <si>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</si>
  <si>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</si>
  <si>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</si>
  <si>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</si>
  <si>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</si>
  <si>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</si>
  <si>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</si>
  <si>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</si>
  <si>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</si>
  <si>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</si>
  <si>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</si>
  <si>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</si>
  <si>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</si>
  <si>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</si>
  <si>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</si>
  <si>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</si>
  <si>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</si>
  <si>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</si>
  <si>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</si>
  <si>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</si>
  <si>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</si>
  <si>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</si>
  <si>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</si>
  <si>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</si>
  <si>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</si>
  <si>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</si>
  <si>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</si>
  <si>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</si>
  <si>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</si>
  <si>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</si>
  <si>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</si>
  <si>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</si>
  <si>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</si>
  <si>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</si>
  <si>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</si>
  <si>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</si>
  <si>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</si>
  <si>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</si>
  <si>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</si>
  <si>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</si>
  <si>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</si>
  <si>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</si>
  <si>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</si>
  <si>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</si>
  <si>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</si>
  <si>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</si>
  <si>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</si>
  <si>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</si>
  <si>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</si>
  <si>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</si>
  <si>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</si>
  <si>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</si>
  <si>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</si>
  <si>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</si>
  <si>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</si>
  <si>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</si>
  <si>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</si>
  <si>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</si>
  <si>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</si>
  <si>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</si>
  <si>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</si>
  <si>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</si>
  <si>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</si>
  <si>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</si>
  <si>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</si>
  <si>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</si>
  <si>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</si>
  <si>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</si>
  <si>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</si>
  <si>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</si>
  <si>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</si>
  <si>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</si>
  <si>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</si>
  <si>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</si>
  <si>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</si>
  <si>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</si>
  <si>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</si>
  <si>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</si>
  <si>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</si>
  <si>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</si>
  <si>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</si>
  <si>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</si>
  <si>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</si>
  <si>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</si>
  <si>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</si>
  <si>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</si>
  <si>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</si>
  <si>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</si>
  <si>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</si>
  <si>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</si>
  <si>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</si>
  <si>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</si>
  <si>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</si>
  <si>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</si>
  <si>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</si>
  <si>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</si>
  <si>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</si>
  <si>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</si>
  <si>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</si>
  <si>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</si>
  <si>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</si>
  <si>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</si>
  <si>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</si>
  <si>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</si>
  <si>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</si>
  <si>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</si>
  <si>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</si>
  <si>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</si>
  <si>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</si>
  <si>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</si>
  <si>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</si>
  <si>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</si>
  <si>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</si>
  <si>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</si>
  <si>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</si>
  <si>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</si>
  <si>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</si>
  <si>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</si>
  <si>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</si>
  <si>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</si>
  <si>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</si>
  <si>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</si>
  <si>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</si>
  <si>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</si>
  <si>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</si>
  <si>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</si>
  <si>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</si>
  <si>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</si>
  <si>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</si>
  <si>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</si>
  <si>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</si>
  <si>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</si>
  <si>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</si>
  <si>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</si>
  <si>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</si>
  <si>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</si>
  <si>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</si>
  <si>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</si>
  <si>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</si>
  <si>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</si>
  <si>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</si>
  <si>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</si>
  <si>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</si>
  <si>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</si>
  <si>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</si>
  <si>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</si>
  <si>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</si>
  <si>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</si>
  <si>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</si>
  <si>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</si>
  <si>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</si>
  <si>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</si>
  <si>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</si>
  <si>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</si>
  <si>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</si>
  <si>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</si>
  <si>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</si>
  <si>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</si>
  <si>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</si>
  <si>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</si>
  <si>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</si>
  <si>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</si>
  <si>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</si>
  <si>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</si>
  <si>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</si>
  <si>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</si>
  <si>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</si>
  <si>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</si>
  <si>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</si>
  <si>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</si>
  <si>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</si>
  <si>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</si>
  <si>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</si>
  <si>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</si>
  <si>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</si>
  <si>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</si>
  <si>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</si>
  <si>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</si>
  <si>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</si>
  <si>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</si>
  <si>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</si>
  <si>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</si>
  <si>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</si>
  <si>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</si>
  <si>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</si>
  <si>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</si>
  <si>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</si>
  <si>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</si>
  <si>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</si>
  <si>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</si>
  <si>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</si>
  <si>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</si>
  <si>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</si>
  <si>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</si>
  <si>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</si>
  <si>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</si>
  <si>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</si>
  <si>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</si>
  <si>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</si>
  <si>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</si>
  <si>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</si>
  <si>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</si>
  <si>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</si>
  <si>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</si>
  <si>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</si>
  <si>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</si>
  <si>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</si>
  <si>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</si>
  <si>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</si>
  <si>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</si>
  <si>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</si>
  <si>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</si>
  <si>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</si>
  <si>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</si>
  <si>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</si>
  <si>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</si>
  <si>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</si>
  <si>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</si>
  <si>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</si>
  <si>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</si>
  <si>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</si>
  <si>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</si>
  <si>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</si>
  <si>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</si>
  <si>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</si>
  <si>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</si>
  <si>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</si>
  <si>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</si>
  <si>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</si>
  <si>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</si>
  <si>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</si>
  <si>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</si>
  <si>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</si>
  <si>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</si>
  <si>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</si>
  <si>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</si>
  <si>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</si>
  <si>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</si>
  <si>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</si>
  <si>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</si>
  <si>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</si>
  <si>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</si>
  <si>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</si>
  <si>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</si>
  <si>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</si>
  <si>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</si>
  <si>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</si>
  <si>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</si>
  <si>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</si>
  <si>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</si>
  <si>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</si>
  <si>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</si>
  <si>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</si>
  <si>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</si>
  <si>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</si>
  <si>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</si>
  <si>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</si>
  <si>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</si>
  <si>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</si>
  <si>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</si>
  <si>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</si>
  <si>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</si>
  <si>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</si>
  <si>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</si>
  <si>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</si>
  <si>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</si>
  <si>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</si>
  <si>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</si>
  <si>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</si>
  <si>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</si>
  <si>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</si>
  <si>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</si>
  <si>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</si>
  <si>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</si>
  <si>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</si>
  <si>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</si>
  <si>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</si>
  <si>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</si>
  <si>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</si>
  <si>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</si>
  <si>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</si>
  <si>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</si>
  <si>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</si>
  <si>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</si>
  <si>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</si>
  <si>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</si>
  <si>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</si>
  <si>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</si>
  <si>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</si>
  <si>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</si>
  <si>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</si>
  <si>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</si>
  <si>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</si>
  <si>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</si>
  <si>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</si>
  <si>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</si>
  <si>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</si>
  <si>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</si>
  <si>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</si>
  <si>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</si>
  <si>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</si>
  <si>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</si>
  <si>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</si>
  <si>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</si>
  <si>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</si>
  <si>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</si>
  <si>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</si>
  <si>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</si>
  <si>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</si>
  <si>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</si>
  <si>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</si>
  <si>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</si>
  <si>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</si>
  <si>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</si>
  <si>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</si>
  <si>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</si>
  <si>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</si>
  <si>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</si>
  <si>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</si>
  <si>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</si>
  <si>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</si>
  <si>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</si>
  <si>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</si>
  <si>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</si>
  <si>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</si>
  <si>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</si>
  <si>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</si>
  <si>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</si>
  <si>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</si>
  <si>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</si>
  <si>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</si>
  <si>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</si>
  <si>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</si>
  <si>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</si>
  <si>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</si>
  <si>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</si>
  <si>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</si>
  <si>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</si>
  <si>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</si>
  <si>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</si>
  <si>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</si>
  <si>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</si>
  <si>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</si>
  <si>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</si>
  <si>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</si>
  <si>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</si>
  <si>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</si>
  <si>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</si>
  <si>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</si>
  <si>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</si>
  <si>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</si>
  <si>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</si>
  <si>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</si>
  <si>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</si>
  <si>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</si>
  <si>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</si>
  <si>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</si>
  <si>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</si>
  <si>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</si>
  <si>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</si>
  <si>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</si>
  <si>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</si>
  <si>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</si>
  <si>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</si>
  <si>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</si>
  <si>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</si>
  <si>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</si>
  <si>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</si>
  <si>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</si>
  <si>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</si>
  <si>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</si>
  <si>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</si>
  <si>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</si>
  <si>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</si>
  <si>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</si>
  <si>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</si>
  <si>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</si>
  <si>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</si>
  <si>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</si>
  <si>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</si>
  <si>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</si>
  <si>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</si>
  <si>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</si>
  <si>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</si>
  <si>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</si>
  <si>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</si>
  <si>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</si>
  <si>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</si>
  <si>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</si>
  <si>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</si>
  <si>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</si>
  <si>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</si>
  <si>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</si>
  <si>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</si>
  <si>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</si>
  <si>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</si>
  <si>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</si>
  <si>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</si>
  <si>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</si>
  <si>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</si>
  <si>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</si>
  <si>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</si>
  <si>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</si>
  <si>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</si>
  <si>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</si>
  <si>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</si>
  <si>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</si>
  <si>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</si>
  <si>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</si>
  <si>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</si>
  <si>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</si>
  <si>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</si>
  <si>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</si>
  <si>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</si>
  <si>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</si>
  <si>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</si>
  <si>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</si>
  <si>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</si>
  <si>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</si>
  <si>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</si>
  <si>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</si>
  <si>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</si>
  <si>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</si>
  <si>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</si>
  <si>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</si>
  <si>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</si>
  <si>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</si>
  <si>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</si>
  <si>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</si>
  <si>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</si>
  <si>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</si>
  <si>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</si>
  <si>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</si>
  <si>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</si>
  <si>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</si>
  <si>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</si>
  <si>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</si>
  <si>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</si>
  <si>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</si>
  <si>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</si>
  <si>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</si>
  <si>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</si>
  <si>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</si>
  <si>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</si>
  <si>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</si>
  <si>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</si>
  <si>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</si>
  <si>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</si>
  <si>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</si>
  <si>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</si>
  <si>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</si>
  <si>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</si>
  <si>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</si>
  <si>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</si>
  <si>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</si>
  <si>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</si>
  <si>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</si>
  <si>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</si>
  <si>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</si>
  <si>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</si>
  <si>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</si>
  <si>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</si>
  <si>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</si>
  <si>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</si>
  <si>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</si>
  <si>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</si>
  <si>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</si>
  <si>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</si>
  <si>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</si>
  <si>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</si>
  <si>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</si>
  <si>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</si>
  <si>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</si>
  <si>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</si>
  <si>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</si>
  <si>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</si>
  <si>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</si>
  <si>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</si>
  <si>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</si>
  <si>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</si>
  <si>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</si>
  <si>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</si>
  <si>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</si>
  <si>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</si>
  <si>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</si>
  <si>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</si>
  <si>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</si>
  <si>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</si>
  <si>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</si>
  <si>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</si>
  <si>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</si>
  <si>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</si>
  <si>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</si>
  <si>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</si>
  <si>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</si>
  <si>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</si>
  <si>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</si>
  <si>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</si>
  <si>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</si>
  <si>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</si>
  <si>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</si>
  <si>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</si>
  <si>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</si>
  <si>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</si>
  <si>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</si>
  <si>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</si>
  <si>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</si>
  <si>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</si>
  <si>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</si>
  <si>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</si>
  <si>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</si>
  <si>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</si>
  <si>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</si>
  <si>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</si>
  <si>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</si>
  <si>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</si>
  <si>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</si>
  <si>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</si>
  <si>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</si>
  <si>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</si>
  <si>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</si>
  <si>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</si>
  <si>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</si>
  <si>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</si>
  <si>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</si>
  <si>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</si>
  <si>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</si>
  <si>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</si>
  <si>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</si>
  <si>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</si>
  <si>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</si>
  <si>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</si>
  <si>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</si>
  <si>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</si>
  <si>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</si>
  <si>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</si>
  <si>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</si>
  <si>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</si>
  <si>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</si>
  <si>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</si>
  <si>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</si>
  <si>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</si>
  <si>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</si>
  <si>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</si>
  <si>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</si>
  <si>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</si>
  <si>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</si>
  <si>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</si>
  <si>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</si>
  <si>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</si>
  <si>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</si>
  <si>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</si>
  <si>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</si>
  <si>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</si>
  <si>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</si>
  <si>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</si>
  <si>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</si>
  <si>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</si>
  <si>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</si>
  <si>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</si>
  <si>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</si>
  <si>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</si>
  <si>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</si>
  <si>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</si>
  <si>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</si>
  <si>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</si>
  <si>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</si>
  <si>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</si>
  <si>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</si>
  <si>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</si>
  <si>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</si>
  <si>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</si>
  <si>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</si>
  <si>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</si>
  <si>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</si>
  <si>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</si>
  <si>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</si>
  <si>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</si>
  <si>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</si>
  <si>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</si>
  <si>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</si>
  <si>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</si>
  <si>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</si>
  <si>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</si>
  <si>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</si>
  <si>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</si>
  <si>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</si>
  <si>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</si>
  <si>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</si>
  <si>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</si>
  <si>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</si>
  <si>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</si>
  <si>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</si>
  <si>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</si>
  <si>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</si>
  <si>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</si>
  <si>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</si>
  <si>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</si>
  <si>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</si>
  <si>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</si>
  <si>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</si>
  <si>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</si>
  <si>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</si>
  <si>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</si>
  <si>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</si>
  <si>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</si>
  <si>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</si>
  <si>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</si>
  <si>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</si>
  <si>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</si>
  <si>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</si>
  <si>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</si>
  <si>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</si>
  <si>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</si>
  <si>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</si>
  <si>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</si>
  <si>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</si>
  <si>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</si>
  <si>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</si>
  <si>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</si>
  <si>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</si>
  <si>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</si>
  <si>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</si>
  <si>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</si>
  <si>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</si>
  <si>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</si>
  <si>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</si>
  <si>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</si>
  <si>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</si>
  <si>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</si>
  <si>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</si>
  <si>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</si>
  <si>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</si>
  <si>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</si>
  <si>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</si>
  <si>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</si>
  <si>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</si>
  <si>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</si>
  <si>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</si>
  <si>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</si>
  <si>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</si>
  <si>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</si>
  <si>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</si>
  <si>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</si>
  <si>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</si>
  <si>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</si>
  <si>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</si>
  <si>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</si>
  <si>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</si>
  <si>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</si>
  <si>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</si>
  <si>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</si>
  <si>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</si>
  <si>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</si>
  <si>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</si>
  <si>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</si>
  <si>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</si>
  <si>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</si>
  <si>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</si>
  <si>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</si>
  <si>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</si>
  <si>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</si>
  <si>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</si>
  <si>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</si>
  <si>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</si>
  <si>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</si>
  <si>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</si>
  <si>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</si>
  <si>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</si>
  <si>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</si>
  <si>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</si>
  <si>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</si>
  <si>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</si>
  <si>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</si>
  <si>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</si>
  <si>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</si>
  <si>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</si>
  <si>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</si>
  <si>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</si>
  <si>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</si>
  <si>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</si>
  <si>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</si>
  <si>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</si>
  <si>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</si>
  <si>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</si>
  <si>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</si>
  <si>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</si>
  <si>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</si>
  <si>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</si>
  <si>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</si>
  <si>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</si>
  <si>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</si>
  <si>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</si>
  <si>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</si>
  <si>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</si>
  <si>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</si>
  <si>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</si>
  <si>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</si>
  <si>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</si>
  <si>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</si>
  <si>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</si>
  <si>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</si>
  <si>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</si>
  <si>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</si>
  <si>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</si>
  <si>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</si>
  <si>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</si>
  <si>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</si>
  <si>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</si>
  <si>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</si>
  <si>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</si>
  <si>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</si>
  <si>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</si>
  <si>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</si>
  <si>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</si>
  <si>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</si>
  <si>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</si>
  <si>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</si>
  <si>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</si>
  <si>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</si>
  <si>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</si>
  <si>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</si>
  <si>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</si>
  <si>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</si>
  <si>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</si>
  <si>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</si>
  <si>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</si>
  <si>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</si>
  <si>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</si>
  <si>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</si>
  <si>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</si>
  <si>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</si>
  <si>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</si>
  <si>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</si>
  <si>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</si>
  <si>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</si>
  <si>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</si>
  <si>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</si>
  <si>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</si>
  <si>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</si>
  <si>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</si>
  <si>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</si>
  <si>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</si>
  <si>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</si>
  <si>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</si>
  <si>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</si>
  <si>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</si>
  <si>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</si>
  <si>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</si>
  <si>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</si>
  <si>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</si>
  <si>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</si>
  <si>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</si>
  <si>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</si>
  <si>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</si>
  <si>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</si>
  <si>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</si>
  <si>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</si>
  <si>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</si>
  <si>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</si>
  <si>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</si>
  <si>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</si>
  <si>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</si>
  <si>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</si>
  <si>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</si>
  <si>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</si>
  <si>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</si>
  <si>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</si>
  <si>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</si>
  <si>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</si>
  <si>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</si>
  <si>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</si>
  <si>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</si>
  <si>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</si>
  <si>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</si>
  <si>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</si>
  <si>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</si>
  <si>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</si>
  <si>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</si>
  <si>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</si>
  <si>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</si>
  <si>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</si>
  <si>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</si>
  <si>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</si>
  <si>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</si>
  <si>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</si>
  <si>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</si>
  <si>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</si>
  <si>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</si>
  <si>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</si>
  <si>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</si>
  <si>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</si>
  <si>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</si>
  <si>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</si>
  <si>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</si>
  <si>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</si>
  <si>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</si>
  <si>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</si>
  <si>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</si>
  <si>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</si>
  <si>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</si>
  <si>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</si>
  <si>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</si>
  <si>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</si>
  <si>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</si>
  <si>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</si>
  <si>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</si>
  <si>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</si>
  <si>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</si>
  <si>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</si>
  <si>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</si>
  <si>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</si>
  <si>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</si>
  <si>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</si>
  <si>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</si>
  <si>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</si>
  <si>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</si>
  <si>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</si>
  <si>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</si>
  <si>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</si>
  <si>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</si>
  <si>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</si>
  <si>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</si>
  <si>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</si>
  <si>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</si>
  <si>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</si>
  <si>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</si>
  <si>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</si>
  <si>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</si>
  <si>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</si>
  <si>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</si>
  <si>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</si>
  <si>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</si>
  <si>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</si>
  <si>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</si>
  <si>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</si>
  <si>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</si>
  <si>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</si>
  <si>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</si>
  <si>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</si>
  <si>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</si>
  <si>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</si>
  <si>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</si>
  <si>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</si>
  <si>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</si>
  <si>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</si>
  <si>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</si>
  <si>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</si>
  <si>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</si>
  <si>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</si>
  <si>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</si>
  <si>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</si>
  <si>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</si>
  <si>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</si>
  <si>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</si>
  <si>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</si>
  <si>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</si>
  <si>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</si>
  <si>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</si>
  <si>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</si>
  <si>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</si>
  <si>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</si>
  <si>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</si>
  <si>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</si>
  <si>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</si>
  <si>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</si>
  <si>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</si>
  <si>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</si>
  <si>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</si>
  <si>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</si>
  <si>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</si>
  <si>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</si>
  <si>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</si>
  <si>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</si>
  <si>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</si>
  <si>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</si>
  <si>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</si>
  <si>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</si>
  <si>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</si>
  <si>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</si>
  <si>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</si>
  <si>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</si>
  <si>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</si>
  <si>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</si>
  <si>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</si>
  <si>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</si>
  <si>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</si>
  <si>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</si>
  <si>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</si>
  <si>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</si>
  <si>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</si>
  <si>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</si>
  <si>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</si>
  <si>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</si>
  <si>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</si>
  <si>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</si>
  <si>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</si>
  <si>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</si>
  <si>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</si>
  <si>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</si>
  <si>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</si>
  <si>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</si>
  <si>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</si>
  <si>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</si>
  <si>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</si>
  <si>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</si>
  <si>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</si>
  <si>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</si>
  <si>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</si>
  <si>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</si>
  <si>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</si>
  <si>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</si>
  <si>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</si>
  <si>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</si>
  <si>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</si>
  <si>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</si>
  <si>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</si>
  <si>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</si>
  <si>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</si>
  <si>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</si>
  <si>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</si>
  <si>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</si>
  <si>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</si>
  <si>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</si>
  <si>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</si>
  <si>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</si>
  <si>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</si>
  <si>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</si>
  <si>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</si>
  <si>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</si>
  <si>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</si>
  <si>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</si>
  <si>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</si>
  <si>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</si>
  <si>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</si>
  <si>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</si>
  <si>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</si>
  <si>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</si>
  <si>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</si>
  <si>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</si>
  <si>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</si>
  <si>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</si>
  <si>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</si>
  <si>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</si>
  <si>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</si>
  <si>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</si>
  <si>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</si>
  <si>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</si>
  <si>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</si>
  <si>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</si>
  <si>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</si>
  <si>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</si>
  <si>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</si>
  <si>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</si>
  <si>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</si>
  <si>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</si>
  <si>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</si>
  <si>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</si>
  <si>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</si>
  <si>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</si>
  <si>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自然人</t>
  </si>
  <si>
    <t>成新度</t>
  </si>
  <si>
    <t>直线</t>
    <phoneticPr fontId="3" type="noConversion"/>
  </si>
  <si>
    <t>观察</t>
    <phoneticPr fontId="3" type="noConversion"/>
  </si>
  <si>
    <t>综合</t>
    <phoneticPr fontId="3" type="noConversion"/>
  </si>
  <si>
    <t>商业项目</t>
  </si>
  <si>
    <t>无</t>
  </si>
  <si>
    <t>否</t>
  </si>
  <si>
    <t>现房</t>
  </si>
  <si>
    <t>地上</t>
  </si>
  <si>
    <t>是</t>
  </si>
  <si>
    <r>
      <t>1-2</t>
    </r>
    <r>
      <rPr>
        <sz val="10"/>
        <color indexed="8"/>
        <rFont val="宋体"/>
        <family val="3"/>
        <charset val="134"/>
      </rPr>
      <t>层</t>
    </r>
    <r>
      <rPr>
        <sz val="10"/>
        <color indexed="8"/>
        <rFont val="Arial"/>
        <family val="2"/>
      </rPr>
      <t>01</t>
    </r>
    <phoneticPr fontId="3" type="noConversion"/>
  </si>
  <si>
    <r>
      <t>1-2</t>
    </r>
    <r>
      <rPr>
        <sz val="10"/>
        <color indexed="8"/>
        <rFont val="宋体"/>
        <family val="3"/>
        <charset val="134"/>
      </rPr>
      <t>层</t>
    </r>
    <r>
      <rPr>
        <sz val="10"/>
        <color indexed="8"/>
        <rFont val="Arial"/>
        <family val="2"/>
      </rPr>
      <t>02</t>
    </r>
    <phoneticPr fontId="3" type="noConversion"/>
  </si>
  <si>
    <t>1-2层商业</t>
  </si>
  <si>
    <t>1-2层商业</t>
    <phoneticPr fontId="7" type="noConversion"/>
  </si>
  <si>
    <t>收益法 (元)</t>
  </si>
  <si>
    <t>押一</t>
  </si>
  <si>
    <t>钢混</t>
  </si>
  <si>
    <t>非生产用房</t>
  </si>
  <si>
    <t>比较法-商业</t>
  </si>
  <si>
    <t>楼面单价</t>
  </si>
  <si>
    <t>收益比率</t>
  </si>
  <si>
    <t>情况4</t>
  </si>
  <si>
    <t>正常</t>
  </si>
  <si>
    <t>转让取得</t>
  </si>
  <si>
    <t>个人其他（有凭证）</t>
  </si>
  <si>
    <t>购房发票</t>
  </si>
  <si>
    <t>2016年5月1日前购买</t>
  </si>
  <si>
    <t>单套模式</t>
  </si>
  <si>
    <t>售价</t>
  </si>
  <si>
    <t>报价</t>
  </si>
  <si>
    <t>报价</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</si>
  <si>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</si>
  <si>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</si>
  <si>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</si>
  <si>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</si>
  <si>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</si>
  <si>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</si>
  <si>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</si>
  <si>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好</t>
  </si>
  <si>
    <t>较好</t>
  </si>
  <si>
    <t>一般</t>
  </si>
  <si>
    <t>较差</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</si>
  <si>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</si>
  <si>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</si>
  <si>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</si>
  <si>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</si>
  <si>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</si>
  <si>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</si>
  <si>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</si>
  <si>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</si>
  <si>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</si>
  <si>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</si>
  <si>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</si>
  <si>
    <t>底商</t>
    <phoneticPr fontId="30" type="noConversion"/>
  </si>
  <si>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</si>
  <si>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</si>
  <si>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</si>
  <si>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</si>
  <si>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</si>
  <si>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</si>
  <si>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</si>
  <si>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</si>
  <si>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</si>
  <si>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</si>
  <si>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</si>
  <si>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</si>
  <si>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</si>
  <si>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</si>
  <si>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</si>
  <si>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</si>
  <si>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</si>
  <si>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较好</t>
    <phoneticPr fontId="30" type="noConversion"/>
  </si>
  <si>
    <t>1-2层</t>
  </si>
  <si>
    <t>266.92/189.63</t>
    <phoneticPr fontId="30" type="noConversion"/>
  </si>
  <si>
    <t>商业</t>
    <phoneticPr fontId="30" type="noConversion"/>
  </si>
  <si>
    <t>1层</t>
  </si>
  <si>
    <t>去年单价</t>
    <phoneticPr fontId="8" type="noConversion"/>
  </si>
  <si>
    <t>建筑面积</t>
    <phoneticPr fontId="134" type="noConversion"/>
  </si>
  <si>
    <t>楼层</t>
    <phoneticPr fontId="134" type="noConversion"/>
  </si>
  <si>
    <r>
      <t>1</t>
    </r>
    <r>
      <rPr>
        <sz val="11"/>
        <color theme="1"/>
        <rFont val="宋体"/>
        <family val="3"/>
        <charset val="134"/>
        <scheme val="minor"/>
      </rPr>
      <t>-2层</t>
    </r>
    <phoneticPr fontId="134" type="noConversion"/>
  </si>
  <si>
    <t>起始日</t>
    <phoneticPr fontId="134" type="noConversion"/>
  </si>
  <si>
    <t>终止日</t>
    <phoneticPr fontId="134" type="noConversion"/>
  </si>
  <si>
    <t>年租金</t>
    <phoneticPr fontId="134" type="noConversion"/>
  </si>
  <si>
    <t>含税年租金</t>
    <phoneticPr fontId="134" type="noConversion"/>
  </si>
  <si>
    <t>日租金</t>
    <phoneticPr fontId="134" type="noConversion"/>
  </si>
  <si>
    <t>不含物业费</t>
    <phoneticPr fontId="134" type="noConversion"/>
  </si>
  <si>
    <t>折合全部建面</t>
    <phoneticPr fontId="134" type="noConversion"/>
  </si>
  <si>
    <t>建面</t>
    <phoneticPr fontId="3" type="noConversion"/>
  </si>
  <si>
    <t>楼层</t>
    <phoneticPr fontId="3" type="noConversion"/>
  </si>
  <si>
    <t>系数</t>
    <phoneticPr fontId="3" type="noConversion"/>
  </si>
  <si>
    <t>租金</t>
  </si>
  <si>
    <t>合计</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</si>
  <si>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</si>
  <si>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</si>
  <si>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华昱家园</t>
    <phoneticPr fontId="3" type="noConversion"/>
  </si>
  <si>
    <t>建成年代</t>
    <phoneticPr fontId="30" type="noConversion"/>
  </si>
  <si>
    <t>2008-2010</t>
    <phoneticPr fontId="30" type="noConversion"/>
  </si>
  <si>
    <t>押一付三</t>
    <phoneticPr fontId="134" type="noConversion"/>
  </si>
  <si>
    <r>
      <t>押金5</t>
    </r>
    <r>
      <rPr>
        <sz val="11"/>
        <color theme="1"/>
        <rFont val="宋体"/>
        <family val="3"/>
        <charset val="134"/>
        <scheme val="minor"/>
      </rPr>
      <t>0000</t>
    </r>
    <phoneticPr fontId="134" type="noConversion"/>
  </si>
  <si>
    <r>
      <t>华昱家园1</t>
    </r>
    <r>
      <rPr>
        <sz val="11"/>
        <color theme="1"/>
        <rFont val="宋体"/>
        <family val="3"/>
        <charset val="134"/>
        <scheme val="minor"/>
      </rPr>
      <t>-2层</t>
    </r>
    <phoneticPr fontId="134" type="noConversion"/>
  </si>
  <si>
    <t>较高层高</t>
  </si>
  <si>
    <t>较高层高</t>
    <phoneticPr fontId="30" type="noConversion"/>
  </si>
  <si>
    <r>
      <rPr>
        <sz val="11"/>
        <rFont val="宋体"/>
        <family val="3"/>
        <charset val="134"/>
      </rPr>
      <t>层高</t>
    </r>
    <r>
      <rPr>
        <sz val="11"/>
        <rFont val="Arial"/>
        <family val="2"/>
      </rPr>
      <t>6.5</t>
    </r>
    <r>
      <rPr>
        <sz val="11"/>
        <rFont val="宋体"/>
        <family val="3"/>
        <charset val="134"/>
      </rPr>
      <t>米</t>
    </r>
    <phoneticPr fontId="30" type="noConversion"/>
  </si>
  <si>
    <t>艺苑桐城</t>
    <phoneticPr fontId="3" type="noConversion"/>
  </si>
  <si>
    <t>时代龙河大道</t>
    <phoneticPr fontId="134" type="noConversion"/>
  </si>
  <si>
    <t>时代龙河大道</t>
    <phoneticPr fontId="3" type="noConversion"/>
  </si>
  <si>
    <r>
      <rPr>
        <sz val="10"/>
        <color indexed="8"/>
        <rFont val="宋体"/>
        <family val="3"/>
        <charset val="134"/>
      </rPr>
      <t>去年租金</t>
    </r>
    <r>
      <rPr>
        <sz val="10"/>
        <color indexed="8"/>
        <rFont val="Arial"/>
        <family val="2"/>
      </rPr>
      <t>4.2</t>
    </r>
    <phoneticPr fontId="3" type="noConversion"/>
  </si>
  <si>
    <t>拟算租金</t>
    <phoneticPr fontId="3" type="noConversion"/>
  </si>
  <si>
    <t>已出租面积</t>
    <phoneticPr fontId="134" type="noConversion"/>
  </si>
  <si>
    <t>未出租建面</t>
    <phoneticPr fontId="134" type="noConversion"/>
  </si>
  <si>
    <t>大兴区黄村镇兴业大街76号楼1至2层1、2号商业用房</t>
    <phoneticPr fontId="6" type="noConversion"/>
  </si>
  <si>
    <t>标准层高</t>
    <phoneticPr fontId="30" type="noConversion"/>
  </si>
  <si>
    <t>一般</t>
    <phoneticPr fontId="30" type="noConversion"/>
  </si>
  <si>
    <t>云河墅</t>
    <phoneticPr fontId="3" type="noConversion"/>
  </si>
  <si>
    <t>万科天地</t>
    <phoneticPr fontId="3" type="noConversion"/>
  </si>
  <si>
    <t>黄村西大街49号附近</t>
    <phoneticPr fontId="3" type="noConversion"/>
  </si>
  <si>
    <t>临项目内道路</t>
  </si>
  <si>
    <t>临项目内道路</t>
    <phoneticPr fontId="30" type="noConversion"/>
  </si>
  <si>
    <t>电话市调同小区有套94平的1-2层商铺在租，年租金18万，日租金5.4元</t>
    <phoneticPr fontId="134" type="noConversion"/>
  </si>
  <si>
    <t>兴丰街道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</si>
</sst>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6" fontId="47" fillId="0" borderId="1" xfId="10" applyNumberFormat="1"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0" fillId="0" borderId="0" xfId="0" applyAlignment="1">
      <alignment horizontal="center" vertical="center"/>
    </xf>
    <xf numFmtId="14" fontId="0" fillId="0" borderId="0" xfId="0" applyNumberFormat="1" applyAlignment="1">
      <alignment horizontal="center" vertical="center"/>
    </xf>
    <xf numFmtId="0" fontId="77" fillId="12" borderId="0" xfId="0"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12"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8</xdr:col>
      <xdr:colOff>523875</xdr:colOff>
      <xdr:row>16</xdr:row>
      <xdr:rowOff>141749</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 y="171450"/>
          <a:ext cx="6010274" cy="2713499"/>
        </a:xfrm>
        <a:prstGeom prst="rect">
          <a:avLst/>
        </a:prstGeom>
      </xdr:spPr>
    </xdr:pic>
    <xdr:clientData/>
  </xdr:twoCellAnchor>
  <xdr:twoCellAnchor editAs="oneCell">
    <xdr:from>
      <xdr:col>0</xdr:col>
      <xdr:colOff>0</xdr:colOff>
      <xdr:row>36</xdr:row>
      <xdr:rowOff>76202</xdr:rowOff>
    </xdr:from>
    <xdr:to>
      <xdr:col>8</xdr:col>
      <xdr:colOff>276225</xdr:colOff>
      <xdr:row>51</xdr:row>
      <xdr:rowOff>67760</xdr:rowOff>
    </xdr:to>
    <xdr:pic>
      <xdr:nvPicPr>
        <xdr:cNvPr id="4" name="图片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6248402"/>
          <a:ext cx="5762625" cy="2563308"/>
        </a:xfrm>
        <a:prstGeom prst="rect">
          <a:avLst/>
        </a:prstGeom>
      </xdr:spPr>
    </xdr:pic>
    <xdr:clientData/>
  </xdr:twoCellAnchor>
  <xdr:twoCellAnchor editAs="oneCell">
    <xdr:from>
      <xdr:col>9</xdr:col>
      <xdr:colOff>610100</xdr:colOff>
      <xdr:row>0</xdr:row>
      <xdr:rowOff>85727</xdr:rowOff>
    </xdr:from>
    <xdr:to>
      <xdr:col>19</xdr:col>
      <xdr:colOff>331954</xdr:colOff>
      <xdr:row>17</xdr:row>
      <xdr:rowOff>152401</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3"/>
        <a:stretch>
          <a:fillRect/>
        </a:stretch>
      </xdr:blipFill>
      <xdr:spPr>
        <a:xfrm>
          <a:off x="6782300" y="85727"/>
          <a:ext cx="6579854" cy="2981324"/>
        </a:xfrm>
        <a:prstGeom prst="rect">
          <a:avLst/>
        </a:prstGeom>
      </xdr:spPr>
    </xdr:pic>
    <xdr:clientData/>
  </xdr:twoCellAnchor>
  <xdr:twoCellAnchor editAs="oneCell">
    <xdr:from>
      <xdr:col>0</xdr:col>
      <xdr:colOff>114300</xdr:colOff>
      <xdr:row>81</xdr:row>
      <xdr:rowOff>36513</xdr:rowOff>
    </xdr:from>
    <xdr:to>
      <xdr:col>9</xdr:col>
      <xdr:colOff>171450</xdr:colOff>
      <xdr:row>97</xdr:row>
      <xdr:rowOff>44609</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4"/>
        <a:stretch>
          <a:fillRect/>
        </a:stretch>
      </xdr:blipFill>
      <xdr:spPr>
        <a:xfrm>
          <a:off x="114300" y="13923963"/>
          <a:ext cx="6229350" cy="2751296"/>
        </a:xfrm>
        <a:prstGeom prst="rect">
          <a:avLst/>
        </a:prstGeom>
      </xdr:spPr>
    </xdr:pic>
    <xdr:clientData/>
  </xdr:twoCellAnchor>
  <xdr:twoCellAnchor editAs="oneCell">
    <xdr:from>
      <xdr:col>0</xdr:col>
      <xdr:colOff>0</xdr:colOff>
      <xdr:row>62</xdr:row>
      <xdr:rowOff>150938</xdr:rowOff>
    </xdr:from>
    <xdr:to>
      <xdr:col>9</xdr:col>
      <xdr:colOff>166670</xdr:colOff>
      <xdr:row>79</xdr:row>
      <xdr:rowOff>47625</xdr:rowOff>
    </xdr:to>
    <xdr:pic>
      <xdr:nvPicPr>
        <xdr:cNvPr id="7" name="图片 6">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5"/>
        <a:stretch>
          <a:fillRect/>
        </a:stretch>
      </xdr:blipFill>
      <xdr:spPr>
        <a:xfrm>
          <a:off x="0" y="10780838"/>
          <a:ext cx="6338870" cy="2811337"/>
        </a:xfrm>
        <a:prstGeom prst="rect">
          <a:avLst/>
        </a:prstGeom>
      </xdr:spPr>
    </xdr:pic>
    <xdr:clientData/>
  </xdr:twoCellAnchor>
  <xdr:twoCellAnchor editAs="oneCell">
    <xdr:from>
      <xdr:col>0</xdr:col>
      <xdr:colOff>0</xdr:colOff>
      <xdr:row>17</xdr:row>
      <xdr:rowOff>47625</xdr:rowOff>
    </xdr:from>
    <xdr:to>
      <xdr:col>9</xdr:col>
      <xdr:colOff>196334</xdr:colOff>
      <xdr:row>33</xdr:row>
      <xdr:rowOff>152400</xdr:rowOff>
    </xdr:to>
    <xdr:pic>
      <xdr:nvPicPr>
        <xdr:cNvPr id="8" name="图片 7">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6"/>
        <a:stretch>
          <a:fillRect/>
        </a:stretch>
      </xdr:blipFill>
      <xdr:spPr>
        <a:xfrm>
          <a:off x="0" y="2962275"/>
          <a:ext cx="6368534" cy="2847975"/>
        </a:xfrm>
        <a:prstGeom prst="rect">
          <a:avLst/>
        </a:prstGeom>
      </xdr:spPr>
    </xdr:pic>
    <xdr:clientData/>
  </xdr:twoCellAnchor>
  <xdr:twoCellAnchor editAs="oneCell">
    <xdr:from>
      <xdr:col>10</xdr:col>
      <xdr:colOff>17462</xdr:colOff>
      <xdr:row>20</xdr:row>
      <xdr:rowOff>66675</xdr:rowOff>
    </xdr:from>
    <xdr:to>
      <xdr:col>16</xdr:col>
      <xdr:colOff>618317</xdr:colOff>
      <xdr:row>46</xdr:row>
      <xdr:rowOff>19050</xdr:rowOff>
    </xdr:to>
    <xdr:pic>
      <xdr:nvPicPr>
        <xdr:cNvPr id="9" name="图片 8">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7"/>
        <a:stretch>
          <a:fillRect/>
        </a:stretch>
      </xdr:blipFill>
      <xdr:spPr>
        <a:xfrm>
          <a:off x="6875462" y="3495675"/>
          <a:ext cx="4715655" cy="4410075"/>
        </a:xfrm>
        <a:prstGeom prst="rect">
          <a:avLst/>
        </a:prstGeom>
      </xdr:spPr>
    </xdr:pic>
    <xdr:clientData/>
  </xdr:twoCellAnchor>
  <xdr:twoCellAnchor editAs="oneCell">
    <xdr:from>
      <xdr:col>9</xdr:col>
      <xdr:colOff>638175</xdr:colOff>
      <xdr:row>49</xdr:row>
      <xdr:rowOff>95250</xdr:rowOff>
    </xdr:from>
    <xdr:to>
      <xdr:col>17</xdr:col>
      <xdr:colOff>504825</xdr:colOff>
      <xdr:row>69</xdr:row>
      <xdr:rowOff>69830</xdr:rowOff>
    </xdr:to>
    <xdr:pic>
      <xdr:nvPicPr>
        <xdr:cNvPr id="10" name="图片 9">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8"/>
        <a:stretch>
          <a:fillRect/>
        </a:stretch>
      </xdr:blipFill>
      <xdr:spPr>
        <a:xfrm>
          <a:off x="6810375" y="8496300"/>
          <a:ext cx="5353050" cy="3403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303648</xdr:colOff>
      <xdr:row>32</xdr:row>
      <xdr:rowOff>104098</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171450"/>
          <a:ext cx="9219048" cy="5419048"/>
        </a:xfrm>
        <a:prstGeom prst="rect">
          <a:avLst/>
        </a:prstGeom>
      </xdr:spPr>
    </xdr:pic>
    <xdr:clientData/>
  </xdr:twoCellAnchor>
  <xdr:twoCellAnchor editAs="oneCell">
    <xdr:from>
      <xdr:col>0</xdr:col>
      <xdr:colOff>0</xdr:colOff>
      <xdr:row>67</xdr:row>
      <xdr:rowOff>66675</xdr:rowOff>
    </xdr:from>
    <xdr:to>
      <xdr:col>12</xdr:col>
      <xdr:colOff>122782</xdr:colOff>
      <xdr:row>98</xdr:row>
      <xdr:rowOff>142202</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2"/>
        <a:stretch>
          <a:fillRect/>
        </a:stretch>
      </xdr:blipFill>
      <xdr:spPr>
        <a:xfrm>
          <a:off x="0" y="11553825"/>
          <a:ext cx="8352382" cy="5390477"/>
        </a:xfrm>
        <a:prstGeom prst="rect">
          <a:avLst/>
        </a:prstGeom>
      </xdr:spPr>
    </xdr:pic>
    <xdr:clientData/>
  </xdr:twoCellAnchor>
  <xdr:twoCellAnchor editAs="oneCell">
    <xdr:from>
      <xdr:col>0</xdr:col>
      <xdr:colOff>0</xdr:colOff>
      <xdr:row>35</xdr:row>
      <xdr:rowOff>0</xdr:rowOff>
    </xdr:from>
    <xdr:to>
      <xdr:col>12</xdr:col>
      <xdr:colOff>589448</xdr:colOff>
      <xdr:row>64</xdr:row>
      <xdr:rowOff>75569</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0" y="6000750"/>
          <a:ext cx="8819048" cy="5047619"/>
        </a:xfrm>
        <a:prstGeom prst="rect">
          <a:avLst/>
        </a:prstGeom>
      </xdr:spPr>
    </xdr:pic>
    <xdr:clientData/>
  </xdr:twoCellAnchor>
  <xdr:twoCellAnchor editAs="oneCell">
    <xdr:from>
      <xdr:col>13</xdr:col>
      <xdr:colOff>0</xdr:colOff>
      <xdr:row>68</xdr:row>
      <xdr:rowOff>0</xdr:rowOff>
    </xdr:from>
    <xdr:to>
      <xdr:col>29</xdr:col>
      <xdr:colOff>293867</xdr:colOff>
      <xdr:row>95</xdr:row>
      <xdr:rowOff>151803</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8915400" y="11658600"/>
          <a:ext cx="11266667"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北京市大兴区黄村镇兴业大街76号楼1至2层1、2号商业用房房地产抵押价值预评估</v>
      </c>
    </row>
    <row r="3" spans="1:2">
      <c r="A3" s="1118" t="s">
        <v>523</v>
      </c>
      <c r="B3" s="1119">
        <f>'预评函-封皮'!B40</f>
        <v>0</v>
      </c>
    </row>
    <row r="4" spans="1:2">
      <c r="A4" s="1118" t="s">
        <v>524</v>
      </c>
      <c r="B4" s="1119" t="str">
        <f ca="1">'预评函-封皮'!B46</f>
        <v>吴薇（注册号：1419970001)、郑燚（注册号：1120070131)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受贵公司委托，我公司对北京市大兴区黄村镇兴业大街76号楼1至2层1、2号商业用房房地产抵押价值进行了预评估。</v>
      </c>
    </row>
    <row r="7" spans="1:2">
      <c r="A7" s="1118" t="s">
        <v>566</v>
      </c>
      <c r="B7" s="1119" t="str">
        <f>'预评函-1'!A7</f>
        <v>估价对象为北京市大兴区黄村镇兴业大街76号楼1至2层1、2号商业用房房地产，为所有。根据《国有土地使用证》[]，估价对象（分摊）出让国有建设用地使用权面积为0平方米，建筑面积为456.55平方米。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2025年5月16日（评估专业人员实地查勘之日）</v>
      </c>
    </row>
    <row r="13" spans="1:2">
      <c r="A13" s="1118" t="s">
        <v>529</v>
      </c>
      <c r="B13" s="1119"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1435</v>
      </c>
    </row>
    <row r="21" spans="1:2">
      <c r="A21" s="1118" t="s">
        <v>537</v>
      </c>
      <c r="B21" s="1119">
        <f ca="1">'预评函-2'!D7</f>
        <v>31438</v>
      </c>
    </row>
    <row r="22" spans="1:2">
      <c r="A22" s="1118" t="s">
        <v>538</v>
      </c>
      <c r="B22" s="1119" t="str">
        <f ca="1">'预评函-2'!D6</f>
        <v>壹仟肆佰叁拾伍万元整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1435</v>
      </c>
    </row>
    <row r="31" spans="1:2">
      <c r="A31" s="1118" t="s">
        <v>576</v>
      </c>
      <c r="B31" s="1119">
        <f ca="1">'预评函-2'!D15</f>
        <v>31438</v>
      </c>
    </row>
    <row r="32" spans="1:2">
      <c r="A32" s="1118" t="s">
        <v>543</v>
      </c>
      <c r="B32" s="1119" t="str">
        <f ca="1">'预评函-2'!D14</f>
        <v>壹仟肆佰叁拾伍万元整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北京市大兴区黄村镇兴业大街76号楼1至2层1、2号商业用房房地产</v>
      </c>
    </row>
    <row r="42" spans="1:2">
      <c r="A42" s="1118" t="s">
        <v>590</v>
      </c>
      <c r="B42" s="1119" t="str">
        <f>'预评函-3'!B2</f>
        <v>建筑面积</v>
      </c>
    </row>
    <row r="43" spans="1:2">
      <c r="A43" s="1118" t="s">
        <v>591</v>
      </c>
      <c r="B43" s="1119">
        <f>'预评函-3'!B4</f>
        <v>456.55</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1130</v>
      </c>
    </row>
    <row r="48" spans="1:2">
      <c r="A48" s="1118" t="s">
        <v>549</v>
      </c>
      <c r="B48" s="1119">
        <f ca="1">'预评函-3'!E4</f>
        <v>24742</v>
      </c>
    </row>
    <row r="49" spans="1:2">
      <c r="A49" s="1118" t="s">
        <v>550</v>
      </c>
      <c r="B49" s="1119" t="str">
        <f ca="1">'预评函-3'!D5</f>
        <v>壹仟壹佰叁拾万元整</v>
      </c>
    </row>
    <row r="50" spans="1:2">
      <c r="A50" s="1118" t="s">
        <v>574</v>
      </c>
      <c r="B50" s="1119" t="str">
        <f>'预评函-3'!F2</f>
        <v>在建建筑物价值</v>
      </c>
    </row>
    <row r="51" spans="1:2">
      <c r="A51" s="1118" t="s">
        <v>551</v>
      </c>
      <c r="B51" s="1119">
        <f ca="1">'预评函-3'!F4</f>
        <v>306</v>
      </c>
    </row>
    <row r="52" spans="1:2">
      <c r="A52" s="1118" t="s">
        <v>552</v>
      </c>
      <c r="B52" s="1119">
        <f ca="1">'预评函-3'!G4</f>
        <v>6696</v>
      </c>
    </row>
    <row r="53" spans="1:2">
      <c r="A53" s="1118" t="s">
        <v>580</v>
      </c>
      <c r="B53" s="1119" t="str">
        <f ca="1">'预评函-3'!F5</f>
        <v>叁佰零陆万元整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吴薇</v>
      </c>
    </row>
    <row r="71" spans="1:2">
      <c r="A71" s="1118" t="s">
        <v>563</v>
      </c>
      <c r="B71" s="1119">
        <f ca="1">'预评函-4'!B4</f>
        <v>1419970001</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6" t="s">
        <v>385</v>
      </c>
      <c r="C54" s="1444" t="s">
        <v>583</v>
      </c>
    </row>
    <row r="55" spans="1:4">
      <c r="A55" s="3215"/>
      <c r="B55" s="1446" t="s">
        <v>386</v>
      </c>
      <c r="C55" s="1444" t="s">
        <v>584</v>
      </c>
    </row>
    <row r="56" spans="1:4">
      <c r="A56" s="3215"/>
      <c r="B56" s="1446" t="s">
        <v>387</v>
      </c>
      <c r="C56" s="1444" t="s">
        <v>588</v>
      </c>
    </row>
    <row r="57" spans="1:4">
      <c r="A57" s="321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6" t="s">
        <v>2580</v>
      </c>
      <c r="J2" s="3216"/>
      <c r="K2" s="3216"/>
      <c r="L2" s="3216"/>
      <c r="M2" s="3216"/>
      <c r="N2" s="3216"/>
      <c r="O2" s="3216"/>
      <c r="P2" s="3216"/>
      <c r="Q2" s="3216"/>
      <c r="R2" s="3216"/>
    </row>
    <row r="3" spans="1:18">
      <c r="A3" s="2761" t="s">
        <v>2501</v>
      </c>
      <c r="B3" s="2762">
        <f>项目基本情况!D3</f>
        <v>45793</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1.59</v>
      </c>
      <c r="D5" s="2766">
        <f>IF(ISERROR(ROUND(POWER(1+E5,A5-C5)*(POWER(1+E5,C5)-1)/(POWER(1+E5,A5)-1),3)),0,ROUND(POWER(1+E5,A5-C5)*(POWER(1+E5,C5)-1)/(POWER(1+E5,A5)-1),4))</f>
        <v>7.6399999999999996E-2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11.6</v>
      </c>
      <c r="D6" s="2766">
        <f>IF(ISERROR(ROUND(POWER(1+E6,A6-C6)*(POWER(1+E6,C6)-1)/(POWER(1+E6,A6)-1),3)),0,ROUND(POWER(1+E6,A6-C6)*(POWER(1+E6,C6)-1)/(POWER(1+E6,A6)-1),4))</f>
        <v>0.4254</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31.61</v>
      </c>
      <c r="D7" s="2766">
        <f>IF(ISERROR(ROUND(POWER(1+E7,A7-C7)*(POWER(1+E7,C7)-1)/(POWER(1+E7,A7)-1),3)),0,ROUND(POWER(1+E7,A7-C7)*(POWER(1+E7,C7)-1)/(POWER(1+E7,A7)-1),4))</f>
        <v>0.75929999999999997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4" t="str">
        <f>IF(B10="北京市","北京市",C10)&amp;F10&amp;IF(结果表!G1="在建","出让国有建设用地使用权及在建建筑物",IF(结果表!G1="土地","出让国有建设用地使用权",))&amp;B9&amp;"预评估"</f>
        <v>北京市大兴区黄村镇兴业大街76号楼1至2层1、2号商业用房房地产抵押价值预评估</v>
      </c>
      <c r="C1" s="3225"/>
      <c r="D1" s="3225"/>
      <c r="E1" s="3225"/>
      <c r="F1" s="3225"/>
      <c r="G1" s="3225"/>
      <c r="H1" s="3225"/>
      <c r="I1" s="322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北京市大兴区黄村镇兴业大街76号楼1至2层1、2号商业用房房地产抵押价值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北京市大兴区黄村镇兴业大街76号楼1至2层1、2号商业用房房地产</v>
      </c>
      <c r="T2" s="1617"/>
      <c r="U2" s="1617"/>
      <c r="V2" s="1617"/>
      <c r="W2" s="1617"/>
      <c r="X2" s="1617"/>
      <c r="Y2" s="1617"/>
      <c r="Z2" s="1617"/>
      <c r="AA2" s="1617"/>
      <c r="AB2" s="1617"/>
    </row>
    <row r="3" spans="1:30">
      <c r="A3" s="294" t="s">
        <v>2170</v>
      </c>
      <c r="B3" s="2184">
        <v>45793</v>
      </c>
      <c r="C3" s="2185" t="s">
        <v>2171</v>
      </c>
      <c r="D3" s="2184">
        <f>B3</f>
        <v>45793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t="s">
        <v>3412</v>
      </c>
      <c r="C4" s="2187">
        <f ca="1">SUMIF(注册房地产估价师,B4,估价师及机构信息!B3:B24)</f>
        <v>1419970001</v>
      </c>
      <c r="D4" s="2186" t="s">
        <v>3413</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3414</v>
      </c>
      <c r="C8" s="2200"/>
      <c r="D8" s="3227" t="s">
        <v>2177</v>
      </c>
      <c r="E8" s="2201" t="s">
        <v>3415</v>
      </c>
      <c r="F8" s="2202"/>
      <c r="G8" s="2441"/>
      <c r="H8" s="2441"/>
      <c r="I8" s="2441"/>
      <c r="J8" s="2244"/>
      <c r="K8" s="2399"/>
      <c r="L8" s="2398"/>
      <c r="M8" s="2398"/>
      <c r="N8" s="2244"/>
      <c r="O8" s="1669"/>
      <c r="P8" s="2244"/>
      <c r="Q8" s="2244"/>
      <c r="R8" s="2244"/>
    </row>
    <row r="9" spans="1:30" ht="13.5" thickBot="1">
      <c r="A9" s="2203" t="s">
        <v>2178</v>
      </c>
      <c r="B9" s="2204" t="s">
        <v>3415</v>
      </c>
      <c r="C9" s="2205"/>
      <c r="D9" s="3228"/>
      <c r="E9" s="2204"/>
      <c r="F9" s="2206"/>
      <c r="G9" s="2442"/>
      <c r="H9" s="2442"/>
      <c r="I9" s="2442"/>
      <c r="J9" s="2244"/>
      <c r="K9" s="2401"/>
      <c r="L9" s="2398"/>
      <c r="M9" s="2398"/>
      <c r="N9" s="2244"/>
      <c r="O9" s="1669"/>
      <c r="P9" s="2244"/>
      <c r="Q9" s="2244"/>
      <c r="R9" s="2244"/>
    </row>
    <row r="10" spans="1:30" ht="13.5" thickTop="1">
      <c r="A10" s="2207" t="s">
        <v>2179</v>
      </c>
      <c r="B10" s="2208" t="s">
        <v>3416</v>
      </c>
      <c r="C10" s="2209"/>
      <c r="D10" s="2192"/>
      <c r="E10" s="2210" t="s">
        <v>2180</v>
      </c>
      <c r="F10" s="3161" t="s">
        <v>3528</v>
      </c>
      <c r="G10" s="2443"/>
      <c r="H10" s="2444"/>
      <c r="I10" s="2445"/>
      <c r="J10" s="2244"/>
      <c r="K10" s="2401"/>
      <c r="L10" s="2398"/>
      <c r="M10" s="2398"/>
      <c r="N10" s="2244"/>
      <c r="O10" s="1669"/>
      <c r="P10" s="2244"/>
      <c r="Q10" s="2244"/>
      <c r="R10" s="2244"/>
    </row>
    <row r="11" spans="1:30">
      <c r="A11" s="2211" t="s">
        <v>2181</v>
      </c>
      <c r="B11" s="2212" t="s">
        <v>3417</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2"/>
      <c r="D13" s="802">
        <v>51270</v>
      </c>
      <c r="E13" s="802"/>
      <c r="F13" s="802"/>
      <c r="G13" s="802"/>
      <c r="H13" s="802"/>
      <c r="I13" s="802"/>
      <c r="J13" s="2801"/>
      <c r="K13" s="2398"/>
      <c r="L13" s="2398"/>
      <c r="M13" s="2244"/>
      <c r="N13" s="1669"/>
      <c r="O13" s="2244"/>
      <c r="P13" s="2244"/>
      <c r="Q13" s="2244"/>
      <c r="AD13" s="1617"/>
    </row>
    <row r="14" spans="1:30">
      <c r="A14" s="1017"/>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34"/>
      <c r="C16" s="3235"/>
      <c r="D16" s="3236"/>
      <c r="E16" s="2221" t="s">
        <v>2194</v>
      </c>
      <c r="F16" s="3237"/>
      <c r="G16" s="3238"/>
      <c r="H16" s="3238"/>
      <c r="I16" s="3239"/>
      <c r="J16" s="2244"/>
      <c r="K16" s="2402"/>
      <c r="L16" s="1669"/>
      <c r="M16" s="1669"/>
      <c r="N16" s="2244"/>
      <c r="O16" s="1669"/>
      <c r="P16" s="2244"/>
      <c r="Q16" s="2244"/>
      <c r="R16" s="2244"/>
    </row>
    <row r="17" spans="1:28">
      <c r="A17" s="305" t="s">
        <v>2195</v>
      </c>
      <c r="B17" s="294" t="s">
        <v>2196</v>
      </c>
      <c r="C17" s="8">
        <f>'数据-汇总表'!E3</f>
        <v>456.55</v>
      </c>
      <c r="D17" s="1255" t="s">
        <v>2197</v>
      </c>
      <c r="E17" s="3240" t="s">
        <v>2198</v>
      </c>
      <c r="F17" s="3241"/>
      <c r="G17" s="3241"/>
      <c r="H17" s="3241"/>
      <c r="I17" s="3242"/>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243" t="s">
        <v>2202</v>
      </c>
      <c r="F18" s="3244"/>
      <c r="G18" s="3244"/>
      <c r="H18" s="3244"/>
      <c r="I18" s="324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0" t="s">
        <v>2206</v>
      </c>
      <c r="C20" s="3231"/>
      <c r="D20" s="3232" t="s">
        <v>2207</v>
      </c>
      <c r="E20" s="3233"/>
      <c r="F20" s="2429" t="s">
        <v>1056</v>
      </c>
      <c r="G20" s="2441"/>
      <c r="H20" s="2441"/>
      <c r="I20" s="2441"/>
      <c r="J20" s="2244"/>
      <c r="K20" s="322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2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2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8" t="s">
        <v>2214</v>
      </c>
      <c r="B27" s="312" t="s">
        <v>2215</v>
      </c>
      <c r="C27" s="2224" t="s">
        <v>3422</v>
      </c>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8"/>
      <c r="B28" s="294" t="s">
        <v>2216</v>
      </c>
      <c r="C28" s="2226" t="s">
        <v>3423</v>
      </c>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8"/>
      <c r="B29" s="294" t="s">
        <v>2217</v>
      </c>
      <c r="C29" s="2228" t="s">
        <v>3424</v>
      </c>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9"/>
      <c r="B30" s="294" t="s">
        <v>2218</v>
      </c>
      <c r="C30" s="3220"/>
      <c r="D30" s="3221"/>
      <c r="E30" s="2441"/>
      <c r="F30" s="2441"/>
      <c r="G30" s="2441"/>
      <c r="H30" s="2441"/>
      <c r="I30" s="2441"/>
      <c r="J30" s="2244"/>
      <c r="K30" s="2401"/>
      <c r="L30" s="2398"/>
      <c r="M30" s="2398"/>
      <c r="N30" s="2244"/>
      <c r="O30" s="1669"/>
      <c r="P30" s="2244"/>
      <c r="Q30" s="2244"/>
      <c r="R30" s="2244"/>
      <c r="S30" s="2244"/>
      <c r="T30" s="2244"/>
      <c r="U30" s="2244"/>
      <c r="V30" s="2244"/>
    </row>
    <row r="31" spans="1:28">
      <c r="A31" s="3222" t="s">
        <v>2219</v>
      </c>
      <c r="B31" s="2230" t="s">
        <v>3425</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4"/>
      <c r="V34" s="2244"/>
    </row>
    <row r="35" spans="1:30">
      <c r="A35" s="2235"/>
      <c r="B35" s="3217" t="s">
        <v>2229</v>
      </c>
      <c r="C35" s="3217"/>
      <c r="D35" s="3217"/>
      <c r="E35" s="321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456.55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456.55</v>
      </c>
      <c r="H5" s="13">
        <f t="shared" ref="H5:AT5" si="0">SUM(H13:H656)</f>
        <v>456.55</v>
      </c>
      <c r="I5" s="13">
        <f t="shared" si="0"/>
        <v>456.55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456.55</v>
      </c>
      <c r="BA5" s="15">
        <f t="shared" si="1"/>
        <v>456.55</v>
      </c>
      <c r="BB5" s="15">
        <f t="shared" si="1"/>
        <v>456.55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3426</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3428</v>
      </c>
      <c r="D13" s="1512" t="s">
        <v>3427</v>
      </c>
      <c r="E13" s="13">
        <f>IF($C$3="是",ROUND($A$3*G13/$B$3,2),ROUND($A$3*(G13-AT13)/$B$3,2))</f>
        <v>0</v>
      </c>
      <c r="F13" s="29"/>
      <c r="G13" s="30">
        <f>H13+AC13+AT13</f>
        <v>266.92</v>
      </c>
      <c r="H13" s="17">
        <f>SUMIF(I$12:AB$12,"总值",I13:AB13)</f>
        <v>266.92</v>
      </c>
      <c r="I13" s="3163">
        <v>266.92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1-2层01</v>
      </c>
      <c r="AY13" s="1259">
        <f>ROUND($AY$6*AZ13/$AZ$5,2)</f>
        <v>0</v>
      </c>
      <c r="AZ13" s="13">
        <f>BA13+BL13</f>
        <v>266.92</v>
      </c>
      <c r="BA13" s="13">
        <f>SUM(BB13:BK13)</f>
        <v>266.92</v>
      </c>
      <c r="BB13" s="13">
        <f>IF($D13="是",I13-J13,0)</f>
        <v>266.92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t="s">
        <v>3429</v>
      </c>
      <c r="D14" s="1512" t="s">
        <v>3427</v>
      </c>
      <c r="E14" s="13">
        <f>IF($C$3="是",ROUND($A$3*G14/$B$3,2),ROUND($A$3*(G14-AT14)/$B$3,2))</f>
        <v>0</v>
      </c>
      <c r="F14" s="29"/>
      <c r="G14" s="30">
        <f>H14+AC14+AT14</f>
        <v>189.63</v>
      </c>
      <c r="H14" s="17">
        <f>SUMIF(I$12:AB$12,"总值",I14:AB14)</f>
        <v>189.63</v>
      </c>
      <c r="I14" s="3163">
        <v>189.63</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1-2层02</v>
      </c>
      <c r="AY14" s="1259">
        <f>ROUND($AY$6*AZ14/$AZ$5,2)</f>
        <v>0</v>
      </c>
      <c r="AZ14" s="13">
        <f>BA14+BL14</f>
        <v>189.63</v>
      </c>
      <c r="BA14" s="13">
        <f>SUM(BB14:BK14)</f>
        <v>189.63</v>
      </c>
      <c r="BB14" s="13">
        <f>IF($D14="是",I14-J14,0)</f>
        <v>189.63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5" t="s">
        <v>1131</v>
      </c>
      <c r="B2" s="3255"/>
      <c r="C2" s="3255"/>
      <c r="D2" s="747" t="s">
        <v>1107</v>
      </c>
      <c r="E2" s="1522" t="s">
        <v>1108</v>
      </c>
      <c r="F2" s="2438"/>
      <c r="G2" s="2431"/>
      <c r="H2" s="2432"/>
      <c r="I2" s="2145" t="s">
        <v>1132</v>
      </c>
      <c r="J2" s="2438"/>
      <c r="K2" s="2438"/>
      <c r="L2" s="2438"/>
      <c r="M2" s="2438"/>
      <c r="N2" s="2439"/>
      <c r="O2" s="2438"/>
      <c r="P2" s="2438"/>
    </row>
    <row r="3" spans="1:16" ht="15.75" thickBot="1">
      <c r="A3" s="3256" t="s">
        <v>1105</v>
      </c>
      <c r="B3" s="3256"/>
      <c r="C3" s="3256"/>
      <c r="D3" s="41">
        <f>'数据-基础表'!AY6</f>
        <v>0</v>
      </c>
      <c r="E3" s="41">
        <f>'数据-基础表'!AZ5</f>
        <v>456.55</v>
      </c>
      <c r="F3" s="2438"/>
      <c r="G3" s="42"/>
      <c r="H3" s="43" t="s">
        <v>1106</v>
      </c>
      <c r="I3" s="801" t="e">
        <f>ROUND('数据-基础表'!B3/'数据-基础表'!A3,2)</f>
        <v>#DIV/0!</v>
      </c>
      <c r="J3" s="2438"/>
      <c r="K3" s="2438"/>
      <c r="L3" s="2438"/>
      <c r="M3" s="2438"/>
      <c r="N3" s="2439"/>
      <c r="O3" s="2438"/>
      <c r="P3" s="2438"/>
    </row>
    <row r="4" spans="1:16" ht="15">
      <c r="A4" s="3257"/>
      <c r="B4" s="3258"/>
      <c r="C4" s="3259"/>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60" t="s">
        <v>1110</v>
      </c>
      <c r="C5" s="3260"/>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60" t="s">
        <v>1111</v>
      </c>
      <c r="C6" s="3260"/>
      <c r="D6" s="43">
        <f>ROUND($D$3*E6/$E$3,2)</f>
        <v>0</v>
      </c>
      <c r="E6" s="44">
        <f>E3-E5</f>
        <v>456.55</v>
      </c>
      <c r="F6" s="2438"/>
      <c r="G6" s="1528" t="s">
        <v>1112</v>
      </c>
      <c r="H6" s="45" t="s">
        <v>1113</v>
      </c>
      <c r="I6" s="2434" t="e">
        <f>ROUND(F31/D31,2)</f>
        <v>#DIV/0!</v>
      </c>
      <c r="J6" s="2438"/>
      <c r="K6" s="2438"/>
      <c r="L6" s="2438"/>
      <c r="M6" s="2438"/>
      <c r="N6" s="2438"/>
      <c r="O6" s="2438"/>
      <c r="P6" s="2438"/>
    </row>
    <row r="7" spans="1:16" ht="15.75" thickBot="1">
      <c r="A7" s="3252"/>
      <c r="B7" s="3253"/>
      <c r="C7" s="3254"/>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456.55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456.55</v>
      </c>
      <c r="F16" s="2438"/>
      <c r="G16" s="2438"/>
      <c r="H16" s="1530" t="s">
        <v>1135</v>
      </c>
      <c r="I16" s="1531"/>
      <c r="J16" s="1070"/>
      <c r="K16" s="3249" t="s">
        <v>1135</v>
      </c>
      <c r="L16" s="3250"/>
      <c r="M16" s="3250"/>
      <c r="N16" s="3250"/>
      <c r="O16" s="3250"/>
      <c r="P16" s="3251"/>
    </row>
    <row r="17" spans="1:19" ht="15">
      <c r="A17" s="1532" t="s">
        <v>1136</v>
      </c>
      <c r="B17" s="1533" t="s">
        <v>1137</v>
      </c>
      <c r="C17" s="1534" t="s">
        <v>1138</v>
      </c>
      <c r="D17" s="1535" t="s">
        <v>1126</v>
      </c>
      <c r="E17" s="1536" t="s">
        <v>1127</v>
      </c>
      <c r="F17" s="1537"/>
      <c r="G17" s="1538"/>
      <c r="H17" s="1539" t="s">
        <v>1139</v>
      </c>
      <c r="I17" s="1540" t="s">
        <v>1124</v>
      </c>
      <c r="J17" s="1070"/>
      <c r="K17" s="3246" t="s">
        <v>1140</v>
      </c>
      <c r="L17" s="3247"/>
      <c r="M17" s="3248"/>
      <c r="N17" s="3246" t="s">
        <v>1141</v>
      </c>
      <c r="O17" s="3247"/>
      <c r="P17" s="324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3431</v>
      </c>
      <c r="D19" s="43">
        <f>ROUND($D$3*E19/$E$3,2)</f>
        <v>0</v>
      </c>
      <c r="E19" s="51">
        <f t="shared" ref="E19:E26" si="1">SUM(F19:G19)</f>
        <v>456.55</v>
      </c>
      <c r="F19" s="2556">
        <f>'数据-基础表'!I5</f>
        <v>456.55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456.55</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456.55</v>
      </c>
      <c r="F27" s="1071">
        <f>IF(SUM(F19:F26)=E8,SUM(F19:F26),"地上面积有误")</f>
        <v>456.55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456.55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456.55</v>
      </c>
      <c r="F31" s="643">
        <f>F27+F30</f>
        <v>456.55</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46" sqref="I4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45793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3418</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1-2层商业</v>
      </c>
      <c r="B6" s="1586" t="str">
        <f>IF(A6=0,"","经营性")</f>
        <v>经营性</v>
      </c>
      <c r="C6" s="1587" t="s">
        <v>673</v>
      </c>
      <c r="D6" s="804">
        <f>SUMIF(项目基本情况!C$12:I$12,C6,项目基本情况!C$14:I$14)</f>
        <v>40</v>
      </c>
      <c r="E6" s="803">
        <f>IF(B6="","",SUMIF(项目基本情况!C$12:I$12,C6,项目基本情况!C$13:I$13))</f>
        <v>51270</v>
      </c>
      <c r="F6" s="61">
        <f>SUMIF(项目基本情况!C$12:I$12,C6,项目基本情况!C$15:I$15)</f>
        <v>15</v>
      </c>
      <c r="G6" s="62">
        <f>IF(ISERROR(ROUND(POWER(1+H6,D6-F6)*(POWER(1+H6,F6)-1)/(POWER(1+H6,D6)-1),3)),0,ROUND(POWER(1+H6,D6-F6)*(POWER(1+H6,F6)-1)/(POWER(1+H6,D6)-1),3))</f>
        <v>0.60499999999999998</v>
      </c>
      <c r="H6" s="690">
        <v>0.05</v>
      </c>
      <c r="I6" s="690">
        <v>5.5E-2</v>
      </c>
      <c r="J6" s="63">
        <v>7.0000000000000007E-2</v>
      </c>
      <c r="K6" s="969">
        <f>SUMIF('数据-汇总表'!C$19:C$33,A6,'数据-汇总表'!E$19:E$33)</f>
        <v>456.55</v>
      </c>
      <c r="L6" s="691">
        <v>3500</v>
      </c>
      <c r="M6" s="64">
        <f t="shared" ref="M6:M14" si="0">ROUND(K6*L6/10000,0)</f>
        <v>160</v>
      </c>
      <c r="N6" s="689">
        <f>N21</f>
        <v>0.71</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5">
        <f>'比较法-租金商业'!C49</f>
        <v>4.0999999999999996</v>
      </c>
      <c r="V6" s="67">
        <v>0.02</v>
      </c>
      <c r="W6" s="67">
        <v>0.1</v>
      </c>
      <c r="X6" s="978"/>
      <c r="Y6" s="68">
        <f>N6</f>
        <v>0.71</v>
      </c>
      <c r="Z6" s="69"/>
      <c r="AA6" s="63"/>
      <c r="AB6" s="63"/>
      <c r="AC6" s="978"/>
      <c r="AD6" s="70"/>
      <c r="AE6" s="979">
        <f ca="1">IF(AN6="",0,SUMIF(INDIRECT("'"&amp;AN6&amp;"'"&amp;"!E:E"),$AE$5,INDIRECT("'"&amp;AN6&amp;"'"&amp;"!F:F")))</f>
        <v>15</v>
      </c>
      <c r="AF6" s="74"/>
      <c r="AG6" s="130">
        <f>IF(AF6="",0,AE6-AF6)</f>
        <v>0</v>
      </c>
      <c r="AH6" s="71"/>
      <c r="AI6" s="73">
        <v>365</v>
      </c>
      <c r="AJ6" s="74"/>
      <c r="AK6" s="75">
        <v>5.0000000000000001E-3</v>
      </c>
      <c r="AL6" s="76">
        <v>1E-3</v>
      </c>
      <c r="AM6" s="77">
        <v>0.01</v>
      </c>
      <c r="AN6" s="1588" t="s">
        <v>3432</v>
      </c>
      <c r="AO6" s="50">
        <f ca="1">SUMIF(INDIRECT("'"&amp;AN6&amp;"'"&amp;"!A:A"),"总价",INDIRECT("'"&amp;AN6&amp;"'"&amp;"!B:B"))</f>
        <v>661.80359999999996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0.60499999999999998</v>
      </c>
      <c r="H16" s="84">
        <f>ROUND(SUMPRODUCT(H6:H13,K6:K13)/SUMPRODUCT((H6:H13&gt;0)*(K6:K13)),3)</f>
        <v>0.05</v>
      </c>
      <c r="I16" s="85"/>
      <c r="J16" s="85"/>
      <c r="K16" s="86">
        <f>SUM(K6:K15)</f>
        <v>456.55</v>
      </c>
      <c r="L16" s="87">
        <f>ROUND(M16*10000/SUM(K6:K14),0)</f>
        <v>3505</v>
      </c>
      <c r="M16" s="87">
        <f>SUM(M6:M14)</f>
        <v>160</v>
      </c>
      <c r="N16" s="88">
        <f>ROUND(SUMPRODUCT(M6:M14,N6:N14)/M16,3)</f>
        <v>0.71</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2002</v>
      </c>
      <c r="O18" s="2447"/>
      <c r="P18" s="2447"/>
      <c r="Q18" s="2447">
        <f>Q16/B20</f>
        <v>7.4999999999999997E-2</v>
      </c>
      <c r="R18" s="2447"/>
      <c r="S18" s="2447"/>
      <c r="T18" s="2447"/>
      <c r="U18" s="2447">
        <f>U6*365/'比较法-商业'!C49</f>
        <v>3.8670249877257805E-2</v>
      </c>
      <c r="V18" s="2447"/>
      <c r="W18" s="2447" t="s">
        <v>3524</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2302</v>
      </c>
      <c r="D19" s="2450"/>
      <c r="E19" s="2438"/>
      <c r="F19" s="2438"/>
      <c r="G19" s="2438"/>
      <c r="H19" s="2438"/>
      <c r="I19" s="2438"/>
      <c r="J19" s="2438"/>
      <c r="K19" s="2448"/>
      <c r="L19" s="2448"/>
      <c r="M19" s="3162" t="s">
        <v>3419</v>
      </c>
      <c r="N19" s="2447">
        <f>ROUND(1-(1-0%)*(2025-N18)/60,2)</f>
        <v>0.62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2300</v>
      </c>
      <c r="D20" s="2450"/>
      <c r="E20" s="2438"/>
      <c r="F20" s="2438"/>
      <c r="G20" s="2438"/>
      <c r="H20" s="2438"/>
      <c r="I20" s="2438"/>
      <c r="J20" s="2438"/>
      <c r="K20" s="2448"/>
      <c r="L20" s="2448"/>
      <c r="M20" s="3162" t="s">
        <v>3420</v>
      </c>
      <c r="N20" s="2447">
        <v>0.8</v>
      </c>
      <c r="O20" s="2447"/>
      <c r="P20" s="2447"/>
      <c r="Q20" s="2447"/>
      <c r="R20" s="3162"/>
      <c r="S20" s="3173" t="s">
        <v>3506</v>
      </c>
      <c r="T20" s="3173" t="s">
        <v>3505</v>
      </c>
      <c r="U20" s="3173" t="s">
        <v>3507</v>
      </c>
      <c r="V20" s="3173" t="s">
        <v>3525</v>
      </c>
      <c r="W20" s="3173"/>
      <c r="X20" s="2448"/>
      <c r="Y20" s="2448"/>
      <c r="Z20" s="2448"/>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62" t="s">
        <v>3421</v>
      </c>
      <c r="N21" s="2447">
        <f>ROUND((N19+N20)/2,2)</f>
        <v>0.71</v>
      </c>
      <c r="O21" s="2447"/>
      <c r="P21" s="2447"/>
      <c r="Q21" s="2447"/>
      <c r="R21" s="2447"/>
      <c r="S21" s="2448" t="s">
        <v>3510</v>
      </c>
      <c r="T21" s="2448">
        <f>10*12+10*8</f>
        <v>200</v>
      </c>
      <c r="U21" s="2448">
        <v>1</v>
      </c>
      <c r="V21" s="2448">
        <v>5</v>
      </c>
      <c r="W21" s="2448">
        <f>V21*T21</f>
        <v>1000</v>
      </c>
      <c r="X21" s="2448"/>
      <c r="Y21" s="2448"/>
      <c r="Z21" s="2448"/>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8" t="s">
        <v>3511</v>
      </c>
      <c r="T22" s="2448">
        <f>'数据-汇总表'!F19-'数据-取费表'!T21</f>
        <v>256.55</v>
      </c>
      <c r="U22" s="2448">
        <v>0.7</v>
      </c>
      <c r="V22" s="2448">
        <f>V21*U22</f>
        <v>3.5</v>
      </c>
      <c r="W22" s="2448">
        <f>V22*T22</f>
        <v>897.92500000000007</v>
      </c>
      <c r="X22" s="2448"/>
      <c r="Y22" s="2448"/>
      <c r="Z22" s="2448"/>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3173" t="s">
        <v>3509</v>
      </c>
      <c r="T23" s="3173">
        <f>T21+T22</f>
        <v>456.55</v>
      </c>
      <c r="U23" s="2448"/>
      <c r="V23" s="2448">
        <f>ROUND(W23/T23,1)</f>
        <v>4.2</v>
      </c>
      <c r="W23" s="2448">
        <f>W21+W22</f>
        <v>1897.9250000000002</v>
      </c>
      <c r="X23" s="2448"/>
      <c r="Y23" s="2448"/>
      <c r="Z23" s="2448"/>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8"/>
      <c r="T24" s="2448"/>
      <c r="U24" s="2448"/>
      <c r="V24" s="2448"/>
      <c r="W24" s="2448"/>
      <c r="X24" s="2448"/>
      <c r="Y24" s="2448"/>
      <c r="Z24" s="2448"/>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8"/>
      <c r="T25" s="2448"/>
      <c r="U25" s="2448"/>
      <c r="V25" s="2448"/>
      <c r="W25" s="2448"/>
      <c r="X25" s="2448"/>
      <c r="Y25" s="2448"/>
      <c r="Z25" s="2448"/>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8"/>
      <c r="T26" s="2448"/>
      <c r="U26" s="2448"/>
      <c r="V26" s="2448"/>
      <c r="W26" s="2448"/>
      <c r="X26" s="2448"/>
      <c r="Y26" s="2448"/>
      <c r="Z26" s="2448"/>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2304</v>
      </c>
      <c r="D27" s="2453"/>
      <c r="E27" s="2439"/>
      <c r="F27" s="2439"/>
      <c r="G27" s="2438"/>
      <c r="H27" s="2438"/>
      <c r="I27" s="2438"/>
      <c r="J27" s="2438"/>
      <c r="K27" s="2448"/>
      <c r="L27" s="2448"/>
      <c r="M27" s="2447"/>
      <c r="N27" s="2447"/>
      <c r="O27" s="2447"/>
      <c r="P27" s="2447"/>
      <c r="Q27" s="2447"/>
      <c r="R27" s="2447"/>
      <c r="S27" s="2448"/>
      <c r="T27" s="2448"/>
      <c r="U27" s="2448"/>
      <c r="V27" s="2448"/>
      <c r="W27" s="2448"/>
      <c r="X27" s="2448"/>
      <c r="Y27" s="2448"/>
      <c r="Z27" s="2448"/>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8"/>
      <c r="T28" s="2448"/>
      <c r="U28" s="2448"/>
      <c r="V28" s="2448"/>
      <c r="W28" s="2448"/>
      <c r="X28" s="2448"/>
      <c r="Y28" s="2448"/>
      <c r="Z28" s="2448"/>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0.03</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4">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3512" t="s">
        <v>3537</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1" t="s">
        <v>2286</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456.55</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45793</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1435</v>
      </c>
      <c r="C5" s="2299">
        <f ca="1">IF(B5=D14,结果表!H102,ROUND(B5*10000/$B$1,0))</f>
        <v>31438</v>
      </c>
      <c r="D5" s="2299" t="e">
        <f ca="1">ROUND(B5*10000/$B$2,0)</f>
        <v>#DIV/0!</v>
      </c>
      <c r="E5" s="2460"/>
      <c r="F5" s="2461"/>
      <c r="G5" s="2461"/>
      <c r="H5" s="2461"/>
      <c r="I5" s="2461"/>
      <c r="J5" s="2461"/>
      <c r="K5" s="2461"/>
    </row>
    <row r="6" spans="1:11" ht="16.5">
      <c r="A6" s="2299" t="s">
        <v>656</v>
      </c>
      <c r="B6" s="2299">
        <f ca="1">SUM(G14:G23)</f>
        <v>1435</v>
      </c>
      <c r="C6" s="2299">
        <f ca="1">IF(B6=G14,结果表!H108,ROUND(B6*10000/$B$1,0))</f>
        <v>31438</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 ca="1">SUM(I14:I23)</f>
        <v>1389</v>
      </c>
      <c r="C8" s="2299" t="str">
        <f ca="1">IF(B8=I14,结果表!H112,ROUND(B8*10000/$B$1,0))</f>
        <v>——</v>
      </c>
      <c r="D8" s="2299" t="e">
        <f ca="1">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456.55</v>
      </c>
      <c r="C14" s="2305"/>
      <c r="D14" s="2305">
        <f ca="1">结果表!G19</f>
        <v>1435</v>
      </c>
      <c r="E14" s="2305">
        <f ca="1">结果表!G20</f>
        <v>31438</v>
      </c>
      <c r="F14" s="2305" t="e">
        <f ca="1">ROUND(D14*10000/C14,0)</f>
        <v>#DIV/0!</v>
      </c>
      <c r="G14" s="2305">
        <f ca="1">D14</f>
        <v>1435</v>
      </c>
      <c r="H14" s="2305"/>
      <c r="I14" s="2305">
        <f ca="1">结果表!N59</f>
        <v>1389</v>
      </c>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3" zoomScaleNormal="100" zoomScaleSheetLayoutView="100" zoomScalePageLayoutView="80" workbookViewId="0">
      <selection activeCell="Q53" sqref="Q5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97" t="str">
        <f>项目基本情况!S2</f>
        <v>北京市大兴区黄村镇兴业大街76号楼1至2层1、2号商业用房房地产</v>
      </c>
      <c r="B2" s="3298"/>
      <c r="C2" s="3298"/>
      <c r="D2" s="3298"/>
      <c r="E2" s="3298"/>
      <c r="F2" s="3298"/>
      <c r="G2" s="3298"/>
      <c r="H2" s="3298"/>
      <c r="I2" s="3299"/>
    </row>
    <row r="3" spans="1:12" ht="12.75">
      <c r="A3" s="3301" t="s">
        <v>1264</v>
      </c>
      <c r="B3" s="3302"/>
      <c r="C3" s="3302"/>
      <c r="D3" s="3302"/>
      <c r="E3" s="3302"/>
      <c r="F3" s="3302"/>
      <c r="G3" s="3302"/>
      <c r="H3" s="3302"/>
      <c r="I3" s="3302"/>
    </row>
    <row r="4" spans="1:12" ht="14.25">
      <c r="A4" s="1623" t="s">
        <v>1265</v>
      </c>
      <c r="B4" s="1624" t="s">
        <v>1266</v>
      </c>
      <c r="C4" s="1625" t="s">
        <v>3436</v>
      </c>
      <c r="D4" s="1625" t="s">
        <v>3432</v>
      </c>
      <c r="E4" s="3303" t="s">
        <v>1267</v>
      </c>
      <c r="F4" s="3304"/>
      <c r="G4" s="3304"/>
      <c r="H4" s="3304"/>
      <c r="I4" s="330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7" t="s">
        <v>1268</v>
      </c>
      <c r="B5" s="3264">
        <v>25</v>
      </c>
      <c r="C5" s="3280"/>
      <c r="D5" s="3300"/>
      <c r="E5" s="123" t="s">
        <v>1269</v>
      </c>
      <c r="F5" s="1626"/>
      <c r="G5" s="1626"/>
      <c r="H5" s="1626"/>
      <c r="I5" s="1280"/>
    </row>
    <row r="6" spans="1:12" ht="12.75">
      <c r="A6" s="3277"/>
      <c r="B6" s="3264"/>
      <c r="C6" s="3281"/>
      <c r="D6" s="3300"/>
      <c r="E6" s="123" t="s">
        <v>1270</v>
      </c>
      <c r="F6" s="1626"/>
      <c r="G6" s="1626"/>
      <c r="H6" s="1626"/>
      <c r="I6" s="1280"/>
    </row>
    <row r="7" spans="1:12" ht="12.75">
      <c r="A7" s="3277"/>
      <c r="B7" s="3264"/>
      <c r="C7" s="3282"/>
      <c r="D7" s="3300"/>
      <c r="E7" s="123" t="s">
        <v>1271</v>
      </c>
      <c r="F7" s="1626"/>
      <c r="G7" s="1626"/>
      <c r="H7" s="1626"/>
      <c r="I7" s="1280"/>
    </row>
    <row r="8" spans="1:12" ht="12.75">
      <c r="A8" s="3277" t="s">
        <v>1272</v>
      </c>
      <c r="B8" s="3264">
        <v>15</v>
      </c>
      <c r="C8" s="3280"/>
      <c r="D8" s="3300"/>
      <c r="E8" s="123" t="s">
        <v>1273</v>
      </c>
      <c r="F8" s="1626"/>
      <c r="G8" s="1626"/>
      <c r="H8" s="1626"/>
      <c r="I8" s="1280"/>
    </row>
    <row r="9" spans="1:12" ht="12.75">
      <c r="A9" s="3277"/>
      <c r="B9" s="3264"/>
      <c r="C9" s="3282"/>
      <c r="D9" s="3300"/>
      <c r="E9" s="123" t="s">
        <v>1274</v>
      </c>
      <c r="F9" s="1626"/>
      <c r="G9" s="1626"/>
      <c r="H9" s="1626"/>
      <c r="I9" s="1280"/>
    </row>
    <row r="10" spans="1:12" ht="12.75">
      <c r="A10" s="3277" t="s">
        <v>1275</v>
      </c>
      <c r="B10" s="3264">
        <v>15</v>
      </c>
      <c r="C10" s="3280"/>
      <c r="D10" s="3300"/>
      <c r="E10" s="123" t="s">
        <v>1276</v>
      </c>
      <c r="F10" s="1626"/>
      <c r="G10" s="1626"/>
      <c r="H10" s="1626"/>
      <c r="I10" s="1280"/>
    </row>
    <row r="11" spans="1:12" ht="12.75">
      <c r="A11" s="3277"/>
      <c r="B11" s="3264"/>
      <c r="C11" s="3282"/>
      <c r="D11" s="3300"/>
      <c r="E11" s="123" t="s">
        <v>1277</v>
      </c>
      <c r="F11" s="1626"/>
      <c r="G11" s="1626"/>
      <c r="H11" s="1626"/>
      <c r="I11" s="1280"/>
    </row>
    <row r="12" spans="1:12" ht="12.75">
      <c r="A12" s="3277" t="s">
        <v>1278</v>
      </c>
      <c r="B12" s="3264">
        <v>15</v>
      </c>
      <c r="C12" s="3280"/>
      <c r="D12" s="3300"/>
      <c r="E12" s="123" t="s">
        <v>1279</v>
      </c>
      <c r="F12" s="1626"/>
      <c r="G12" s="1626"/>
      <c r="H12" s="1626"/>
      <c r="I12" s="1280"/>
    </row>
    <row r="13" spans="1:12" ht="12.75">
      <c r="A13" s="3277"/>
      <c r="B13" s="3264"/>
      <c r="C13" s="3282"/>
      <c r="D13" s="3300"/>
      <c r="E13" s="123" t="s">
        <v>1280</v>
      </c>
      <c r="F13" s="1626"/>
      <c r="G13" s="1626"/>
      <c r="H13" s="1626"/>
      <c r="I13" s="1280"/>
    </row>
    <row r="14" spans="1:12" ht="12.75">
      <c r="A14" s="3277" t="s">
        <v>1281</v>
      </c>
      <c r="B14" s="3264">
        <v>30</v>
      </c>
      <c r="C14" s="3280">
        <v>7</v>
      </c>
      <c r="D14" s="3300">
        <v>3</v>
      </c>
      <c r="E14" s="123" t="s">
        <v>1282</v>
      </c>
      <c r="F14" s="1626"/>
      <c r="G14" s="1626"/>
      <c r="H14" s="1626"/>
      <c r="I14" s="1280"/>
    </row>
    <row r="15" spans="1:12" ht="12.75">
      <c r="A15" s="3277"/>
      <c r="B15" s="3264"/>
      <c r="C15" s="3281"/>
      <c r="D15" s="3300"/>
      <c r="E15" s="123" t="s">
        <v>1283</v>
      </c>
      <c r="F15" s="1626"/>
      <c r="G15" s="1626"/>
      <c r="H15" s="1626"/>
      <c r="I15" s="1280"/>
    </row>
    <row r="16" spans="1:12" ht="12.75">
      <c r="A16" s="3277"/>
      <c r="B16" s="3264"/>
      <c r="C16" s="3282"/>
      <c r="D16" s="3300"/>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7" t="s">
        <v>2131</v>
      </c>
      <c r="F18" s="3288"/>
      <c r="G18" s="3288"/>
      <c r="H18" s="3288"/>
      <c r="I18" s="3288"/>
      <c r="K18" s="294" t="s">
        <v>1289</v>
      </c>
      <c r="L18" s="294">
        <f>IF(C1="",'数据-汇总表'!E3,SUMIF(项目类型,C1,'数据-汇总表'!E17:E26)+SUMIF(项目类型,C1,'数据-汇总表'!I17:I26))</f>
        <v>456.55</v>
      </c>
      <c r="M18" s="294">
        <f>IF(C1="",'数据-汇总表'!E3,SUMIF(项目类型,C1,'数据-汇总表'!E17:E26))</f>
        <v>456.55</v>
      </c>
    </row>
    <row r="19" spans="1:36" ht="15">
      <c r="A19" s="1629" t="s">
        <v>1290</v>
      </c>
      <c r="B19" s="1630" t="s">
        <v>1291</v>
      </c>
      <c r="C19" s="126">
        <f ca="1">SUMIF(INDIRECT("'"&amp;C4&amp;"'"&amp;"!A:A"),结果表!B19,INDIRECT("'"&amp;C4&amp;"'"&amp;"!B:B"))</f>
        <v>1766.8027999999999</v>
      </c>
      <c r="D19" s="127">
        <f ca="1">SUMIF(INDIRECT("'"&amp;D4&amp;"'"&amp;"!A:A"),结果表!B19,INDIRECT("'"&amp;D4&amp;"'"&amp;"!B:B"))</f>
        <v>661.80359999999996</v>
      </c>
      <c r="E19" s="1629" t="s">
        <v>1292</v>
      </c>
      <c r="F19" s="1630" t="s">
        <v>1291</v>
      </c>
      <c r="G19" s="128">
        <f ca="1">ROUND(C19*$C$18+D19*$D$18,0)</f>
        <v>1435</v>
      </c>
      <c r="H19" s="1631" t="s">
        <v>1293</v>
      </c>
      <c r="I19" s="121"/>
      <c r="J19" s="3170" t="s">
        <v>3494</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38699</v>
      </c>
      <c r="D20" s="130">
        <f ca="1">SUMIF(INDIRECT("'"&amp;D4&amp;"'"&amp;"!A:A"),结果表!B20,INDIRECT("'"&amp;D4&amp;"'"&amp;"!B:B"))</f>
        <v>14496</v>
      </c>
      <c r="E20" s="1632"/>
      <c r="F20" s="43" t="s">
        <v>1295</v>
      </c>
      <c r="G20" s="131">
        <f ca="1">ROUND(C20*$C$18+D20*$D$18,0)</f>
        <v>31438</v>
      </c>
      <c r="H20" s="759" t="s">
        <v>1296</v>
      </c>
      <c r="I20" s="121"/>
      <c r="J20" s="683">
        <v>31722</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1.6696784363215915</v>
      </c>
      <c r="E22" s="121"/>
      <c r="F22" s="121"/>
      <c r="G22" s="121"/>
      <c r="H22" s="121"/>
      <c r="I22" s="121"/>
    </row>
    <row r="23" spans="1:36" ht="13.5" thickBot="1">
      <c r="A23" s="645"/>
      <c r="B23" s="645"/>
      <c r="C23" s="645"/>
      <c r="D23" s="645"/>
      <c r="E23" s="121"/>
      <c r="F23" s="121"/>
      <c r="G23" s="121"/>
      <c r="H23" s="121"/>
      <c r="I23" s="121"/>
    </row>
    <row r="24" spans="1:36" ht="14.25">
      <c r="A24" s="3271" t="s">
        <v>1299</v>
      </c>
      <c r="B24" s="1630" t="s">
        <v>1291</v>
      </c>
      <c r="C24" s="128">
        <f>IF(B30=0,0,D30)</f>
        <v>0</v>
      </c>
      <c r="D24" s="1636"/>
      <c r="E24" s="121"/>
      <c r="F24" s="121"/>
      <c r="G24" s="121"/>
      <c r="H24" s="121"/>
      <c r="I24" s="121"/>
    </row>
    <row r="25" spans="1:36" ht="14.25">
      <c r="A25" s="327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31438</v>
      </c>
      <c r="D32" s="1640" t="s">
        <v>3437</v>
      </c>
      <c r="E32" s="121"/>
      <c r="F32" s="121"/>
      <c r="G32" s="121"/>
      <c r="H32" s="121"/>
      <c r="I32" s="121"/>
    </row>
    <row r="33" spans="1:15" ht="15">
      <c r="A33" s="739" t="s">
        <v>1306</v>
      </c>
      <c r="B33" s="123"/>
      <c r="C33" s="1641" t="s">
        <v>3438</v>
      </c>
      <c r="D33" s="1642" t="s">
        <v>3432</v>
      </c>
      <c r="E33" s="1643" t="s">
        <v>1307</v>
      </c>
      <c r="F33" s="1644" t="str">
        <f>IF(D32="楼面单价","取值（单价）","取值（总价）")</f>
        <v>取值（单价）</v>
      </c>
      <c r="G33" s="121"/>
      <c r="H33" s="121"/>
      <c r="I33" s="121"/>
    </row>
    <row r="34" spans="1:15" ht="15">
      <c r="A34" s="1645"/>
      <c r="B34" s="1646" t="s">
        <v>1308</v>
      </c>
      <c r="C34" s="140">
        <f ca="1">IF(C33="自定义",F34,C32-C35)</f>
        <v>24742</v>
      </c>
      <c r="D34" s="807">
        <f ca="1">IF(C33="自定义",ROUND(C34/C32,3),IF(C33="收益比率",SUMIF(INDIRECT("'"&amp;D33&amp;"'"&amp;"!b:b"),"土地收益比率",INDIRECT("'"&amp;D33&amp;"'"&amp;"!c:c")),SUMIF(INDIRECT("'"&amp;D33&amp;"'"&amp;"!b:b"),"土地成本比率",INDIRECT("'"&amp;D33&amp;"'"&amp;"!c:c"))))</f>
        <v>0.78700000000000003</v>
      </c>
      <c r="E34" s="1647" t="s">
        <v>1309</v>
      </c>
      <c r="F34" s="1242"/>
      <c r="G34" s="121"/>
      <c r="H34" s="121"/>
      <c r="I34" s="121"/>
    </row>
    <row r="35" spans="1:15" ht="15.75" thickBot="1">
      <c r="A35" s="1648"/>
      <c r="B35" s="1649" t="s">
        <v>1310</v>
      </c>
      <c r="C35" s="1089">
        <f ca="1">IF(C33="自定义",F35,ROUND(C32*D35,0))</f>
        <v>6696</v>
      </c>
      <c r="D35" s="1090">
        <f ca="1">IF(C33="自定义",ROUND(C35/C32,3),IF(C33="收益比率",SUMIF(INDIRECT("'"&amp;D33&amp;"'"&amp;"!b:b"),"建筑物收益比率",INDIRECT("'"&amp;D33&amp;"'"&amp;"!c:c")),SUMIF(INDIRECT("'"&amp;D33&amp;"'"&amp;"!b:b"),"建筑物成本比率",INDIRECT("'"&amp;D33&amp;"'"&amp;"!c:c"))))</f>
        <v>0.21299999999999999</v>
      </c>
      <c r="E35" s="1650" t="s">
        <v>1311</v>
      </c>
      <c r="F35" s="146"/>
      <c r="G35" s="121"/>
      <c r="H35" s="121"/>
      <c r="I35" s="121"/>
    </row>
    <row r="36" spans="1:15" ht="15.75" thickBot="1">
      <c r="A36" s="3291" t="s">
        <v>1312</v>
      </c>
      <c r="B36" s="1651" t="s">
        <v>1313</v>
      </c>
      <c r="C36" s="137"/>
      <c r="D36" s="1652"/>
      <c r="E36" s="1566"/>
      <c r="F36" s="1653"/>
      <c r="G36" s="121"/>
      <c r="H36" s="121"/>
      <c r="I36" s="121"/>
    </row>
    <row r="37" spans="1:15" ht="15.75" thickBot="1">
      <c r="A37" s="3292"/>
      <c r="B37" s="1554" t="s">
        <v>1314</v>
      </c>
      <c r="C37" s="139"/>
      <c r="D37" s="1070"/>
      <c r="E37" s="1070"/>
      <c r="F37" s="1653"/>
      <c r="G37" s="121"/>
      <c r="H37" s="121"/>
      <c r="I37" s="121"/>
    </row>
    <row r="38" spans="1:15" ht="15.75" thickBot="1">
      <c r="A38" s="3293"/>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8" t="s">
        <v>1326</v>
      </c>
      <c r="B45" s="3269"/>
      <c r="C45" s="3270"/>
      <c r="D45" s="147">
        <f ca="1">ROUND(H101*F45,0)</f>
        <v>1435</v>
      </c>
      <c r="E45" s="148" t="s">
        <v>1327</v>
      </c>
      <c r="F45" s="149">
        <v>1</v>
      </c>
      <c r="G45" s="150" t="s">
        <v>1328</v>
      </c>
      <c r="H45" s="121"/>
      <c r="I45" s="121"/>
      <c r="J45" s="3346" t="s">
        <v>1329</v>
      </c>
      <c r="K45" s="3346"/>
      <c r="L45" s="3346"/>
      <c r="M45" s="3346"/>
      <c r="N45" s="3346"/>
      <c r="O45" s="3346"/>
    </row>
    <row r="46" spans="1:15" ht="14.25" customHeight="1">
      <c r="A46" s="3265" t="s">
        <v>1330</v>
      </c>
      <c r="B46" s="3266"/>
      <c r="C46" s="3266"/>
      <c r="D46" s="3266"/>
      <c r="E46" s="3266"/>
      <c r="F46" s="3266"/>
      <c r="G46" s="3267"/>
      <c r="H46" s="1667"/>
      <c r="I46" s="151"/>
      <c r="J46" s="2309">
        <v>1</v>
      </c>
      <c r="K46" s="3327" t="s">
        <v>1331</v>
      </c>
      <c r="L46" s="3327"/>
      <c r="M46" s="3347"/>
      <c r="N46" s="3347"/>
      <c r="O46" s="3347"/>
    </row>
    <row r="47" spans="1:15" ht="12" customHeight="1">
      <c r="A47" s="152" t="s">
        <v>1332</v>
      </c>
      <c r="B47" s="153"/>
      <c r="C47" s="154"/>
      <c r="D47" s="1023" t="s">
        <v>1333</v>
      </c>
      <c r="E47" s="294" t="s">
        <v>1334</v>
      </c>
      <c r="F47" s="155" t="s">
        <v>1335</v>
      </c>
      <c r="G47" s="2332" t="s">
        <v>1336</v>
      </c>
      <c r="H47" s="2333"/>
      <c r="I47" s="151"/>
      <c r="J47" s="2309">
        <v>2</v>
      </c>
      <c r="K47" s="3327" t="s">
        <v>1337</v>
      </c>
      <c r="L47" s="3327"/>
      <c r="M47" s="3348">
        <f>'数据-取费表'!B2</f>
        <v>45793</v>
      </c>
      <c r="N47" s="3348"/>
      <c r="O47" s="3348"/>
    </row>
    <row r="48" spans="1:15" ht="25.5">
      <c r="A48" s="3296" t="s">
        <v>1338</v>
      </c>
      <c r="B48" s="3279"/>
      <c r="C48" s="3279"/>
      <c r="D48" s="12">
        <f ca="1">IF(H48="情况1",0,IF(H48="情况2",D52,IF(H48="情况3",D53,IF(H48="情况4",D54))))</f>
        <v>10</v>
      </c>
      <c r="E48" s="1255" t="str">
        <f>IF(H48="情况4","(销售额-原购置价)×税（费）率","销售额×税（费）率")</f>
        <v>(销售额-原购置价)×税（费）率</v>
      </c>
      <c r="F48" s="2334">
        <f>IF(H48="情况1","免征",'数据-取费表'!B41)</f>
        <v>5.6000000000000001E-2</v>
      </c>
      <c r="G48" s="2335" t="s">
        <v>1339</v>
      </c>
      <c r="H48" s="2336" t="s">
        <v>3439</v>
      </c>
      <c r="I48" s="1667"/>
      <c r="J48" s="2309">
        <v>3</v>
      </c>
      <c r="K48" s="3327" t="s">
        <v>1340</v>
      </c>
      <c r="L48" s="3327"/>
      <c r="M48" s="3349">
        <f ca="1">H101</f>
        <v>1435</v>
      </c>
      <c r="N48" s="3349"/>
      <c r="O48" s="3349"/>
    </row>
    <row r="49" spans="1:35" ht="25.5" customHeight="1">
      <c r="A49" s="2151" t="s">
        <v>1341</v>
      </c>
      <c r="B49" s="3263" t="s">
        <v>1342</v>
      </c>
      <c r="C49" s="3263"/>
      <c r="D49" s="1477">
        <v>0</v>
      </c>
      <c r="E49" s="316" t="s">
        <v>1343</v>
      </c>
      <c r="F49" s="2232" t="s">
        <v>28</v>
      </c>
      <c r="G49" s="3333"/>
      <c r="H49" s="2133" t="s">
        <v>2134</v>
      </c>
      <c r="I49" s="2134"/>
      <c r="J49" s="2309">
        <v>4</v>
      </c>
      <c r="K49" s="3327" t="str">
        <f>IF(项目基本情况!E8="房地产抵押价值","房地产抵押价值","抵押担保权已注销时的房地产抵押价值")</f>
        <v>房地产抵押价值</v>
      </c>
      <c r="L49" s="3327"/>
      <c r="M49" s="3349">
        <f ca="1">IF(项目基本情况!E8="房地产抵押价值",H107,H109)</f>
        <v>1435</v>
      </c>
      <c r="N49" s="3349"/>
      <c r="O49" s="3349"/>
    </row>
    <row r="50" spans="1:35" ht="25.5" customHeight="1">
      <c r="A50" s="2337"/>
      <c r="B50" s="3263" t="s">
        <v>1344</v>
      </c>
      <c r="C50" s="3263"/>
      <c r="D50" s="2188"/>
      <c r="E50" s="323"/>
      <c r="F50" s="2232"/>
      <c r="G50" s="3334"/>
      <c r="H50" s="2135" t="s">
        <v>2135</v>
      </c>
      <c r="I50" s="2134"/>
      <c r="J50" s="3346" t="s">
        <v>1345</v>
      </c>
      <c r="K50" s="3346"/>
      <c r="L50" s="3346"/>
      <c r="M50" s="3346"/>
      <c r="N50" s="3346"/>
      <c r="O50" s="3346"/>
    </row>
    <row r="51" spans="1:35" ht="20.45" customHeight="1">
      <c r="A51" s="2338"/>
      <c r="B51" s="3263" t="s">
        <v>1346</v>
      </c>
      <c r="C51" s="3263"/>
      <c r="D51" s="1023"/>
      <c r="E51" s="319"/>
      <c r="F51" s="2232"/>
      <c r="G51" s="3335"/>
      <c r="H51" s="2135" t="s">
        <v>2136</v>
      </c>
      <c r="I51" s="2134"/>
      <c r="J51" s="2310" t="s">
        <v>1347</v>
      </c>
      <c r="K51" s="3327" t="s">
        <v>1348</v>
      </c>
      <c r="L51" s="3327"/>
      <c r="M51" s="2310" t="s">
        <v>1349</v>
      </c>
      <c r="N51" s="2310" t="s">
        <v>1350</v>
      </c>
      <c r="O51" s="2310" t="s">
        <v>1351</v>
      </c>
    </row>
    <row r="52" spans="1:35" ht="24" customHeight="1">
      <c r="A52" s="2152" t="s">
        <v>1352</v>
      </c>
      <c r="B52" s="3263" t="s">
        <v>1353</v>
      </c>
      <c r="C52" s="3263"/>
      <c r="D52" s="1023">
        <f ca="1">ROUND(D45*'数据-取费表'!B41/(1+'数据-取费表'!C42),0)</f>
        <v>77</v>
      </c>
      <c r="E52" s="1255" t="s">
        <v>1354</v>
      </c>
      <c r="F52" s="2339">
        <f>'数据-取费表'!B41</f>
        <v>5.6000000000000001E-2</v>
      </c>
      <c r="G52" s="2340"/>
      <c r="H52" s="2330"/>
      <c r="I52" s="1668"/>
      <c r="J52" s="2309">
        <v>1</v>
      </c>
      <c r="K52" s="3328" t="s">
        <v>1355</v>
      </c>
      <c r="L52" s="3328"/>
      <c r="M52" s="2311">
        <f ca="1">D48</f>
        <v>10</v>
      </c>
      <c r="N52" s="2309" t="str">
        <f>E48</f>
        <v>(销售额-原购置价)×税（费）率</v>
      </c>
      <c r="O52" s="2312">
        <f>F48</f>
        <v>5.6000000000000001E-2</v>
      </c>
    </row>
    <row r="53" spans="1:35" ht="12" customHeight="1">
      <c r="A53" s="2152" t="s">
        <v>1356</v>
      </c>
      <c r="B53" s="3289" t="s">
        <v>2291</v>
      </c>
      <c r="C53" s="3290"/>
      <c r="D53" s="1023">
        <f ca="1">ROUND(D45*'数据-取费表'!B41/(1+'数据-取费表'!C42),0)</f>
        <v>77</v>
      </c>
      <c r="E53" s="1255" t="s">
        <v>1354</v>
      </c>
      <c r="F53" s="2339">
        <f>'数据-取费表'!B41</f>
        <v>5.6000000000000001E-2</v>
      </c>
      <c r="G53" s="2340"/>
      <c r="H53" s="2330"/>
      <c r="I53" s="1668"/>
      <c r="J53" s="2309">
        <v>2</v>
      </c>
      <c r="K53" s="3328" t="s">
        <v>1357</v>
      </c>
      <c r="L53" s="3328"/>
      <c r="M53" s="2311">
        <f t="shared" ref="M53:O54" ca="1" si="0">D55</f>
        <v>1</v>
      </c>
      <c r="N53" s="2309" t="str">
        <f t="shared" si="0"/>
        <v>销售额×税（费）率</v>
      </c>
      <c r="O53" s="2312">
        <f t="shared" si="0"/>
        <v>5.0000000000000001E-4</v>
      </c>
    </row>
    <row r="54" spans="1:35" ht="12" customHeight="1">
      <c r="A54" s="2152" t="s">
        <v>1358</v>
      </c>
      <c r="B54" s="3289" t="s">
        <v>2292</v>
      </c>
      <c r="C54" s="3290"/>
      <c r="D54" s="1023">
        <f ca="1">C68</f>
        <v>10</v>
      </c>
      <c r="E54" s="319" t="s">
        <v>1359</v>
      </c>
      <c r="F54" s="2339">
        <f>'数据-取费表'!B41</f>
        <v>5.6000000000000001E-2</v>
      </c>
      <c r="G54" s="2340"/>
      <c r="H54" s="2341"/>
      <c r="I54" s="1668"/>
      <c r="J54" s="2309">
        <v>3</v>
      </c>
      <c r="K54" s="3328" t="s">
        <v>1360</v>
      </c>
      <c r="L54" s="3328"/>
      <c r="M54" s="2311">
        <f t="shared" ca="1" si="0"/>
        <v>0</v>
      </c>
      <c r="N54" s="2309" t="str">
        <f t="shared" si="0"/>
        <v>增值额×税（费）率</v>
      </c>
      <c r="O54" s="2313" t="str">
        <f t="shared" si="0"/>
        <v>——</v>
      </c>
    </row>
    <row r="55" spans="1:35" ht="24" customHeight="1">
      <c r="A55" s="3278" t="s">
        <v>1361</v>
      </c>
      <c r="B55" s="3279"/>
      <c r="C55" s="3279"/>
      <c r="D55" s="12">
        <f ca="1">IF(H55="个人住宅",0,ROUND(D45*I55,0))</f>
        <v>1</v>
      </c>
      <c r="E55" s="1255" t="s">
        <v>1362</v>
      </c>
      <c r="F55" s="2339">
        <f>IF(H55="正常",I55,"免征")</f>
        <v>5.0000000000000001E-4</v>
      </c>
      <c r="G55" s="2340"/>
      <c r="H55" s="2336" t="s">
        <v>3440</v>
      </c>
      <c r="I55" s="157">
        <f>'数据-取费表'!B49</f>
        <v>5.0000000000000001E-4</v>
      </c>
      <c r="J55" s="2309">
        <f>IF(H59="非个人房产","",4)</f>
        <v>4</v>
      </c>
      <c r="K55" s="3328" t="str">
        <f>IF(H59="非个人房产","——","个人所得税")</f>
        <v>个人所得税</v>
      </c>
      <c r="L55" s="3328"/>
      <c r="M55" s="2314">
        <f ca="1">D59</f>
        <v>35</v>
      </c>
      <c r="N55" s="1882" t="str">
        <f>E59</f>
        <v>差额计税</v>
      </c>
      <c r="O55" s="2315">
        <f>F59</f>
        <v>0.2</v>
      </c>
    </row>
    <row r="56" spans="1:35" ht="24.75">
      <c r="A56" s="3278" t="s">
        <v>1363</v>
      </c>
      <c r="B56" s="3279"/>
      <c r="C56" s="3279"/>
      <c r="D56" s="12">
        <f ca="1">IF(H56="个人住宅",D57,D58)</f>
        <v>0</v>
      </c>
      <c r="E56" s="1255" t="s">
        <v>1364</v>
      </c>
      <c r="F56" s="2339" t="str">
        <f>IF(H56="正常",F58,"免征")</f>
        <v>——</v>
      </c>
      <c r="G56" s="2342" t="s">
        <v>1365</v>
      </c>
      <c r="H56" s="2343" t="s">
        <v>3440</v>
      </c>
      <c r="I56" s="1669"/>
      <c r="J56" s="2309" t="str">
        <f>IF(项目基本情况!K6="上海银行",IF(J55="",4,J55+1),"")</f>
        <v/>
      </c>
      <c r="K56" s="3351" t="str">
        <f>IF(项目基本情况!K6="上海银行","其他处置费用","")</f>
        <v/>
      </c>
      <c r="L56" s="3352"/>
      <c r="M56" s="2311" t="str">
        <f>IF(项目基本情况!K6="上海银行",M69,"")</f>
        <v/>
      </c>
      <c r="N56" s="3351" t="str">
        <f>IF(项目基本情况!K6="上海银行","包含处置中涉及的律师、诉讼、拍卖、评估等费用","")</f>
        <v/>
      </c>
      <c r="O56" s="3354"/>
    </row>
    <row r="57" spans="1:35" ht="12.75">
      <c r="A57" s="2152" t="s">
        <v>1341</v>
      </c>
      <c r="B57" s="3289" t="s">
        <v>1366</v>
      </c>
      <c r="C57" s="3290"/>
      <c r="D57" s="1477">
        <v>0</v>
      </c>
      <c r="E57" s="316" t="s">
        <v>1343</v>
      </c>
      <c r="F57" s="294"/>
      <c r="G57" s="2340"/>
      <c r="H57" s="2344"/>
      <c r="I57" s="1669"/>
      <c r="J57" s="3328">
        <f>IF(AND(J55="",J56=""),4,IF(项目基本情况!K6="上海银行",结果表!J56+1,结果表!J55+1))</f>
        <v>5</v>
      </c>
      <c r="K57" s="3328" t="s">
        <v>1367</v>
      </c>
      <c r="L57" s="2316" t="s">
        <v>1368</v>
      </c>
      <c r="M57" s="2317"/>
      <c r="N57" s="2318">
        <f ca="1">SUMIF(M52:M56,"&lt;9e307")</f>
        <v>46</v>
      </c>
      <c r="O57" s="2319"/>
      <c r="P57" s="2463">
        <f ca="1">N57/M49</f>
        <v>3.2055749128919862E-2</v>
      </c>
    </row>
    <row r="58" spans="1:35" ht="24.75">
      <c r="A58" s="2152" t="s">
        <v>1352</v>
      </c>
      <c r="B58" s="3289" t="s">
        <v>1369</v>
      </c>
      <c r="C58" s="3263"/>
      <c r="D58" s="12">
        <f ca="1">IF(H58="转让取得",C81,C97)</f>
        <v>0</v>
      </c>
      <c r="E58" s="1255" t="s">
        <v>1364</v>
      </c>
      <c r="F58" s="294" t="s">
        <v>28</v>
      </c>
      <c r="G58" s="2340"/>
      <c r="H58" s="2343" t="s">
        <v>3441</v>
      </c>
      <c r="I58" s="1669"/>
      <c r="J58" s="3328"/>
      <c r="K58" s="3328"/>
      <c r="L58" s="2316" t="s">
        <v>1370</v>
      </c>
      <c r="M58" s="2320"/>
      <c r="N58" s="2321" t="str">
        <f ca="1">NUMBERSTRING(INT(N57*10000),2)&amp;"元整"</f>
        <v>肆拾陆万元整</v>
      </c>
      <c r="O58" s="2322"/>
    </row>
    <row r="59" spans="1:35" ht="24.75" thickBot="1">
      <c r="A59" s="3331" t="s">
        <v>1371</v>
      </c>
      <c r="B59" s="3332"/>
      <c r="C59" s="3332"/>
      <c r="D59" s="2345">
        <f ca="1">IF(H59="非个人房产","——",IF(H59="个人住宅（满五唯一有凭证）",0,IF(H59="个人其他（无凭证）",ROUND(D45*F59,0),ROUND(C67*F59,0))))</f>
        <v>35</v>
      </c>
      <c r="E59" s="2346" t="str">
        <f>IF(H59="非个人房产","——",IF(H59="个人其他（无凭证）","销售额×税（费）率",IF(H59="个人住宅（满五唯一有凭证）","免征","差额计税")))</f>
        <v>差额计税</v>
      </c>
      <c r="F59" s="2347">
        <f>IF(OR(H59="非个人房产",H59="个人住宅（满五唯一有凭证）"),"——",IF(H59="个人其他（有凭证）",20%,1%))</f>
        <v>0.2</v>
      </c>
      <c r="G59" s="2348" t="s">
        <v>1365</v>
      </c>
      <c r="H59" s="2137" t="s">
        <v>3442</v>
      </c>
      <c r="I59" s="2136" t="s">
        <v>2137</v>
      </c>
      <c r="J59" s="3329">
        <f>J57+1</f>
        <v>6</v>
      </c>
      <c r="K59" s="3328" t="s">
        <v>1372</v>
      </c>
      <c r="L59" s="2309" t="s">
        <v>1368</v>
      </c>
      <c r="M59" s="2323"/>
      <c r="N59" s="2324">
        <f ca="1">M49-N57</f>
        <v>1389</v>
      </c>
      <c r="O59" s="2325"/>
    </row>
    <row r="60" spans="1:35" ht="12" customHeight="1">
      <c r="A60" s="1670"/>
      <c r="B60" s="645"/>
      <c r="C60" s="645"/>
      <c r="D60" s="645"/>
      <c r="E60" s="1465"/>
      <c r="F60" s="1669"/>
      <c r="G60" s="1669"/>
      <c r="H60" s="151"/>
      <c r="I60" s="121"/>
      <c r="J60" s="3330"/>
      <c r="K60" s="3328"/>
      <c r="L60" s="2316" t="s">
        <v>1370</v>
      </c>
      <c r="M60" s="2320"/>
      <c r="N60" s="2321" t="str">
        <f ca="1">NUMBERSTRING(INT(N59*10000),2)&amp;"元整"</f>
        <v>壹仟叁佰捌拾玖万元整</v>
      </c>
      <c r="O60" s="2322"/>
    </row>
    <row r="61" spans="1:35" ht="13.5" thickBot="1">
      <c r="A61" s="3276" t="s">
        <v>1373</v>
      </c>
      <c r="B61" s="3276"/>
      <c r="C61" s="3276"/>
      <c r="D61" s="3276"/>
      <c r="E61" s="3276"/>
      <c r="F61" s="1669"/>
      <c r="G61" s="1669"/>
      <c r="H61" s="151"/>
      <c r="I61" s="121"/>
      <c r="J61" s="2309">
        <f>J59+1</f>
        <v>7</v>
      </c>
      <c r="K61" s="3328" t="s">
        <v>1374</v>
      </c>
      <c r="L61" s="3328"/>
      <c r="M61" s="2326"/>
      <c r="N61" s="2327">
        <f ca="1">ROUND(N59*10000/'数据-汇总表'!E3,0)</f>
        <v>30424</v>
      </c>
      <c r="O61" s="2328"/>
    </row>
    <row r="62" spans="1:35" ht="12.75">
      <c r="A62" s="3294" t="s">
        <v>1375</v>
      </c>
      <c r="B62" s="3295"/>
      <c r="C62" s="1864"/>
      <c r="D62" s="1864" t="s">
        <v>1376</v>
      </c>
      <c r="E62" s="158" t="s">
        <v>1377</v>
      </c>
      <c r="F62" s="1669"/>
      <c r="G62" s="1669"/>
      <c r="H62" s="151"/>
      <c r="I62" s="121"/>
    </row>
    <row r="63" spans="1:35" ht="12.75">
      <c r="A63" s="165" t="s">
        <v>330</v>
      </c>
      <c r="B63" s="159" t="s">
        <v>1378</v>
      </c>
      <c r="C63" s="2349">
        <f ca="1">ROUND((C64+C65)/(1+'数据-取费表'!C42),0)</f>
        <v>1367</v>
      </c>
      <c r="D63" s="159"/>
      <c r="E63" s="160"/>
      <c r="F63" s="1669"/>
      <c r="G63" s="1669"/>
      <c r="H63" s="151"/>
      <c r="I63" s="121"/>
      <c r="J63" s="3353" t="s">
        <v>1379</v>
      </c>
      <c r="K63" s="1244" t="s">
        <v>1380</v>
      </c>
      <c r="L63" s="1244">
        <f ca="1">IF(M49&gt;10000,M49*0.5%,IF(AND(M49&gt;1000,M49&lt;=10000),M49*1%,IF(AND(M49&gt;100,M49&lt;=1000),M49*3%,IF(AND(M49&gt;10,M49&lt;=100),M49*5%,M49*8%))))</f>
        <v>14.35</v>
      </c>
      <c r="M63" s="294">
        <f ca="1">ROUND(L63,1)</f>
        <v>14.4</v>
      </c>
      <c r="N63" s="2329"/>
      <c r="Z63" s="1622"/>
      <c r="AI63" s="1560"/>
    </row>
    <row r="64" spans="1:35" ht="14.25" customHeight="1">
      <c r="A64" s="161" t="s">
        <v>325</v>
      </c>
      <c r="B64" s="162" t="s">
        <v>1381</v>
      </c>
      <c r="C64" s="2350">
        <f ca="1">D45</f>
        <v>1435</v>
      </c>
      <c r="D64" s="162" t="s">
        <v>26</v>
      </c>
      <c r="E64" s="164"/>
      <c r="F64" s="1669"/>
      <c r="G64" s="1669"/>
      <c r="H64" s="151"/>
      <c r="I64" s="121"/>
      <c r="J64" s="3353"/>
      <c r="K64" s="1244" t="s">
        <v>1382</v>
      </c>
      <c r="L64" s="1244">
        <f ca="1">IF(M49&gt;2000,M49*0.5%,IF(AND(M49&gt;1000,M49&lt;=2000),M49*0.6%,IF(AND(M49&gt;500,M49&lt;=1000),M49*0.7%,IF(AND(M49&gt;200,M49&lt;=500),M49*0.8%,IF(AND(M49&gt;100,M49&lt;=200),M49*0.9%,IF(AND(M49&gt;50,M49&lt;=100),M49*1%,IF(AND(M49&gt;20,M49&lt;=50),M49*1.5%,IF(AND(M49&gt;10,M49&lt;=20),M49*2%,IF(AND(M49&gt;1,M49&lt;=10),M49*2.5%)))))))))</f>
        <v>8.61</v>
      </c>
      <c r="M64" s="294">
        <f t="shared" ref="M64:M65" ca="1" si="1">ROUND(L64,1)</f>
        <v>8.6</v>
      </c>
      <c r="N64" s="2330" t="s">
        <v>1383</v>
      </c>
      <c r="Z64" s="1622"/>
      <c r="AI64" s="1560"/>
    </row>
    <row r="65" spans="1:35" ht="14.25" customHeight="1">
      <c r="A65" s="161" t="s">
        <v>326</v>
      </c>
      <c r="B65" s="162" t="s">
        <v>1384</v>
      </c>
      <c r="C65" s="2351"/>
      <c r="D65" s="162"/>
      <c r="E65" s="164"/>
      <c r="F65" s="1669"/>
      <c r="G65" s="1669"/>
      <c r="H65" s="151"/>
      <c r="I65" s="121"/>
      <c r="J65" s="3353"/>
      <c r="K65" s="1244" t="s">
        <v>1385</v>
      </c>
      <c r="L65" s="1244">
        <f ca="1">IF(M49&gt;1000,M49*0.1%,IF(AND(M49&gt;500,M49&lt;=1000),M49*0.5%,IF(AND(M49&gt;50,M49&lt;=500),M49*1%,IF(AND(M49&gt;1,M49&lt;=50),M49*1.5%))))</f>
        <v>1.4350000000000001</v>
      </c>
      <c r="M65" s="294">
        <f t="shared" ca="1" si="1"/>
        <v>1.4</v>
      </c>
      <c r="N65" s="2330" t="s">
        <v>1383</v>
      </c>
      <c r="Z65" s="1622"/>
      <c r="AI65" s="1560"/>
    </row>
    <row r="66" spans="1:35" ht="14.25" customHeight="1">
      <c r="A66" s="165" t="s">
        <v>327</v>
      </c>
      <c r="B66" s="166" t="s">
        <v>1386</v>
      </c>
      <c r="C66" s="2352">
        <f>C75</f>
        <v>1192.93308</v>
      </c>
      <c r="D66" s="166" t="s">
        <v>26</v>
      </c>
      <c r="E66" s="1250" t="s">
        <v>671</v>
      </c>
      <c r="F66" s="1669"/>
      <c r="G66" s="1669"/>
      <c r="H66" s="151"/>
      <c r="I66" s="121"/>
      <c r="J66" s="3353"/>
      <c r="K66" s="1244" t="s">
        <v>1387</v>
      </c>
      <c r="L66" s="1244">
        <f ca="1">M49*0.5%</f>
        <v>7.1749999999999998</v>
      </c>
      <c r="M66" s="294">
        <f ca="1">IF(L66&gt;0.5,0.5,ROUND(L66,0))</f>
        <v>0.5</v>
      </c>
      <c r="N66" s="2330" t="s">
        <v>1388</v>
      </c>
      <c r="Z66" s="1622"/>
      <c r="AI66" s="1560"/>
    </row>
    <row r="67" spans="1:35" ht="14.25" customHeight="1">
      <c r="A67" s="165" t="s">
        <v>328</v>
      </c>
      <c r="B67" s="166" t="s">
        <v>1389</v>
      </c>
      <c r="C67" s="2353">
        <f ca="1">C63-C66</f>
        <v>174.06691999999998</v>
      </c>
      <c r="D67" s="162" t="s">
        <v>26</v>
      </c>
      <c r="E67" s="164"/>
      <c r="F67" s="1669"/>
      <c r="G67" s="1669"/>
      <c r="H67" s="151"/>
      <c r="I67" s="121"/>
      <c r="J67" s="3353"/>
      <c r="K67" s="1244" t="s">
        <v>1390</v>
      </c>
      <c r="L67" s="1244">
        <f ca="1">IF(M49&gt;=10000,(8.25+(M49-10000)*0.01%),IF(AND(M49&gt;=8000,M49&lt;10000),(7.85+(M49-8000)*0.02%),IF(AND(M49&gt;=5000,M49&lt;8000),(6.65+(M49-5000)*0.04%),IF(AND(M49&gt;=2000,M49&lt;5000),(4.25+(PM49-2000)*0.08%),IF(AND(M49&gt;=1000,M49&lt;2000),(2.75+(M49-1000)*0.15%),IF(AND(M49&gt;=100,M49&lt;1000),(0.5+(M49-100)*0.25%),IF(AND(M49&gt;0,M49&lt;100),M49*0.5%)))))))</f>
        <v>3.4024999999999999</v>
      </c>
      <c r="M67" s="294">
        <f ca="1">ROUND(L67*0.9,1)</f>
        <v>3.1</v>
      </c>
      <c r="N67" s="2329"/>
      <c r="Z67" s="1622"/>
      <c r="AI67" s="1560"/>
    </row>
    <row r="68" spans="1:35" ht="14.25" customHeight="1" thickBot="1">
      <c r="A68" s="168" t="s">
        <v>329</v>
      </c>
      <c r="B68" s="169" t="s">
        <v>1391</v>
      </c>
      <c r="C68" s="2354">
        <f ca="1">IF(C67&lt;=0,0,ROUND(C67*D68,0))</f>
        <v>10</v>
      </c>
      <c r="D68" s="2355">
        <f>'数据-取费表'!B41</f>
        <v>5.6000000000000001E-2</v>
      </c>
      <c r="E68" s="170"/>
      <c r="F68" s="1669"/>
      <c r="G68" s="1669"/>
      <c r="H68" s="151"/>
      <c r="I68" s="121"/>
      <c r="J68" s="3353"/>
      <c r="K68" s="1244" t="s">
        <v>1392</v>
      </c>
      <c r="L68" s="1244">
        <f ca="1">IF(M49&gt;10000,M49*0.5%,IF(AND(M49&gt;5000,M49&lt;=10000),M49*1%,IF(AND(M49&gt;1000,M49&lt;=5000),M49*2%,IF(AND(M49&gt;200,M49&lt;=1000),M49*3%,M49*5%))))</f>
        <v>28.7</v>
      </c>
      <c r="M68" s="294">
        <f ca="1">ROUND(L68,1)</f>
        <v>28.7</v>
      </c>
      <c r="N68" s="2329"/>
      <c r="Z68" s="1622"/>
      <c r="AI68" s="1560"/>
    </row>
    <row r="69" spans="1:35" ht="16.5" customHeight="1">
      <c r="A69" s="1671"/>
      <c r="B69" s="1672"/>
      <c r="C69" s="1673"/>
      <c r="D69" s="1674"/>
      <c r="E69" s="1675"/>
      <c r="F69" s="1465"/>
      <c r="G69" s="1465"/>
      <c r="H69" s="1466"/>
      <c r="I69" s="645"/>
      <c r="J69" s="3353"/>
      <c r="K69" s="1244" t="s">
        <v>1393</v>
      </c>
      <c r="L69" s="1244"/>
      <c r="M69" s="294">
        <f ca="1">ROUND(SUM(M63:M68),0)</f>
        <v>57</v>
      </c>
      <c r="N69" s="2331">
        <f ca="1">M69/M49</f>
        <v>3.9721254355400699E-2</v>
      </c>
      <c r="Z69" s="1622"/>
      <c r="AI69" s="1560"/>
    </row>
    <row r="70" spans="1:35" s="641" customFormat="1" ht="15" thickBot="1">
      <c r="A70" s="3315" t="s">
        <v>1394</v>
      </c>
      <c r="B70" s="3316"/>
      <c r="C70" s="3316"/>
      <c r="D70" s="3316"/>
      <c r="E70" s="3316"/>
      <c r="F70" s="3316"/>
      <c r="G70" s="3316"/>
      <c r="H70" s="331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4" t="s">
        <v>1375</v>
      </c>
      <c r="B71" s="329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1367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2132</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2124</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v>1192.93308</v>
      </c>
      <c r="D75" s="162" t="s">
        <v>26</v>
      </c>
      <c r="E75" s="176" t="s">
        <v>1399</v>
      </c>
      <c r="F75" s="2357" t="s">
        <v>3443</v>
      </c>
      <c r="G75" s="176" t="s">
        <v>1400</v>
      </c>
      <c r="H75" s="2358">
        <v>15</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895</v>
      </c>
      <c r="D76" s="2359">
        <v>0.05</v>
      </c>
      <c r="E76" s="3289" t="s">
        <v>1402</v>
      </c>
      <c r="F76" s="3263"/>
      <c r="G76" s="3263"/>
      <c r="H76" s="331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36</v>
      </c>
      <c r="D77" s="2360">
        <f>'数据-取费表'!B48+'数据-取费表'!B49</f>
        <v>3.0499999999999999E-2</v>
      </c>
      <c r="E77" s="12" t="s">
        <v>1404</v>
      </c>
      <c r="F77" s="178"/>
      <c r="G77" s="1681" t="s">
        <v>3444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8</v>
      </c>
      <c r="D78" s="2362">
        <f>'数据-取费表'!B43</f>
        <v>6.000000000000001E-3</v>
      </c>
      <c r="E78" s="3273" t="s">
        <v>1406</v>
      </c>
      <c r="F78" s="3274"/>
      <c r="G78" s="3274"/>
      <c r="H78" s="328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-765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5" t="s">
        <v>1410</v>
      </c>
      <c r="B83" s="3316"/>
      <c r="C83" s="3316"/>
      <c r="D83" s="3316"/>
      <c r="E83" s="3316"/>
      <c r="F83" s="3316"/>
      <c r="G83" s="3316"/>
      <c r="H83" s="331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4" t="s">
        <v>1375</v>
      </c>
      <c r="B84" s="329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1367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8</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55" t="s">
        <v>2129</v>
      </c>
      <c r="H90" s="3356"/>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73" t="s">
        <v>1419</v>
      </c>
      <c r="F91" s="3274"/>
      <c r="G91" s="327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73" t="s">
        <v>1422</v>
      </c>
      <c r="F92" s="3274"/>
      <c r="G92" s="3274"/>
      <c r="H92" s="3283"/>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8</v>
      </c>
      <c r="D93" s="2362">
        <f>'数据-取费表'!B43</f>
        <v>6.000000000000001E-3</v>
      </c>
      <c r="E93" s="3273" t="s">
        <v>1406</v>
      </c>
      <c r="F93" s="3274"/>
      <c r="G93" s="3274"/>
      <c r="H93" s="328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84" t="s">
        <v>1426</v>
      </c>
      <c r="F94" s="3285"/>
      <c r="G94" s="3285"/>
      <c r="H94" s="328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1359</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169.875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813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57" t="s">
        <v>1428</v>
      </c>
      <c r="B100" s="3258"/>
      <c r="C100" s="3258"/>
      <c r="D100" s="3275"/>
      <c r="E100" s="3258" t="s">
        <v>1429</v>
      </c>
      <c r="F100" s="3258"/>
      <c r="G100" s="3258"/>
      <c r="H100" s="3275"/>
      <c r="I100" s="121"/>
    </row>
    <row r="101" spans="1:35" ht="18.75" customHeight="1">
      <c r="A101" s="3336" t="s">
        <v>1430</v>
      </c>
      <c r="B101" s="3337"/>
      <c r="C101" s="2370" t="str">
        <f>C4</f>
        <v>比较法-商业</v>
      </c>
      <c r="D101" s="2371" t="str">
        <f>D4</f>
        <v>收益法 (元)</v>
      </c>
      <c r="E101" s="3350" t="s">
        <v>1431</v>
      </c>
      <c r="F101" s="3307"/>
      <c r="G101" s="1686" t="s">
        <v>1432</v>
      </c>
      <c r="H101" s="2380">
        <f ca="1">H118</f>
        <v>1435</v>
      </c>
      <c r="I101" s="121"/>
    </row>
    <row r="102" spans="1:35" ht="18.75" customHeight="1">
      <c r="A102" s="3309" t="s">
        <v>1433</v>
      </c>
      <c r="B102" s="2369" t="s">
        <v>1432</v>
      </c>
      <c r="C102" s="2370">
        <f ca="1">IF(D32="楼面单价",ROUND(C19,0),C19)</f>
        <v>1767</v>
      </c>
      <c r="D102" s="2371">
        <f ca="1">IF(D32="楼面单价",ROUND(D19,0),D19)</f>
        <v>662</v>
      </c>
      <c r="E102" s="3350"/>
      <c r="F102" s="3307"/>
      <c r="G102" s="1686" t="s">
        <v>1434</v>
      </c>
      <c r="H102" s="2340">
        <f ca="1">I118</f>
        <v>31438</v>
      </c>
      <c r="I102" s="121"/>
    </row>
    <row r="103" spans="1:35" ht="42.75" customHeight="1">
      <c r="A103" s="3309"/>
      <c r="B103" s="2369" t="s">
        <v>1434</v>
      </c>
      <c r="C103" s="2372">
        <f ca="1">C20</f>
        <v>38699</v>
      </c>
      <c r="D103" s="2373">
        <f ca="1">D20</f>
        <v>14496</v>
      </c>
      <c r="E103" s="3344" t="s">
        <v>1435</v>
      </c>
      <c r="F103" s="3345"/>
      <c r="G103" s="1687" t="s">
        <v>1436</v>
      </c>
      <c r="H103" s="2380">
        <f>IF(D36="正常操作",H104+H105+H106,H105+H106)</f>
        <v>0</v>
      </c>
      <c r="I103" s="121"/>
    </row>
    <row r="104" spans="1:35" ht="18.75" customHeight="1">
      <c r="A104" s="3309" t="s">
        <v>1437</v>
      </c>
      <c r="B104" s="2374" t="s">
        <v>1432</v>
      </c>
      <c r="C104" s="2375">
        <f ca="1">H118</f>
        <v>1435</v>
      </c>
      <c r="D104" s="2376"/>
      <c r="E104" s="1554" t="s">
        <v>1438</v>
      </c>
      <c r="F104" s="1547"/>
      <c r="G104" s="1687" t="s">
        <v>1436</v>
      </c>
      <c r="H104" s="2381">
        <f>IF(D36="同一抵押权人同一抵押物续贷",C36&amp;"（续贷，未扣减，详见特别提示）",C36)</f>
        <v>0</v>
      </c>
      <c r="I104" s="121"/>
    </row>
    <row r="105" spans="1:35" ht="18.75" customHeight="1" thickBot="1">
      <c r="A105" s="3310"/>
      <c r="B105" s="2377" t="s">
        <v>1434</v>
      </c>
      <c r="C105" s="2378">
        <f ca="1">I118</f>
        <v>31438</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06" t="str">
        <f>IF(项目基本情况!E8="已注销","——","3.房地产抵押价值")</f>
        <v>3.房地产抵押价值</v>
      </c>
      <c r="F107" s="3307"/>
      <c r="G107" s="1686" t="s">
        <v>1432</v>
      </c>
      <c r="H107" s="2380">
        <f ca="1">IF(E107="——","——",H101-H103)</f>
        <v>1435</v>
      </c>
      <c r="I107" s="121"/>
    </row>
    <row r="108" spans="1:35" ht="18.75" customHeight="1">
      <c r="A108" s="121"/>
      <c r="B108" s="121"/>
      <c r="C108" s="121"/>
      <c r="D108" s="121"/>
      <c r="E108" s="3306"/>
      <c r="F108" s="3307"/>
      <c r="G108" s="1686" t="s">
        <v>1434</v>
      </c>
      <c r="H108" s="2340">
        <f ca="1">IF(H107=H101,H102,ROUND(H107*10000/'数据-汇总表'!E3,0))</f>
        <v>31438</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307"/>
      <c r="G109" s="1686" t="s">
        <v>1432</v>
      </c>
      <c r="H109" s="2383" t="str">
        <f>IF(E109="——","——",H101-H105-H106)</f>
        <v>——</v>
      </c>
      <c r="I109" s="121"/>
    </row>
    <row r="110" spans="1:35" ht="18.75" customHeight="1">
      <c r="A110" s="121"/>
      <c r="B110" s="121"/>
      <c r="C110" s="121"/>
      <c r="D110" s="121"/>
      <c r="E110" s="3306"/>
      <c r="F110" s="3307"/>
      <c r="G110" s="1686" t="s">
        <v>1434</v>
      </c>
      <c r="H110" s="2340" t="str">
        <f>IF(H109="——","——",ROUND(H109*10000/'数据-汇总表'!E3,0))</f>
        <v>——</v>
      </c>
      <c r="I110" s="121"/>
    </row>
    <row r="111" spans="1:35" ht="18.75" customHeight="1">
      <c r="A111" s="121"/>
      <c r="B111" s="121"/>
      <c r="C111" s="121"/>
      <c r="D111" s="121"/>
      <c r="E111" s="3338" t="str">
        <f>IF(项目基本情况!E9="抵押净值",IF(OR(项目基本情况!E8="已注销",项目基本情况!E8="房地产抵押价值"),"4.抵押净值","5.抵押净值"),"——")</f>
        <v>——</v>
      </c>
      <c r="F111" s="3308"/>
      <c r="G111" s="1686" t="s">
        <v>1432</v>
      </c>
      <c r="H111" s="2380" t="str">
        <f>IF(E111="——","——",N59)</f>
        <v>——</v>
      </c>
      <c r="I111" s="121"/>
    </row>
    <row r="112" spans="1:35" ht="18.75" customHeight="1" thickBot="1">
      <c r="A112" s="121"/>
      <c r="B112" s="121"/>
      <c r="C112" s="121"/>
      <c r="D112" s="121"/>
      <c r="E112" s="3339"/>
      <c r="F112" s="3340"/>
      <c r="G112" s="1689" t="s">
        <v>1434</v>
      </c>
      <c r="H112" s="2384" t="str">
        <f>IF(E111="——","——",N61)</f>
        <v>——</v>
      </c>
      <c r="I112" s="121"/>
    </row>
    <row r="113" spans="1:27" ht="18.75" customHeight="1">
      <c r="A113" s="121"/>
      <c r="B113" s="121"/>
      <c r="C113" s="121"/>
      <c r="D113" s="121"/>
      <c r="E113" s="3311" t="s">
        <v>1440</v>
      </c>
      <c r="F113" s="3311"/>
      <c r="G113" s="3311"/>
      <c r="H113" s="3311"/>
      <c r="I113" s="121"/>
    </row>
    <row r="114" spans="1:27" ht="3.75" customHeight="1">
      <c r="A114" s="645"/>
      <c r="B114" s="645"/>
      <c r="C114" s="645"/>
      <c r="D114" s="645"/>
      <c r="E114" s="1670"/>
      <c r="F114" s="1670"/>
      <c r="G114" s="1670"/>
      <c r="H114" s="1670"/>
      <c r="I114" s="645"/>
    </row>
    <row r="115" spans="1:27" ht="18.75" customHeight="1">
      <c r="A115" s="3321" t="s">
        <v>1442</v>
      </c>
      <c r="B115" s="3322"/>
      <c r="C115" s="3322"/>
      <c r="D115" s="3322"/>
      <c r="E115" s="3322"/>
      <c r="F115" s="3322"/>
      <c r="G115" s="3322"/>
      <c r="H115" s="3322"/>
      <c r="I115" s="3323"/>
    </row>
    <row r="116" spans="1:27" ht="27" customHeight="1">
      <c r="A116" s="3277" t="s">
        <v>1443</v>
      </c>
      <c r="B116" s="3312" t="s">
        <v>1444</v>
      </c>
      <c r="C116" s="3312" t="s">
        <v>1445</v>
      </c>
      <c r="D116" s="3325" t="s">
        <v>1446</v>
      </c>
      <c r="E116" s="3326"/>
      <c r="F116" s="3320" t="s">
        <v>1447</v>
      </c>
      <c r="G116" s="3320"/>
      <c r="H116" s="3277" t="s">
        <v>1448</v>
      </c>
      <c r="I116" s="3277"/>
    </row>
    <row r="117" spans="1:27" ht="18.75" customHeight="1">
      <c r="A117" s="3277"/>
      <c r="B117" s="3313"/>
      <c r="C117" s="3313"/>
      <c r="D117" s="2149" t="s">
        <v>1449</v>
      </c>
      <c r="E117" s="2149" t="s">
        <v>1450</v>
      </c>
      <c r="F117" s="2149" t="s">
        <v>1449</v>
      </c>
      <c r="G117" s="2149" t="s">
        <v>1451</v>
      </c>
      <c r="H117" s="2149" t="s">
        <v>1449</v>
      </c>
      <c r="I117" s="2149" t="s">
        <v>1451</v>
      </c>
    </row>
    <row r="118" spans="1:27" ht="24.75" customHeight="1">
      <c r="A118" s="2385" t="str">
        <f>项目基本情况!S2</f>
        <v>北京市大兴区黄村镇兴业大街76号楼1至2层1、2号商业用房房地产</v>
      </c>
      <c r="B118" s="2149">
        <f>M18</f>
        <v>456.55</v>
      </c>
      <c r="C118" s="2149">
        <f>M19</f>
        <v>0</v>
      </c>
      <c r="D118" s="2149">
        <f ca="1">ROUND(IF(D32="总价",C34,E118*B118/10000),0)</f>
        <v>1130</v>
      </c>
      <c r="E118" s="2149">
        <f ca="1">ROUND(IF(C33="自定义",IF(D32="楼面单价",C34,D118*10000/B118),I118-G118),0)</f>
        <v>24742</v>
      </c>
      <c r="F118" s="2149">
        <f ca="1">ROUND(IF(D32="总价",C35,G118*B118/10000),0)</f>
        <v>306</v>
      </c>
      <c r="G118" s="2149">
        <f ca="1">ROUND(IF(D32="楼面单价",C35,F118*10000/B118),0)</f>
        <v>6696</v>
      </c>
      <c r="H118" s="2149">
        <f ca="1">ROUND(IF(D32="总价",C32,I118*B118/10000),0)</f>
        <v>1435</v>
      </c>
      <c r="I118" s="2149">
        <f ca="1">ROUND(IF(D32="楼面单价",C32,H118*10000/B118),0)</f>
        <v>31438</v>
      </c>
    </row>
    <row r="119" spans="1:27" ht="18.75" customHeight="1">
      <c r="A119" s="3277" t="s">
        <v>1452</v>
      </c>
      <c r="B119" s="3277"/>
      <c r="C119" s="3277"/>
      <c r="D119" s="3317" t="str">
        <f ca="1">NUMBERSTRING(INT(D118*10000),2)&amp;"元整"</f>
        <v>壹仟壹佰叁拾万元整</v>
      </c>
      <c r="E119" s="3319"/>
      <c r="F119" s="3317" t="str">
        <f ca="1">NUMBERSTRING(INT(F118*10000),2)&amp;"元整"</f>
        <v>叁佰零陆万元整</v>
      </c>
      <c r="G119" s="3319"/>
      <c r="H119" s="3317" t="str">
        <f ca="1">NUMBERSTRING(INT(H118*10000),2)&amp;"元整"</f>
        <v>壹仟肆佰叁拾伍万元整</v>
      </c>
      <c r="I119" s="3319"/>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7" t="s">
        <v>1452</v>
      </c>
      <c r="B121" s="3318"/>
      <c r="C121" s="3319"/>
      <c r="D121" s="3317" t="str">
        <f>IF(D120=0,"零元整",NUMBERSTRING(INT(D120*10000),2)&amp;"元整")</f>
        <v>零元整</v>
      </c>
      <c r="E121" s="3318"/>
      <c r="F121" s="3318"/>
      <c r="G121" s="3318"/>
      <c r="H121" s="3318"/>
      <c r="I121" s="3319"/>
      <c r="AA121" s="683"/>
    </row>
    <row r="122" spans="1:27" ht="18.75" customHeight="1">
      <c r="A122" s="3308" t="str">
        <f>IF(项目基本情况!B9="房地产市场价值","",MID(E107,3,LEN(E107)-2))</f>
        <v>房地产抵押价值</v>
      </c>
      <c r="B122" s="3308"/>
      <c r="C122" s="3308"/>
      <c r="D122" s="3341">
        <f ca="1">H107</f>
        <v>1435</v>
      </c>
      <c r="E122" s="3342"/>
      <c r="F122" s="3342"/>
      <c r="G122" s="3342"/>
      <c r="H122" s="3342"/>
      <c r="I122" s="3343"/>
      <c r="AA122" s="683"/>
    </row>
    <row r="123" spans="1:27" ht="18.75" customHeight="1">
      <c r="A123" s="3277" t="s">
        <v>1452</v>
      </c>
      <c r="B123" s="3277"/>
      <c r="C123" s="3277"/>
      <c r="D123" s="3317" t="str">
        <f ca="1">NUMBERSTRING(INT(D122*10000),2)&amp;"元整"</f>
        <v>壹仟肆佰叁拾伍万元整</v>
      </c>
      <c r="E123" s="3318"/>
      <c r="F123" s="3318"/>
      <c r="G123" s="3318"/>
      <c r="H123" s="3318"/>
      <c r="I123" s="3319"/>
      <c r="AA123" s="683"/>
    </row>
    <row r="124" spans="1:27" ht="18.75" customHeight="1">
      <c r="A124" s="3308" t="str">
        <f>IF(项目基本情况!B9="房地产市场价值","",MID(E109,3,LEN(E109)-2))</f>
        <v/>
      </c>
      <c r="B124" s="3308"/>
      <c r="C124" s="3308"/>
      <c r="D124" s="3341" t="str">
        <f>H109</f>
        <v>——</v>
      </c>
      <c r="E124" s="3342"/>
      <c r="F124" s="3342"/>
      <c r="G124" s="3342"/>
      <c r="H124" s="3342"/>
      <c r="I124" s="3343"/>
      <c r="AA124" s="683"/>
    </row>
    <row r="125" spans="1:27" ht="18.75" customHeight="1">
      <c r="A125" s="3277" t="s">
        <v>1452</v>
      </c>
      <c r="B125" s="3277"/>
      <c r="C125" s="3277"/>
      <c r="D125" s="3317" t="e">
        <f>NUMBERSTRING(INT(D124*10000),2)&amp;"元整"</f>
        <v>#VALUE!</v>
      </c>
      <c r="E125" s="3318"/>
      <c r="F125" s="3318"/>
      <c r="G125" s="3318"/>
      <c r="H125" s="3318"/>
      <c r="I125" s="3319"/>
      <c r="AA125" s="683"/>
    </row>
    <row r="126" spans="1:27" ht="18.75" customHeight="1">
      <c r="A126" s="3308" t="str">
        <f>IF(项目基本情况!B9="房地产市场价值","",MID(E111,3,LEN(E111)-2))</f>
        <v/>
      </c>
      <c r="B126" s="3308"/>
      <c r="C126" s="3308"/>
      <c r="D126" s="3341" t="str">
        <f>H111</f>
        <v>——</v>
      </c>
      <c r="E126" s="3342"/>
      <c r="F126" s="3342"/>
      <c r="G126" s="3342"/>
      <c r="H126" s="3342"/>
      <c r="I126" s="3343"/>
      <c r="AA126" s="683"/>
    </row>
    <row r="127" spans="1:27" ht="18.75" customHeight="1">
      <c r="A127" s="3277" t="s">
        <v>1452</v>
      </c>
      <c r="B127" s="3277"/>
      <c r="C127" s="3277"/>
      <c r="D127" s="3317" t="e">
        <f>NUMBERSTRING(INT(D126*10000),2)&amp;"元整"</f>
        <v>#VALUE!</v>
      </c>
      <c r="E127" s="3318"/>
      <c r="F127" s="3318"/>
      <c r="G127" s="3318"/>
      <c r="H127" s="3318"/>
      <c r="I127" s="3319"/>
      <c r="AA127" s="683"/>
    </row>
    <row r="128" spans="1:27" ht="21.75" customHeight="1">
      <c r="A128" s="3324" t="s">
        <v>1453</v>
      </c>
      <c r="B128" s="3324"/>
      <c r="C128" s="3324"/>
      <c r="D128" s="3324"/>
      <c r="E128" s="3324"/>
      <c r="F128" s="3324"/>
      <c r="G128" s="3324"/>
      <c r="H128" s="3324"/>
      <c r="I128" s="332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180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3943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9</v>
      </c>
      <c r="D10" s="794">
        <f ca="1">IF(B1="",'数据-汇总表'!E6,IF(INDIRECT("'数据-取费表'!c"&amp;$G$1)="住宅",INDIRECT("'数据-取费表'!s"&amp;$G$1),INDIRECT("'数据-取费表'!k"&amp;$G$1)+INDIRECT("'数据-取费表'!s"&amp;$G$1)))</f>
        <v>456.55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456.55</v>
      </c>
      <c r="E19" s="203">
        <f>'数据-取费表'!B31</f>
        <v>200</v>
      </c>
      <c r="F19" s="223"/>
      <c r="G19" s="1713"/>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3.1E-2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1</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160</v>
      </c>
      <c r="D34" s="209"/>
      <c r="E34" s="212"/>
      <c r="F34" s="249">
        <f ca="1">IF('数据-取费表'!B24=0,1,IF(B1="",'数据-取费表'!N16,INDIRECT("'数据-取费表'!n"&amp;$G$1)))</f>
        <v>1</v>
      </c>
      <c r="G34" s="211" t="s">
        <v>1526</v>
      </c>
    </row>
    <row r="35" spans="1:7" ht="13.5" customHeight="1">
      <c r="A35" s="733" t="s">
        <v>351</v>
      </c>
      <c r="B35" s="207" t="s">
        <v>1527</v>
      </c>
      <c r="C35" s="212">
        <f ca="1">ROUND(C34*F35,0)</f>
        <v>8</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9</v>
      </c>
      <c r="D37" s="209">
        <f ca="1">D19</f>
        <v>456.55</v>
      </c>
      <c r="E37" s="241">
        <f>'数据-取费表'!B35</f>
        <v>200</v>
      </c>
      <c r="F37" s="251"/>
      <c r="G37" s="253" t="s">
        <v>1532</v>
      </c>
    </row>
    <row r="38" spans="1:7" ht="13.5" customHeight="1">
      <c r="A38" s="733"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6</v>
      </c>
      <c r="D42" s="230"/>
      <c r="E42" s="230"/>
      <c r="F42" s="231"/>
      <c r="G42" s="3357" t="s">
        <v>1544</v>
      </c>
    </row>
    <row r="43" spans="1:7" ht="13.5" customHeight="1">
      <c r="A43" s="733" t="s">
        <v>347</v>
      </c>
      <c r="B43" s="207" t="s">
        <v>1545</v>
      </c>
      <c r="C43" s="230">
        <f ca="1">ROUND(IF('数据-取费表'!B22&lt;=1,C39*F22*'数据-取费表'!B21/2,C39*(POWER((1+F22),'数据-取费表'!B21/2)-1)),0)</f>
        <v>0</v>
      </c>
      <c r="D43" s="230"/>
      <c r="E43" s="230"/>
      <c r="F43" s="231"/>
      <c r="G43" s="3358"/>
    </row>
    <row r="44" spans="1:7" ht="13.5" customHeight="1">
      <c r="A44" s="733" t="s">
        <v>348</v>
      </c>
      <c r="B44" s="207" t="s">
        <v>1546</v>
      </c>
      <c r="C44" s="230">
        <f ca="1">ROUND(IF('数据-取费表'!B22&lt;=1,C40*F22*'数据-取费表'!B21/2,C40*(POWER((1+F22),'数据-取费表'!B21/2)-1)),4)</f>
        <v>5.9999999999999995E-4</v>
      </c>
      <c r="D44" s="230"/>
      <c r="E44" s="230"/>
      <c r="F44" s="231"/>
      <c r="G44" s="3359"/>
    </row>
    <row r="45" spans="1:7" s="206" customFormat="1" ht="13.5" customHeight="1">
      <c r="A45" s="247" t="s">
        <v>1547</v>
      </c>
      <c r="B45" s="236" t="s">
        <v>1513</v>
      </c>
      <c r="C45" s="237">
        <f ca="1">C46</f>
        <v>28</v>
      </c>
      <c r="D45" s="227">
        <f ca="1">C47</f>
        <v>3.0000000000000001E-3</v>
      </c>
      <c r="E45" s="228" t="s">
        <v>1539</v>
      </c>
      <c r="F45" s="238">
        <f ca="1">F27</f>
        <v>0.15</v>
      </c>
      <c r="G45" s="239" t="s">
        <v>1548</v>
      </c>
    </row>
    <row r="46" spans="1:7" s="206" customFormat="1" ht="13.5" customHeight="1">
      <c r="A46" s="733" t="s">
        <v>346</v>
      </c>
      <c r="B46" s="240" t="s">
        <v>1549</v>
      </c>
      <c r="C46" s="241">
        <f ca="1">ROUND((C33+C39)*F27,0)</f>
        <v>28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237</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168</v>
      </c>
      <c r="D51" s="224"/>
      <c r="E51" s="224"/>
      <c r="F51" s="256"/>
      <c r="G51" s="226" t="s">
        <v>1560</v>
      </c>
    </row>
    <row r="52" spans="1:7" s="200" customFormat="1" ht="16.5" thickBot="1">
      <c r="A52" s="257" t="s">
        <v>1561</v>
      </c>
      <c r="B52" s="258"/>
      <c r="C52" s="259">
        <f ca="1">C31+C51</f>
        <v>180</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北京市大兴区黄村镇兴业大街76号楼1至2层1、2号商业用房房地产抵押价值预评估</v>
      </c>
      <c r="C37" s="3175"/>
      <c r="D37" s="3175"/>
      <c r="E37" s="3175"/>
      <c r="F37" s="3175"/>
      <c r="G37" s="3175"/>
      <c r="H37" s="3175"/>
      <c r="I37" s="317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193.2099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4232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91310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91310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91310</v>
      </c>
      <c r="D10" s="794">
        <f ca="1">IF(B1="",'数据-汇总表'!E6,IF(INDIRECT("'数据-取费表'!c"&amp;$G$1)="住宅",INDIRECT("'数据-取费表'!s"&amp;$G$1),INDIRECT("'数据-取费表'!k"&amp;$G$1)+INDIRECT("'数据-取费表'!s"&amp;$G$1)))</f>
        <v>456.55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91310</v>
      </c>
      <c r="D19" s="204">
        <f ca="1">D9+D10</f>
        <v>456.55</v>
      </c>
      <c r="E19" s="203">
        <f>'数据-取费表'!B31</f>
        <v>200</v>
      </c>
      <c r="F19" s="223"/>
      <c r="G19" s="1713"/>
    </row>
    <row r="20" spans="1:7" s="206" customFormat="1" ht="13.5" customHeight="1">
      <c r="A20" s="247" t="s">
        <v>1574</v>
      </c>
      <c r="B20" s="202" t="s">
        <v>1575</v>
      </c>
      <c r="C20" s="224">
        <f ca="1">ROUND((C5+C19)*F20,0)</f>
        <v>5479</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11668</v>
      </c>
      <c r="D22" s="227">
        <f ca="1">C26</f>
        <v>5.9999999999999995E-4</v>
      </c>
      <c r="E22" s="228" t="s">
        <v>1579</v>
      </c>
      <c r="F22" s="229">
        <f ca="1">'数据-取费表'!B40</f>
        <v>3.1E-2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5749</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5749</v>
      </c>
      <c r="D24" s="230"/>
      <c r="E24" s="230"/>
      <c r="F24" s="231"/>
      <c r="G24" s="232" t="s">
        <v>1586</v>
      </c>
    </row>
    <row r="25" spans="1:7" s="206" customFormat="1" ht="24">
      <c r="A25" s="733" t="s">
        <v>1476</v>
      </c>
      <c r="B25" s="207" t="s">
        <v>1587</v>
      </c>
      <c r="C25" s="230">
        <f ca="1">ROUND(IF('数据-取费表'!B22&lt;=1,C20*F22*'数据-取费表'!B22/2,C20*(POWER((1+F22),'数据-取费表'!B22/2)-1)),0)</f>
        <v>170</v>
      </c>
      <c r="D25" s="230"/>
      <c r="E25" s="233"/>
      <c r="F25" s="231"/>
      <c r="G25" s="234" t="s">
        <v>1588</v>
      </c>
    </row>
    <row r="26" spans="1:7" s="206" customFormat="1">
      <c r="A26" s="733"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28215</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28215</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246974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1801090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1597925</v>
      </c>
      <c r="D34" s="209"/>
      <c r="E34" s="212"/>
      <c r="F34" s="249"/>
      <c r="G34" s="211"/>
    </row>
    <row r="35" spans="1:7" ht="13.5" customHeight="1">
      <c r="A35" s="733" t="s">
        <v>351</v>
      </c>
      <c r="B35" s="207" t="s">
        <v>1527</v>
      </c>
      <c r="C35" s="212">
        <f ca="1">ROUND(C34*F35,0)</f>
        <v>79896</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91310</v>
      </c>
      <c r="D37" s="209">
        <f ca="1">D19</f>
        <v>456.55</v>
      </c>
      <c r="E37" s="241">
        <f>'数据-取费表'!B35</f>
        <v>200</v>
      </c>
      <c r="F37" s="251"/>
      <c r="G37" s="253"/>
    </row>
    <row r="38" spans="1:7" ht="13.5" customHeight="1">
      <c r="A38" s="733" t="s">
        <v>354</v>
      </c>
      <c r="B38" s="207" t="s">
        <v>1533</v>
      </c>
      <c r="C38" s="212">
        <f ca="1">ROUND(C34*F38,0)</f>
        <v>31959</v>
      </c>
      <c r="D38" s="212"/>
      <c r="E38" s="212"/>
      <c r="F38" s="251">
        <f>'数据-取费表'!B36</f>
        <v>0.02</v>
      </c>
      <c r="G38" s="211" t="s">
        <v>1528</v>
      </c>
    </row>
    <row r="39" spans="1:7" s="206" customFormat="1" ht="13.5" customHeight="1">
      <c r="A39" s="247" t="s">
        <v>1534</v>
      </c>
      <c r="B39" s="202" t="s">
        <v>1535</v>
      </c>
      <c r="C39" s="224">
        <f ca="1">ROUND(C33*F20,0)</f>
        <v>54033</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57509</v>
      </c>
      <c r="D41" s="227">
        <f ca="1">C44</f>
        <v>5.9999999999999995E-4</v>
      </c>
      <c r="E41" s="228" t="s">
        <v>1539</v>
      </c>
      <c r="F41" s="229">
        <f ca="1">F22</f>
        <v>3.1E-2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55834</v>
      </c>
      <c r="D42" s="230"/>
      <c r="E42" s="230"/>
      <c r="F42" s="231"/>
      <c r="G42" s="3357" t="s">
        <v>1591</v>
      </c>
    </row>
    <row r="43" spans="1:7" ht="13.5" customHeight="1">
      <c r="A43" s="733" t="s">
        <v>347</v>
      </c>
      <c r="B43" s="207" t="s">
        <v>1545</v>
      </c>
      <c r="C43" s="230">
        <f ca="1">ROUND(IF('数据-取费表'!B22&lt;=1,C39*F22*'数据-取费表'!B20/2,C39*(POWER((1+F22),'数据-取费表'!B20/2)-1)),0)</f>
        <v>1675</v>
      </c>
      <c r="D43" s="230"/>
      <c r="E43" s="230"/>
      <c r="F43" s="231"/>
      <c r="G43" s="3358"/>
    </row>
    <row r="44" spans="1:7" ht="13.5" customHeight="1">
      <c r="A44" s="733" t="s">
        <v>348</v>
      </c>
      <c r="B44" s="207" t="s">
        <v>1546</v>
      </c>
      <c r="C44" s="230">
        <f ca="1">ROUND(IF('数据-取费表'!B22&lt;=1,C40*F22*'数据-取费表'!B20/2,C40*(POWER((1+F22),'数据-取费表'!B20/2)-1)),4)</f>
        <v>5.9999999999999995E-4</v>
      </c>
      <c r="D44" s="230"/>
      <c r="E44" s="230"/>
      <c r="F44" s="231"/>
      <c r="G44" s="3359"/>
    </row>
    <row r="45" spans="1:7" s="206" customFormat="1" ht="13.5" customHeight="1">
      <c r="A45" s="247" t="s">
        <v>1547</v>
      </c>
      <c r="B45" s="236" t="s">
        <v>1513</v>
      </c>
      <c r="C45" s="237">
        <f ca="1">C46</f>
        <v>278268</v>
      </c>
      <c r="D45" s="227">
        <f ca="1">C47</f>
        <v>3.0000000000000001E-3</v>
      </c>
      <c r="E45" s="228" t="s">
        <v>1539</v>
      </c>
      <c r="F45" s="238">
        <f ca="1">F27</f>
        <v>0.15</v>
      </c>
      <c r="G45" s="239" t="s">
        <v>1548</v>
      </c>
    </row>
    <row r="46" spans="1:7" s="206" customFormat="1" ht="13.5" customHeight="1">
      <c r="A46" s="733" t="s">
        <v>346</v>
      </c>
      <c r="B46" s="240" t="s">
        <v>1549</v>
      </c>
      <c r="C46" s="241">
        <f ca="1">ROUND((C33+C39)*F27,0)</f>
        <v>278268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2373416</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1685125</v>
      </c>
      <c r="D51" s="224"/>
      <c r="E51" s="224"/>
      <c r="F51" s="256"/>
      <c r="G51" s="226" t="s">
        <v>1560</v>
      </c>
    </row>
    <row r="52" spans="1:7" s="200" customFormat="1" ht="16.5" thickBot="1">
      <c r="A52" s="257" t="s">
        <v>1561</v>
      </c>
      <c r="B52" s="258"/>
      <c r="C52" s="259">
        <f ca="1">C31+C51</f>
        <v>1932099</v>
      </c>
      <c r="D52" s="258"/>
      <c r="E52" s="258"/>
      <c r="F52" s="258"/>
      <c r="G52" s="260"/>
    </row>
    <row r="55" spans="1:7" ht="15">
      <c r="B55" s="262" t="s">
        <v>1562</v>
      </c>
      <c r="C55" s="263"/>
    </row>
    <row r="56" spans="1:7">
      <c r="B56" s="265" t="s">
        <v>802</v>
      </c>
      <c r="C56" s="267">
        <f ca="1">1-C57</f>
        <v>0.128</v>
      </c>
    </row>
    <row r="57" spans="1:7">
      <c r="B57" s="265" t="s">
        <v>803</v>
      </c>
      <c r="C57" s="266">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-219</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456.55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456.55</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9</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9</v>
      </c>
      <c r="D20" s="795">
        <f ca="1">IF(C1="",'数据-汇总表'!E6,IF(INDIRECT("'数据-取费表'!c"&amp;$K$1)="住宅",INDIRECT("'数据-取费表'!s"&amp;$K$1),INDIRECT("'数据-取费表'!k"&amp;$K$1)+INDIRECT("'数据-取费表'!s"&amp;$K$1)))</f>
        <v>456.55</v>
      </c>
      <c r="E20" s="21">
        <f>'数据-取费表'!B28</f>
        <v>200</v>
      </c>
      <c r="F20" s="755"/>
      <c r="G20" s="12"/>
      <c r="H20" s="760"/>
      <c r="I20" s="760"/>
      <c r="J20" s="760"/>
      <c r="K20" s="761"/>
    </row>
    <row r="21" spans="1:33" s="754" customFormat="1" ht="13.5" customHeight="1">
      <c r="A21" s="743" t="s">
        <v>357</v>
      </c>
      <c r="B21" s="764" t="s">
        <v>1628</v>
      </c>
      <c r="C21" s="765">
        <f ca="1">C16+C17+C18</f>
        <v>9</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-10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62" t="s">
        <v>694</v>
      </c>
      <c r="C6" s="1010">
        <f ca="1">ROUND(F6*F8*F7*(1-F9)/10000,0)</f>
        <v>0</v>
      </c>
      <c r="D6" s="147" t="s">
        <v>2109</v>
      </c>
      <c r="E6" s="294" t="s">
        <v>696</v>
      </c>
      <c r="F6" s="295">
        <f ca="1">INDIRECT("'数据-取费表'!u"&amp;$G$1)</f>
        <v>0</v>
      </c>
      <c r="G6" s="1291"/>
      <c r="H6" s="1005" t="s">
        <v>398</v>
      </c>
      <c r="I6" s="3362" t="s">
        <v>694</v>
      </c>
      <c r="J6" s="293">
        <f ca="1">ROUND(M6*M8*M7*(1-M9)/10000,0)</f>
        <v>0</v>
      </c>
      <c r="K6" s="147" t="s">
        <v>2108</v>
      </c>
      <c r="L6" s="294" t="s">
        <v>696</v>
      </c>
      <c r="M6" s="295">
        <f ca="1">INDIRECT("'数据-取费表'!z"&amp;$G$1)</f>
        <v>0</v>
      </c>
    </row>
    <row r="7" spans="1:37" ht="18" customHeight="1">
      <c r="A7" s="1009"/>
      <c r="B7" s="3363"/>
      <c r="C7" s="1011"/>
      <c r="D7" s="299"/>
      <c r="E7" s="1012" t="s">
        <v>697</v>
      </c>
      <c r="F7" s="295">
        <f ca="1">IF(INDIRECT("'数据-取费表'!ah"&amp;$G$1)="",INDIRECT("'数据-取费表'!k"&amp;$G$1),INDIRECT("'数据-取费表'!ah"&amp;$G$1))</f>
        <v>0</v>
      </c>
      <c r="G7" s="1291"/>
      <c r="H7" s="296"/>
      <c r="I7" s="3363"/>
      <c r="J7" s="298"/>
      <c r="K7" s="299"/>
      <c r="L7" s="294" t="s">
        <v>697</v>
      </c>
      <c r="M7" s="295">
        <f ca="1">F7</f>
        <v>0</v>
      </c>
    </row>
    <row r="8" spans="1:37" ht="18" customHeight="1">
      <c r="A8" s="296"/>
      <c r="B8" s="3363"/>
      <c r="C8" s="298"/>
      <c r="D8" s="299"/>
      <c r="E8" s="294" t="s">
        <v>698</v>
      </c>
      <c r="F8" s="295">
        <f ca="1">INDIRECT("'数据-取费表'!ai"&amp;$G$1)</f>
        <v>0</v>
      </c>
      <c r="G8" s="1291"/>
      <c r="H8" s="296"/>
      <c r="I8" s="3363"/>
      <c r="J8" s="298"/>
      <c r="K8" s="299"/>
      <c r="L8" s="294" t="s">
        <v>698</v>
      </c>
      <c r="M8" s="295">
        <f ca="1">INDIRECT("'数据-取费表'!ai"&amp;$G$1)</f>
        <v>0</v>
      </c>
    </row>
    <row r="9" spans="1:37" ht="18" customHeight="1">
      <c r="A9" s="296"/>
      <c r="B9" s="3364"/>
      <c r="C9" s="298"/>
      <c r="D9" s="299"/>
      <c r="E9" s="294" t="s">
        <v>699</v>
      </c>
      <c r="F9" s="304">
        <f ca="1">INDIRECT("'数据-取费表'!w"&amp;$G$1)</f>
        <v>0</v>
      </c>
      <c r="G9" s="1291"/>
      <c r="H9" s="296"/>
      <c r="I9" s="3364"/>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2306</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ROUND(C29*F36,2)</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ROUND(C13*F37,2)</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60" t="s">
        <v>837</v>
      </c>
      <c r="L53" s="3361"/>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90" zoomScaleSheetLayoutView="90" workbookViewId="0">
      <selection activeCell="B23" sqref="B2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3430</v>
      </c>
      <c r="E1" s="3123" t="s">
        <v>3445</v>
      </c>
      <c r="F1" s="1734" t="s">
        <v>3446</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1766.8027999999999</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38699</v>
      </c>
      <c r="C3" s="344" t="s">
        <v>1768</v>
      </c>
      <c r="D3" s="343">
        <f>IF(D1="",'数据-汇总表'!E3,SUMIF('数据-汇总表'!$C19:$C33,D1,'数据-汇总表'!$E19:$E33))</f>
        <v>456.55</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66" t="s">
        <v>1772</v>
      </c>
      <c r="AC4" s="3380" t="s">
        <v>1773</v>
      </c>
    </row>
    <row r="5" spans="1:29" ht="15">
      <c r="A5" s="348"/>
      <c r="B5" s="349"/>
      <c r="C5" s="3406" t="s">
        <v>1673</v>
      </c>
      <c r="D5" s="3402"/>
      <c r="E5" s="3409" t="s">
        <v>3521</v>
      </c>
      <c r="F5" s="3410"/>
      <c r="G5" s="3401" t="s">
        <v>3531</v>
      </c>
      <c r="H5" s="3402"/>
      <c r="I5" s="3401" t="s">
        <v>3532</v>
      </c>
      <c r="J5" s="3402"/>
      <c r="K5" s="537"/>
      <c r="L5" s="2485"/>
      <c r="M5" s="2486"/>
      <c r="N5" s="2486"/>
      <c r="O5" s="2486"/>
      <c r="P5" s="3389"/>
      <c r="Q5" s="3390"/>
      <c r="R5" s="3395"/>
      <c r="S5" s="3396"/>
      <c r="T5" s="3395"/>
      <c r="U5" s="3396"/>
      <c r="V5" s="3366"/>
      <c r="W5" s="3366"/>
      <c r="X5" s="1264"/>
      <c r="Y5" s="3395"/>
      <c r="Z5" s="3396"/>
      <c r="AA5" s="3381"/>
      <c r="AB5" s="3366"/>
      <c r="AC5" s="3381"/>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391"/>
      <c r="Q6" s="3392"/>
      <c r="R6" s="3395"/>
      <c r="S6" s="3396"/>
      <c r="T6" s="3397"/>
      <c r="U6" s="3398"/>
      <c r="V6" s="3366"/>
      <c r="W6" s="3366"/>
      <c r="X6" s="1264"/>
      <c r="Y6" s="3397"/>
      <c r="Z6" s="3398"/>
      <c r="AA6" s="3382"/>
      <c r="AB6" s="3366"/>
      <c r="AC6" s="3382"/>
    </row>
    <row r="7" spans="1:29" s="102" customFormat="1" ht="15.75" thickBot="1">
      <c r="A7" s="352" t="s">
        <v>1679</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7"/>
      <c r="M7" s="2439"/>
      <c r="N7" s="2439"/>
      <c r="O7" s="2439"/>
      <c r="P7" s="3403" t="s">
        <v>1680</v>
      </c>
      <c r="Q7" s="3405"/>
      <c r="R7" s="663" t="s">
        <v>14</v>
      </c>
      <c r="S7" s="664">
        <f t="shared" ref="S7:S15" si="0">F7</f>
        <v>100</v>
      </c>
      <c r="T7" s="663" t="s">
        <v>14</v>
      </c>
      <c r="U7" s="664">
        <f t="shared" ref="U7:U15" si="1">H7</f>
        <v>100</v>
      </c>
      <c r="V7" s="663" t="s">
        <v>14</v>
      </c>
      <c r="W7" s="664">
        <f t="shared" ref="W7:W15" si="2">J7</f>
        <v>100</v>
      </c>
      <c r="X7" s="665"/>
      <c r="Y7" s="3403" t="s">
        <v>1680</v>
      </c>
      <c r="Z7" s="3404"/>
      <c r="AA7" s="50">
        <f>D7/F7</f>
        <v>1</v>
      </c>
      <c r="AB7" s="50">
        <f>D7/H7</f>
        <v>1</v>
      </c>
      <c r="AC7" s="50">
        <f>D7/J7</f>
        <v>1</v>
      </c>
    </row>
    <row r="8" spans="1:29" s="102" customFormat="1" ht="15.75" thickBot="1">
      <c r="A8" s="352" t="s">
        <v>1681</v>
      </c>
      <c r="B8" s="353"/>
      <c r="C8" s="358" t="s">
        <v>3440</v>
      </c>
      <c r="D8" s="355">
        <v>100</v>
      </c>
      <c r="E8" s="358" t="s">
        <v>3447</v>
      </c>
      <c r="F8" s="357">
        <f>SUMIF(61:61,E8,62:62)-SUMIF(61:61,C8,62:62)+100</f>
        <v>103</v>
      </c>
      <c r="G8" s="358" t="s">
        <v>3447</v>
      </c>
      <c r="H8" s="355">
        <f>SUMIF(61:61,G8,62:62)-SUMIF(61:61,C8,62:62)+100</f>
        <v>103</v>
      </c>
      <c r="I8" s="358" t="s">
        <v>3447</v>
      </c>
      <c r="J8" s="355">
        <f>SUMIF(61:61,I8,62:62)-SUMIF(61:61,C8,62:62)+100</f>
        <v>103</v>
      </c>
      <c r="K8" s="38"/>
      <c r="L8" s="2487"/>
      <c r="M8" s="2439"/>
      <c r="N8" s="2439"/>
      <c r="O8" s="2439"/>
      <c r="P8" s="3403" t="s">
        <v>1683</v>
      </c>
      <c r="Q8" s="3404"/>
      <c r="R8" s="663" t="s">
        <v>14</v>
      </c>
      <c r="S8" s="664">
        <f t="shared" si="0"/>
        <v>103</v>
      </c>
      <c r="T8" s="663" t="s">
        <v>14</v>
      </c>
      <c r="U8" s="664">
        <f t="shared" si="1"/>
        <v>103</v>
      </c>
      <c r="V8" s="663" t="s">
        <v>14</v>
      </c>
      <c r="W8" s="664">
        <f t="shared" si="2"/>
        <v>103</v>
      </c>
      <c r="X8" s="665"/>
      <c r="Y8" s="3403" t="s">
        <v>1683</v>
      </c>
      <c r="Z8" s="340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69" t="s">
        <v>3492</v>
      </c>
      <c r="D9" s="59">
        <v>100</v>
      </c>
      <c r="E9" s="3169" t="s">
        <v>3492</v>
      </c>
      <c r="F9" s="60">
        <f>SUMIF(63:63,E9,64:64)-SUMIF(63:63,C9,64:64)+100</f>
        <v>100</v>
      </c>
      <c r="G9" s="3169" t="s">
        <v>3492</v>
      </c>
      <c r="H9" s="59">
        <f>SUMIF(63:63,G9,64:64)-SUMIF(63:63,C9,64:64)+100</f>
        <v>100</v>
      </c>
      <c r="I9" s="3169" t="s">
        <v>3492</v>
      </c>
      <c r="J9" s="59">
        <f>SUMIF(63:63,I9,64:64)-SUMIF(63:63,C9,64:64)+100</f>
        <v>100</v>
      </c>
      <c r="K9" s="38"/>
      <c r="L9" s="2487"/>
      <c r="M9" s="2439"/>
      <c r="N9" s="2439"/>
      <c r="O9" s="2439"/>
      <c r="P9" s="3379"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t="str">
        <f>E65</f>
        <v>20（含）~10</v>
      </c>
      <c r="D10" s="119">
        <v>100</v>
      </c>
      <c r="E10" s="3132" t="str">
        <f>D65</f>
        <v>30（含）~20</v>
      </c>
      <c r="F10" s="364">
        <f>SUMIF(65:65,E10,66:66)-SUMIF(65:65,C10,66:66)+100</f>
        <v>102</v>
      </c>
      <c r="G10" s="3131" t="str">
        <f>D65</f>
        <v>30（含）~20</v>
      </c>
      <c r="H10" s="119">
        <f>SUMIF(65:65,G10,66:66)-SUMIF(65:65,C10,66:66)+100</f>
        <v>102</v>
      </c>
      <c r="I10" s="3131" t="str">
        <f>D65</f>
        <v>30（含）~20</v>
      </c>
      <c r="J10" s="119">
        <f>SUMIF(65:65,I10,66:66)-SUMIF(65:65,C10,66:66)+100</f>
        <v>102</v>
      </c>
      <c r="K10" s="38"/>
      <c r="L10" s="2488"/>
      <c r="M10" s="2489"/>
      <c r="N10" s="2489"/>
      <c r="O10" s="2489"/>
      <c r="P10" s="3379"/>
      <c r="Q10" s="530" t="str">
        <f t="shared" si="6"/>
        <v>土地使用年限（年）</v>
      </c>
      <c r="R10" s="663" t="s">
        <v>14</v>
      </c>
      <c r="S10" s="664">
        <f t="shared" si="0"/>
        <v>102</v>
      </c>
      <c r="T10" s="663" t="s">
        <v>14</v>
      </c>
      <c r="U10" s="664">
        <f t="shared" si="1"/>
        <v>102</v>
      </c>
      <c r="V10" s="663" t="s">
        <v>14</v>
      </c>
      <c r="W10" s="664">
        <f t="shared" si="2"/>
        <v>102</v>
      </c>
      <c r="X10" s="665"/>
      <c r="Y10" s="3264"/>
      <c r="Z10" s="50" t="str">
        <f t="shared" si="7"/>
        <v>土地使用年限（年）</v>
      </c>
      <c r="AA10" s="50">
        <f t="shared" si="3"/>
        <v>0.98039215686274506</v>
      </c>
      <c r="AB10" s="50">
        <f t="shared" si="4"/>
        <v>0.98039215686274506</v>
      </c>
      <c r="AC10" s="50">
        <f t="shared" si="5"/>
        <v>0.98039215686274506</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9"/>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9"/>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9"/>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9"/>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100</v>
      </c>
      <c r="K15" s="540">
        <v>2</v>
      </c>
      <c r="L15" s="2491"/>
      <c r="M15" s="2486"/>
      <c r="N15" s="2486"/>
      <c r="O15" s="2486"/>
      <c r="P15" s="3370" t="s">
        <v>1691</v>
      </c>
      <c r="Q15" s="1262" t="str">
        <f t="shared" si="6"/>
        <v>商业繁华度</v>
      </c>
      <c r="R15" s="666" t="s">
        <v>14</v>
      </c>
      <c r="S15" s="667">
        <f t="shared" si="0"/>
        <v>100</v>
      </c>
      <c r="T15" s="666" t="s">
        <v>14</v>
      </c>
      <c r="U15" s="667">
        <f t="shared" si="1"/>
        <v>102</v>
      </c>
      <c r="V15" s="666" t="s">
        <v>14</v>
      </c>
      <c r="W15" s="667">
        <f t="shared" si="2"/>
        <v>100</v>
      </c>
      <c r="X15" s="1264"/>
      <c r="Y15" s="3372" t="s">
        <v>1691</v>
      </c>
      <c r="Z15" s="1263" t="str">
        <f t="shared" si="7"/>
        <v>商业繁华度</v>
      </c>
      <c r="AA15" s="1263">
        <f t="shared" si="3"/>
        <v>1</v>
      </c>
      <c r="AB15" s="1263">
        <f t="shared" si="4"/>
        <v>0.98039215686274506</v>
      </c>
      <c r="AC15" s="1263">
        <f t="shared" si="5"/>
        <v>1</v>
      </c>
    </row>
    <row r="16" spans="1:29" ht="15">
      <c r="A16" s="367"/>
      <c r="B16" s="385"/>
      <c r="C16" s="386" t="s">
        <v>3458</v>
      </c>
      <c r="D16" s="387"/>
      <c r="E16" s="386" t="s">
        <v>3458</v>
      </c>
      <c r="F16" s="388"/>
      <c r="G16" s="386" t="s">
        <v>3457</v>
      </c>
      <c r="H16" s="389"/>
      <c r="I16" s="386" t="s">
        <v>3458</v>
      </c>
      <c r="J16" s="387"/>
      <c r="K16" s="541"/>
      <c r="L16" s="2491"/>
      <c r="M16" s="2486"/>
      <c r="N16" s="2486"/>
      <c r="O16" s="2486"/>
      <c r="P16" s="3371"/>
      <c r="Q16" s="1262"/>
      <c r="R16" s="666"/>
      <c r="S16" s="667"/>
      <c r="T16" s="666"/>
      <c r="U16" s="667"/>
      <c r="V16" s="666"/>
      <c r="W16" s="667"/>
      <c r="X16" s="1264"/>
      <c r="Y16" s="337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395"/>
      <c r="C18" s="1754" t="s">
        <v>3457</v>
      </c>
      <c r="D18" s="389"/>
      <c r="E18" s="1754" t="s">
        <v>3457</v>
      </c>
      <c r="F18" s="392"/>
      <c r="G18" s="1754" t="s">
        <v>3457</v>
      </c>
      <c r="H18" s="387"/>
      <c r="I18" s="1754" t="s">
        <v>3457</v>
      </c>
      <c r="J18" s="387"/>
      <c r="K18" s="541"/>
      <c r="L18" s="2491"/>
      <c r="M18" s="2486"/>
      <c r="N18" s="2486"/>
      <c r="O18" s="2486"/>
      <c r="P18" s="3371"/>
      <c r="Q18" s="1262"/>
      <c r="R18" s="666"/>
      <c r="S18" s="667"/>
      <c r="T18" s="666"/>
      <c r="U18" s="667"/>
      <c r="V18" s="666"/>
      <c r="W18" s="667"/>
      <c r="X18" s="1264"/>
      <c r="Y18" s="337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7"/>
      <c r="B20" s="395"/>
      <c r="C20" s="386" t="s">
        <v>3457</v>
      </c>
      <c r="D20" s="387"/>
      <c r="E20" s="386" t="s">
        <v>3457</v>
      </c>
      <c r="F20" s="388"/>
      <c r="G20" s="386" t="s">
        <v>3457</v>
      </c>
      <c r="H20" s="387"/>
      <c r="I20" s="386" t="s">
        <v>3457</v>
      </c>
      <c r="J20" s="387"/>
      <c r="K20" s="541"/>
      <c r="L20" s="2491"/>
      <c r="M20" s="2486"/>
      <c r="N20" s="2486"/>
      <c r="O20" s="2486"/>
      <c r="P20" s="3371"/>
      <c r="Q20" s="1262"/>
      <c r="R20" s="666"/>
      <c r="S20" s="667"/>
      <c r="T20" s="666"/>
      <c r="U20" s="667"/>
      <c r="V20" s="666"/>
      <c r="W20" s="667"/>
      <c r="X20" s="1264"/>
      <c r="Y20" s="3373"/>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4" t="s">
        <v>3479</v>
      </c>
      <c r="D22" s="387"/>
      <c r="E22" s="1754" t="s">
        <v>3479</v>
      </c>
      <c r="F22" s="388"/>
      <c r="G22" s="1754" t="s">
        <v>3479</v>
      </c>
      <c r="H22" s="387"/>
      <c r="I22" s="1754" t="s">
        <v>3479</v>
      </c>
      <c r="J22" s="387"/>
      <c r="K22" s="1063"/>
      <c r="L22" s="2491"/>
      <c r="M22" s="2486"/>
      <c r="N22" s="2486"/>
      <c r="O22" s="2486"/>
      <c r="P22" s="3371"/>
      <c r="Q22" s="1262"/>
      <c r="R22" s="666"/>
      <c r="S22" s="667"/>
      <c r="T22" s="666"/>
      <c r="U22" s="667"/>
      <c r="V22" s="666"/>
      <c r="W22" s="667"/>
      <c r="X22" s="1264"/>
      <c r="Y22" s="3373"/>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71"/>
      <c r="Q23" s="1262" t="str">
        <f>B23</f>
        <v>自然及人文环境</v>
      </c>
      <c r="R23" s="666" t="s">
        <v>14</v>
      </c>
      <c r="S23" s="667">
        <f>F23</f>
        <v>100</v>
      </c>
      <c r="T23" s="666" t="s">
        <v>14</v>
      </c>
      <c r="U23" s="667">
        <f>H23</f>
        <v>100</v>
      </c>
      <c r="V23" s="666" t="s">
        <v>14</v>
      </c>
      <c r="W23" s="667">
        <f>J23</f>
        <v>100</v>
      </c>
      <c r="X23" s="1264"/>
      <c r="Y23" s="3373"/>
      <c r="Z23" s="1263" t="str">
        <f>Q23</f>
        <v>自然及人文环境</v>
      </c>
      <c r="AA23" s="1263">
        <f t="shared" si="3"/>
        <v>1</v>
      </c>
      <c r="AB23" s="1263">
        <f t="shared" si="4"/>
        <v>1</v>
      </c>
      <c r="AC23" s="1263">
        <f t="shared" si="5"/>
        <v>1</v>
      </c>
    </row>
    <row r="24" spans="1:29" ht="15">
      <c r="A24" s="367"/>
      <c r="B24" s="395"/>
      <c r="C24" s="386" t="s">
        <v>3457</v>
      </c>
      <c r="D24" s="387"/>
      <c r="E24" s="386" t="s">
        <v>3457</v>
      </c>
      <c r="F24" s="388"/>
      <c r="G24" s="386" t="s">
        <v>3457</v>
      </c>
      <c r="H24" s="387"/>
      <c r="I24" s="386" t="s">
        <v>3457</v>
      </c>
      <c r="J24" s="387"/>
      <c r="K24" s="541"/>
      <c r="L24" s="2491"/>
      <c r="M24" s="2486"/>
      <c r="N24" s="2486"/>
      <c r="O24" s="2486"/>
      <c r="P24" s="3371"/>
      <c r="Q24" s="1262"/>
      <c r="R24" s="666"/>
      <c r="S24" s="667"/>
      <c r="T24" s="666"/>
      <c r="U24" s="667"/>
      <c r="V24" s="666"/>
      <c r="W24" s="667"/>
      <c r="X24" s="1264"/>
      <c r="Y24" s="3373"/>
      <c r="Z24" s="1263"/>
      <c r="AA24" s="1263">
        <v>1</v>
      </c>
      <c r="AB24" s="1263">
        <v>1</v>
      </c>
      <c r="AC24" s="1263">
        <v>1</v>
      </c>
    </row>
    <row r="25" spans="1:29" ht="15">
      <c r="A25" s="367"/>
      <c r="B25" s="364" t="s">
        <v>1780</v>
      </c>
      <c r="C25" s="542" t="s">
        <v>3453</v>
      </c>
      <c r="D25" s="374">
        <v>100</v>
      </c>
      <c r="E25" s="542" t="s">
        <v>3453</v>
      </c>
      <c r="F25" s="400">
        <f>SUMIF(86:86,E25,87:87)-SUMIF(86:86,C25,87:87)+100</f>
        <v>100</v>
      </c>
      <c r="G25" s="542" t="s">
        <v>3453</v>
      </c>
      <c r="H25" s="374">
        <f>SUMIF(86:86,G25,87:87)-SUMIF(86:86,C25,87:87)+100</f>
        <v>100</v>
      </c>
      <c r="I25" s="542" t="s">
        <v>3534</v>
      </c>
      <c r="J25" s="374">
        <f>SUMIF(86:86,I25,87:87)-SUMIF(86:86,C25,87:87)+100</f>
        <v>97</v>
      </c>
      <c r="K25" s="538">
        <v>3</v>
      </c>
      <c r="L25" s="2491"/>
      <c r="M25" s="2486"/>
      <c r="N25" s="2486"/>
      <c r="O25" s="2486"/>
      <c r="P25" s="3371"/>
      <c r="Q25" s="1262" t="str">
        <f t="shared" ref="Q25:Q46" si="11">B25</f>
        <v>临街状况</v>
      </c>
      <c r="R25" s="666" t="s">
        <v>14</v>
      </c>
      <c r="S25" s="667">
        <f>F25</f>
        <v>100</v>
      </c>
      <c r="T25" s="666" t="s">
        <v>14</v>
      </c>
      <c r="U25" s="667">
        <f>H25</f>
        <v>100</v>
      </c>
      <c r="V25" s="666" t="s">
        <v>14</v>
      </c>
      <c r="W25" s="667">
        <f>J25</f>
        <v>97</v>
      </c>
      <c r="X25" s="1264"/>
      <c r="Y25" s="3373"/>
      <c r="Z25" s="1263" t="str">
        <f>Q25</f>
        <v>临街状况</v>
      </c>
      <c r="AA25" s="1263">
        <f t="shared" si="3"/>
        <v>1</v>
      </c>
      <c r="AB25" s="1263">
        <f t="shared" si="4"/>
        <v>1</v>
      </c>
      <c r="AC25" s="1263">
        <f t="shared" si="5"/>
        <v>1.0309278350515463</v>
      </c>
    </row>
    <row r="26" spans="1:29" ht="15">
      <c r="A26" s="367"/>
      <c r="B26" s="1065" t="s">
        <v>1781</v>
      </c>
      <c r="C26" s="3168" t="s">
        <v>3489</v>
      </c>
      <c r="D26" s="374">
        <v>100</v>
      </c>
      <c r="E26" s="3168" t="s">
        <v>3489</v>
      </c>
      <c r="F26" s="400">
        <f>SUMIF(88:88,E26,89:89)-SUMIF(88:88,C26,89:89)+100</f>
        <v>100</v>
      </c>
      <c r="G26" s="3168" t="s">
        <v>3489</v>
      </c>
      <c r="H26" s="374">
        <f>SUMIF(88:88,G26,89:89)-SUMIF(88:88,C26,89:89)+100</f>
        <v>100</v>
      </c>
      <c r="I26" s="3168" t="s">
        <v>3530</v>
      </c>
      <c r="J26" s="374">
        <f>SUMIF(88:88,I26,89:89)-SUMIF(88:88,C26,89:89)+100</f>
        <v>97</v>
      </c>
      <c r="K26" s="539"/>
      <c r="L26" s="2491"/>
      <c r="M26" s="2486"/>
      <c r="N26" s="2486"/>
      <c r="O26" s="2486"/>
      <c r="P26" s="3371"/>
      <c r="Q26" s="1262" t="str">
        <f t="shared" si="11"/>
        <v>平面位置/可视性</v>
      </c>
      <c r="R26" s="666" t="s">
        <v>14</v>
      </c>
      <c r="S26" s="667">
        <f>F26</f>
        <v>100</v>
      </c>
      <c r="T26" s="666" t="s">
        <v>14</v>
      </c>
      <c r="U26" s="667">
        <f>H26</f>
        <v>100</v>
      </c>
      <c r="V26" s="666" t="s">
        <v>14</v>
      </c>
      <c r="W26" s="667">
        <f>J26</f>
        <v>97</v>
      </c>
      <c r="X26" s="1264"/>
      <c r="Y26" s="3373"/>
      <c r="Z26" s="1263" t="str">
        <f>Q26</f>
        <v>平面位置/可视性</v>
      </c>
      <c r="AA26" s="1263">
        <f t="shared" si="3"/>
        <v>1</v>
      </c>
      <c r="AB26" s="1263">
        <f t="shared" si="4"/>
        <v>1</v>
      </c>
      <c r="AC26" s="1263">
        <f t="shared" si="5"/>
        <v>1.0309278350515463</v>
      </c>
    </row>
    <row r="27" spans="1:29" s="102" customFormat="1" ht="15">
      <c r="A27" s="370"/>
      <c r="B27" s="390" t="s">
        <v>1782</v>
      </c>
      <c r="C27" s="1806" t="s">
        <v>3458</v>
      </c>
      <c r="D27" s="401">
        <v>100</v>
      </c>
      <c r="E27" s="1806" t="s">
        <v>3458</v>
      </c>
      <c r="F27" s="395">
        <f>SUMIF(90:90,E27,91:91)-SUMIF(90:90,C27,91:91)+100</f>
        <v>100</v>
      </c>
      <c r="G27" s="1806" t="s">
        <v>3462</v>
      </c>
      <c r="H27" s="401">
        <f>SUMIF(90:90,G27,91:91)-SUMIF(90:90,C27,91:91)+100</f>
        <v>102</v>
      </c>
      <c r="I27" s="1806" t="s">
        <v>3458</v>
      </c>
      <c r="J27" s="401">
        <f>SUMIF(90:90,I27,91:91)-SUMIF(90:90,C27,91:91)+100</f>
        <v>100</v>
      </c>
      <c r="K27" s="538">
        <v>2</v>
      </c>
      <c r="L27" s="2487"/>
      <c r="M27" s="2439"/>
      <c r="N27" s="2439"/>
      <c r="O27" s="2439"/>
      <c r="P27" s="3371"/>
      <c r="Q27" s="530" t="str">
        <f t="shared" si="11"/>
        <v>人流量</v>
      </c>
      <c r="R27" s="663" t="s">
        <v>14</v>
      </c>
      <c r="S27" s="664">
        <f>F27</f>
        <v>100</v>
      </c>
      <c r="T27" s="663" t="s">
        <v>14</v>
      </c>
      <c r="U27" s="664">
        <f>H27</f>
        <v>102</v>
      </c>
      <c r="V27" s="663" t="s">
        <v>14</v>
      </c>
      <c r="W27" s="664">
        <f>J27</f>
        <v>100</v>
      </c>
      <c r="X27" s="665"/>
      <c r="Y27" s="3373"/>
      <c r="Z27" s="50" t="str">
        <f>Q27</f>
        <v>人流量</v>
      </c>
      <c r="AA27" s="1263">
        <f>D27/F27</f>
        <v>1</v>
      </c>
      <c r="AB27" s="1263">
        <f>D27/H27</f>
        <v>0.98039215686274506</v>
      </c>
      <c r="AC27" s="1263">
        <f>D27/J27</f>
        <v>1</v>
      </c>
    </row>
    <row r="28" spans="1:29" ht="15">
      <c r="A28" s="367"/>
      <c r="B28" s="364" t="s">
        <v>1783</v>
      </c>
      <c r="C28" s="542" t="s">
        <v>3490</v>
      </c>
      <c r="D28" s="374">
        <v>100</v>
      </c>
      <c r="E28" s="542" t="s">
        <v>3493</v>
      </c>
      <c r="F28" s="400">
        <f>SUMIF(92:92,E28,93:93)-SUMIF(92:92,C28,93:93)+100</f>
        <v>114</v>
      </c>
      <c r="G28" s="542" t="s">
        <v>3493</v>
      </c>
      <c r="H28" s="374">
        <f>SUMIF(92:92,G28,93:93)-SUMIF(92:92,C28,93:93)+100</f>
        <v>114</v>
      </c>
      <c r="I28" s="542" t="s">
        <v>3493</v>
      </c>
      <c r="J28" s="374">
        <f>SUMIF(92:92,I28,93:93)-SUMIF(92:92,C28,93:93)+100</f>
        <v>114</v>
      </c>
      <c r="K28" s="539"/>
      <c r="L28" s="2491"/>
      <c r="M28" s="2486"/>
      <c r="N28" s="2486"/>
      <c r="O28" s="2486"/>
      <c r="P28" s="3371"/>
      <c r="Q28" s="1262" t="str">
        <f t="shared" si="11"/>
        <v>楼层</v>
      </c>
      <c r="R28" s="666" t="s">
        <v>14</v>
      </c>
      <c r="S28" s="667">
        <f t="shared" ref="S28:S46" si="12">F28</f>
        <v>114</v>
      </c>
      <c r="T28" s="666" t="s">
        <v>14</v>
      </c>
      <c r="U28" s="667">
        <f t="shared" ref="U28:U46" si="13">H28</f>
        <v>114</v>
      </c>
      <c r="V28" s="666" t="s">
        <v>14</v>
      </c>
      <c r="W28" s="667">
        <f t="shared" ref="W28:W46" si="14">J28</f>
        <v>114</v>
      </c>
      <c r="X28" s="1264"/>
      <c r="Y28" s="3373"/>
      <c r="Z28" s="1263" t="str">
        <f t="shared" ref="Z28:Z46" si="15">Q28</f>
        <v>楼层</v>
      </c>
      <c r="AA28" s="1263">
        <f t="shared" si="3"/>
        <v>0.8771929824561403</v>
      </c>
      <c r="AB28" s="1263">
        <f t="shared" si="4"/>
        <v>0.8771929824561403</v>
      </c>
      <c r="AC28" s="1263">
        <f t="shared" si="5"/>
        <v>0.8771929824561403</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1"/>
      <c r="Q29" s="1262">
        <f t="shared" si="11"/>
        <v>111</v>
      </c>
      <c r="R29" s="666" t="s">
        <v>14</v>
      </c>
      <c r="S29" s="667">
        <f t="shared" si="12"/>
        <v>100</v>
      </c>
      <c r="T29" s="666" t="s">
        <v>14</v>
      </c>
      <c r="U29" s="667">
        <f t="shared" si="13"/>
        <v>100</v>
      </c>
      <c r="V29" s="666" t="s">
        <v>14</v>
      </c>
      <c r="W29" s="667">
        <f t="shared" si="14"/>
        <v>100</v>
      </c>
      <c r="X29" s="1264"/>
      <c r="Y29" s="337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1</v>
      </c>
      <c r="L32" s="2491"/>
      <c r="M32" s="2486"/>
      <c r="N32" s="2486"/>
      <c r="O32" s="2486"/>
      <c r="P32" s="3374" t="s">
        <v>1696</v>
      </c>
      <c r="Q32" s="1262" t="str">
        <f t="shared" si="11"/>
        <v>商业类型</v>
      </c>
      <c r="R32" s="666" t="s">
        <v>14</v>
      </c>
      <c r="S32" s="667">
        <f t="shared" si="12"/>
        <v>100</v>
      </c>
      <c r="T32" s="666" t="s">
        <v>14</v>
      </c>
      <c r="U32" s="667">
        <f t="shared" si="13"/>
        <v>100</v>
      </c>
      <c r="V32" s="666" t="s">
        <v>14</v>
      </c>
      <c r="W32" s="667">
        <f t="shared" si="14"/>
        <v>100</v>
      </c>
      <c r="X32" s="1264"/>
      <c r="Y32" s="3377" t="s">
        <v>1696</v>
      </c>
      <c r="Z32" s="1263" t="str">
        <f t="shared" si="15"/>
        <v>商业类型</v>
      </c>
      <c r="AA32" s="1263">
        <f t="shared" si="3"/>
        <v>1</v>
      </c>
      <c r="AB32" s="1263">
        <f t="shared" si="4"/>
        <v>1</v>
      </c>
      <c r="AC32" s="1263">
        <f t="shared" si="5"/>
        <v>1</v>
      </c>
    </row>
    <row r="33" spans="1:29" s="408" customFormat="1" ht="15">
      <c r="A33" s="406"/>
      <c r="B33" s="364" t="s">
        <v>1697</v>
      </c>
      <c r="C33" s="407" t="s">
        <v>3491</v>
      </c>
      <c r="D33" s="119">
        <v>100</v>
      </c>
      <c r="E33" s="369">
        <v>58.26</v>
      </c>
      <c r="F33" s="364">
        <f>LOOKUP(E33,103:103,104:104)-LOOKUP(C33,103:103,104:104)+100</f>
        <v>102</v>
      </c>
      <c r="G33" s="368">
        <v>131.91</v>
      </c>
      <c r="H33" s="119">
        <f>LOOKUP(G33,103:103,104:104)-LOOKUP(C33,103:103,104:104)+100</f>
        <v>102</v>
      </c>
      <c r="I33" s="368">
        <v>160.5</v>
      </c>
      <c r="J33" s="119">
        <f>LOOKUP(I33,103:103,104:104)-LOOKUP(C33,103:103,104:104)+100</f>
        <v>101</v>
      </c>
      <c r="K33" s="539"/>
      <c r="L33" s="2490"/>
      <c r="M33" s="2492"/>
      <c r="N33" s="2492"/>
      <c r="O33" s="2492"/>
      <c r="P33" s="3375"/>
      <c r="Q33" s="531" t="str">
        <f t="shared" si="11"/>
        <v>项目建筑规模</v>
      </c>
      <c r="R33" s="668" t="s">
        <v>14</v>
      </c>
      <c r="S33" s="669">
        <f t="shared" si="12"/>
        <v>102</v>
      </c>
      <c r="T33" s="668" t="s">
        <v>14</v>
      </c>
      <c r="U33" s="669">
        <f t="shared" si="13"/>
        <v>102</v>
      </c>
      <c r="V33" s="668" t="s">
        <v>14</v>
      </c>
      <c r="W33" s="669">
        <f t="shared" si="14"/>
        <v>101</v>
      </c>
      <c r="X33" s="670"/>
      <c r="Y33" s="3377"/>
      <c r="Z33" s="671" t="str">
        <f t="shared" si="15"/>
        <v>项目建筑规模</v>
      </c>
      <c r="AA33" s="1263">
        <f t="shared" si="3"/>
        <v>0.98039215686274506</v>
      </c>
      <c r="AB33" s="1263">
        <f t="shared" si="4"/>
        <v>0.98039215686274506</v>
      </c>
      <c r="AC33" s="1263">
        <f t="shared" si="5"/>
        <v>0.99009900990099009</v>
      </c>
    </row>
    <row r="34" spans="1:29" ht="15">
      <c r="A34" s="409"/>
      <c r="B34" s="364" t="s">
        <v>1698</v>
      </c>
      <c r="C34" s="399" t="s">
        <v>3434</v>
      </c>
      <c r="D34" s="374">
        <v>100</v>
      </c>
      <c r="E34" s="399" t="s">
        <v>3434</v>
      </c>
      <c r="F34" s="400">
        <f>SUMIF(105:105,E34,106:106)-SUMIF(105:105,C34,106:106)+100</f>
        <v>100</v>
      </c>
      <c r="G34" s="399" t="s">
        <v>3434</v>
      </c>
      <c r="H34" s="374">
        <f>SUMIF(105:105,G34,106:106)-SUMIF(105:105,C34,106:106)+100</f>
        <v>100</v>
      </c>
      <c r="I34" s="399" t="s">
        <v>3434</v>
      </c>
      <c r="J34" s="374">
        <f>SUMIF(105:105,I34,106:106)-SUMIF(105:105,C34,106:106)+100</f>
        <v>100</v>
      </c>
      <c r="K34" s="538">
        <v>1</v>
      </c>
      <c r="L34" s="2491"/>
      <c r="M34" s="2486"/>
      <c r="N34" s="2486"/>
      <c r="O34" s="2486"/>
      <c r="P34" s="3375"/>
      <c r="Q34" s="1262" t="str">
        <f t="shared" si="11"/>
        <v>建筑结构</v>
      </c>
      <c r="R34" s="666" t="s">
        <v>14</v>
      </c>
      <c r="S34" s="667">
        <f t="shared" si="12"/>
        <v>100</v>
      </c>
      <c r="T34" s="666" t="s">
        <v>14</v>
      </c>
      <c r="U34" s="667">
        <f t="shared" si="13"/>
        <v>100</v>
      </c>
      <c r="V34" s="666" t="s">
        <v>14</v>
      </c>
      <c r="W34" s="667">
        <f t="shared" si="14"/>
        <v>100</v>
      </c>
      <c r="X34" s="1264"/>
      <c r="Y34" s="3377"/>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1"/>
      <c r="M35" s="2486"/>
      <c r="N35" s="2486"/>
      <c r="O35" s="2486"/>
      <c r="P35" s="3375"/>
      <c r="Q35" s="1262" t="str">
        <f t="shared" si="11"/>
        <v>公共部分装修</v>
      </c>
      <c r="R35" s="666" t="s">
        <v>14</v>
      </c>
      <c r="S35" s="667">
        <f t="shared" si="12"/>
        <v>100</v>
      </c>
      <c r="T35" s="666" t="s">
        <v>14</v>
      </c>
      <c r="U35" s="667">
        <f t="shared" si="13"/>
        <v>100</v>
      </c>
      <c r="V35" s="666" t="s">
        <v>14</v>
      </c>
      <c r="W35" s="667">
        <f t="shared" si="14"/>
        <v>100</v>
      </c>
      <c r="X35" s="1264"/>
      <c r="Y35" s="3377"/>
      <c r="Z35" s="1263" t="str">
        <f t="shared" si="15"/>
        <v>公共部分装修</v>
      </c>
      <c r="AA35" s="1263">
        <f t="shared" si="3"/>
        <v>1</v>
      </c>
      <c r="AB35" s="1263">
        <f t="shared" si="4"/>
        <v>1</v>
      </c>
      <c r="AC35" s="1263">
        <f t="shared" si="5"/>
        <v>1</v>
      </c>
    </row>
    <row r="36" spans="1:29" ht="15">
      <c r="A36" s="409"/>
      <c r="B36" s="364" t="s">
        <v>1786</v>
      </c>
      <c r="C36" s="411">
        <f>'数据-取费表'!N6</f>
        <v>0.71</v>
      </c>
      <c r="D36" s="374">
        <v>100</v>
      </c>
      <c r="E36" s="411">
        <v>0.76</v>
      </c>
      <c r="F36" s="400">
        <f>LOOKUP(E36,110:110,111:111)-LOOKUP(C36,110:110,111:111)+100</f>
        <v>100</v>
      </c>
      <c r="G36" s="411">
        <v>0.8</v>
      </c>
      <c r="H36" s="400">
        <f>LOOKUP(G36,110:110,111:111)-LOOKUP(C36,110:110,111:111)+100</f>
        <v>101</v>
      </c>
      <c r="I36" s="411">
        <v>0.84</v>
      </c>
      <c r="J36" s="374">
        <f>LOOKUP(I36,110:110,111:111)-LOOKUP(C36,110:110,111:111)+100</f>
        <v>101</v>
      </c>
      <c r="K36" s="538">
        <v>1</v>
      </c>
      <c r="L36" s="2491"/>
      <c r="M36" s="2486"/>
      <c r="N36" s="2486"/>
      <c r="O36" s="2486"/>
      <c r="P36" s="3375"/>
      <c r="Q36" s="1262" t="str">
        <f t="shared" si="11"/>
        <v>成新度</v>
      </c>
      <c r="R36" s="666" t="s">
        <v>14</v>
      </c>
      <c r="S36" s="667">
        <f t="shared" si="12"/>
        <v>100</v>
      </c>
      <c r="T36" s="666" t="s">
        <v>14</v>
      </c>
      <c r="U36" s="667">
        <f t="shared" si="13"/>
        <v>101</v>
      </c>
      <c r="V36" s="666" t="s">
        <v>14</v>
      </c>
      <c r="W36" s="667">
        <f t="shared" si="14"/>
        <v>101</v>
      </c>
      <c r="X36" s="1264"/>
      <c r="Y36" s="3377"/>
      <c r="Z36" s="1263" t="str">
        <f t="shared" si="15"/>
        <v>成新度</v>
      </c>
      <c r="AA36" s="1263">
        <f t="shared" si="3"/>
        <v>1</v>
      </c>
      <c r="AB36" s="1263">
        <f t="shared" si="4"/>
        <v>0.99009900990099009</v>
      </c>
      <c r="AC36" s="1263">
        <f t="shared" si="5"/>
        <v>0.99009900990099009</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75"/>
      <c r="Q37" s="530" t="str">
        <f t="shared" si="11"/>
        <v>市政基础设施</v>
      </c>
      <c r="R37" s="663" t="s">
        <v>14</v>
      </c>
      <c r="S37" s="664">
        <f t="shared" si="12"/>
        <v>100</v>
      </c>
      <c r="T37" s="663" t="s">
        <v>14</v>
      </c>
      <c r="U37" s="664">
        <f t="shared" si="13"/>
        <v>100</v>
      </c>
      <c r="V37" s="663" t="s">
        <v>14</v>
      </c>
      <c r="W37" s="664">
        <f t="shared" si="14"/>
        <v>100</v>
      </c>
      <c r="X37" s="665"/>
      <c r="Y37" s="3377"/>
      <c r="Z37" s="50" t="str">
        <f t="shared" si="15"/>
        <v>市政基础设施</v>
      </c>
      <c r="AA37" s="50">
        <f t="shared" si="3"/>
        <v>1</v>
      </c>
      <c r="AB37" s="50">
        <f t="shared" si="4"/>
        <v>1</v>
      </c>
      <c r="AC37" s="50">
        <f t="shared" si="5"/>
        <v>1</v>
      </c>
    </row>
    <row r="38" spans="1:29" ht="15">
      <c r="A38" s="409"/>
      <c r="B38" s="364" t="s">
        <v>1788</v>
      </c>
      <c r="C38" s="1759" t="s">
        <v>3483</v>
      </c>
      <c r="D38" s="374">
        <v>100</v>
      </c>
      <c r="E38" s="1759" t="s">
        <v>3485</v>
      </c>
      <c r="F38" s="400">
        <f>SUMIF(114:114,E38,115:115)-SUMIF(114:114,C38,115:115)+100</f>
        <v>98</v>
      </c>
      <c r="G38" s="1759" t="s">
        <v>3485</v>
      </c>
      <c r="H38" s="374">
        <f>SUMIF(114:114,G38,115:115)-SUMIF(114:114,C38,115:115)+100</f>
        <v>98</v>
      </c>
      <c r="I38" s="1759" t="s">
        <v>3485</v>
      </c>
      <c r="J38" s="374">
        <f>SUMIF(114:114,I38,115:115)-SUMIF(114:114,C38,115:115)+100</f>
        <v>98</v>
      </c>
      <c r="K38" s="538">
        <v>2</v>
      </c>
      <c r="L38" s="2491"/>
      <c r="M38" s="2486"/>
      <c r="N38" s="2486"/>
      <c r="O38" s="2486"/>
      <c r="P38" s="3375" t="s">
        <v>1696</v>
      </c>
      <c r="Q38" s="1262" t="str">
        <f t="shared" si="11"/>
        <v>业态</v>
      </c>
      <c r="R38" s="666" t="s">
        <v>14</v>
      </c>
      <c r="S38" s="667">
        <f t="shared" si="12"/>
        <v>98</v>
      </c>
      <c r="T38" s="666" t="s">
        <v>14</v>
      </c>
      <c r="U38" s="667">
        <f t="shared" si="13"/>
        <v>98</v>
      </c>
      <c r="V38" s="666" t="s">
        <v>14</v>
      </c>
      <c r="W38" s="667">
        <f t="shared" si="14"/>
        <v>98</v>
      </c>
      <c r="X38" s="1264"/>
      <c r="Y38" s="3377" t="s">
        <v>1696</v>
      </c>
      <c r="Z38" s="1263" t="str">
        <f t="shared" si="15"/>
        <v>业态</v>
      </c>
      <c r="AA38" s="1263">
        <f t="shared" si="3"/>
        <v>1.0204081632653061</v>
      </c>
      <c r="AB38" s="1263">
        <f t="shared" si="4"/>
        <v>1.0204081632653061</v>
      </c>
      <c r="AC38" s="1263">
        <f t="shared" si="5"/>
        <v>1.0204081632653061</v>
      </c>
    </row>
    <row r="39" spans="1:29" ht="15">
      <c r="A39" s="409"/>
      <c r="B39" s="364" t="s">
        <v>1789</v>
      </c>
      <c r="C39" s="1759" t="s">
        <v>3487</v>
      </c>
      <c r="D39" s="374">
        <v>100</v>
      </c>
      <c r="E39" s="1759" t="s">
        <v>3487</v>
      </c>
      <c r="F39" s="400">
        <f>SUMIF(116:116,E39,117:117)-SUMIF(116:116,C39,117:117)+100</f>
        <v>100</v>
      </c>
      <c r="G39" s="1759" t="s">
        <v>3518</v>
      </c>
      <c r="H39" s="374">
        <f>SUMIF(116:116,G39,117:117)-SUMIF(116:116,C39,117:117)+100</f>
        <v>103</v>
      </c>
      <c r="I39" s="1759" t="s">
        <v>3487</v>
      </c>
      <c r="J39" s="374">
        <f>SUMIF(116:116,I39,117:117)-SUMIF(116:116,C39,117:117)+100</f>
        <v>100</v>
      </c>
      <c r="K39" s="538">
        <v>3</v>
      </c>
      <c r="L39" s="2491"/>
      <c r="M39" s="2486"/>
      <c r="N39" s="2486"/>
      <c r="O39" s="2486"/>
      <c r="P39" s="3375"/>
      <c r="Q39" s="1262" t="str">
        <f t="shared" si="11"/>
        <v>层高</v>
      </c>
      <c r="R39" s="666" t="s">
        <v>14</v>
      </c>
      <c r="S39" s="667">
        <f t="shared" si="12"/>
        <v>100</v>
      </c>
      <c r="T39" s="666" t="s">
        <v>14</v>
      </c>
      <c r="U39" s="667">
        <f t="shared" si="13"/>
        <v>103</v>
      </c>
      <c r="V39" s="666" t="s">
        <v>14</v>
      </c>
      <c r="W39" s="667">
        <f t="shared" si="14"/>
        <v>100</v>
      </c>
      <c r="X39" s="1264"/>
      <c r="Y39" s="3377"/>
      <c r="Z39" s="1263" t="str">
        <f t="shared" si="15"/>
        <v>层高</v>
      </c>
      <c r="AA39" s="1263">
        <f t="shared" si="3"/>
        <v>1</v>
      </c>
      <c r="AB39" s="1263">
        <f t="shared" si="4"/>
        <v>0.970873786407767</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75"/>
      <c r="Q40" s="1262" t="str">
        <f t="shared" si="11"/>
        <v>单套建筑面积</v>
      </c>
      <c r="R40" s="666" t="s">
        <v>14</v>
      </c>
      <c r="S40" s="667">
        <f t="shared" si="12"/>
        <v>100</v>
      </c>
      <c r="T40" s="666" t="s">
        <v>14</v>
      </c>
      <c r="U40" s="667">
        <f t="shared" si="13"/>
        <v>100</v>
      </c>
      <c r="V40" s="666" t="s">
        <v>14</v>
      </c>
      <c r="W40" s="667">
        <f t="shared" si="14"/>
        <v>100</v>
      </c>
      <c r="X40" s="1264"/>
      <c r="Y40" s="3377"/>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5"/>
      <c r="Q41" s="531" t="str">
        <f t="shared" si="11"/>
        <v>进深比</v>
      </c>
      <c r="R41" s="668" t="s">
        <v>14</v>
      </c>
      <c r="S41" s="669">
        <f t="shared" si="12"/>
        <v>100</v>
      </c>
      <c r="T41" s="668" t="s">
        <v>14</v>
      </c>
      <c r="U41" s="669">
        <f t="shared" si="13"/>
        <v>100</v>
      </c>
      <c r="V41" s="668" t="s">
        <v>14</v>
      </c>
      <c r="W41" s="669">
        <f t="shared" si="14"/>
        <v>100</v>
      </c>
      <c r="X41" s="670"/>
      <c r="Y41" s="3377"/>
      <c r="Z41" s="671" t="str">
        <f t="shared" si="15"/>
        <v>进深比</v>
      </c>
      <c r="AA41" s="1263">
        <f t="shared" si="3"/>
        <v>1</v>
      </c>
      <c r="AB41" s="1263">
        <f t="shared" si="4"/>
        <v>1</v>
      </c>
      <c r="AC41" s="1263">
        <f t="shared" si="5"/>
        <v>1</v>
      </c>
    </row>
    <row r="42" spans="1:29" ht="15">
      <c r="A42" s="409"/>
      <c r="B42" s="364" t="s">
        <v>1792</v>
      </c>
      <c r="C42" s="1759" t="s">
        <v>3475</v>
      </c>
      <c r="D42" s="374">
        <v>100</v>
      </c>
      <c r="E42" s="1759" t="s">
        <v>3475</v>
      </c>
      <c r="F42" s="400">
        <f>SUMIF(122:122,E42,123:123)-SUMIF(122:122,C42,123:123)+100</f>
        <v>100</v>
      </c>
      <c r="G42" s="1759" t="s">
        <v>3475</v>
      </c>
      <c r="H42" s="374">
        <f>SUMIF(122:122,G42,123:123)-SUMIF(122:122,C42,123:123)+100</f>
        <v>100</v>
      </c>
      <c r="I42" s="1759" t="s">
        <v>3475</v>
      </c>
      <c r="J42" s="374">
        <f>SUMIF(122:122,I42,123:123)-SUMIF(122:122,C42,123:123)+100</f>
        <v>100</v>
      </c>
      <c r="K42" s="538">
        <v>1</v>
      </c>
      <c r="L42" s="2491"/>
      <c r="M42" s="2486"/>
      <c r="N42" s="2486"/>
      <c r="O42" s="2486"/>
      <c r="P42" s="3375"/>
      <c r="Q42" s="1262" t="str">
        <f t="shared" si="11"/>
        <v>内部装修</v>
      </c>
      <c r="R42" s="666" t="s">
        <v>14</v>
      </c>
      <c r="S42" s="667">
        <f t="shared" si="12"/>
        <v>100</v>
      </c>
      <c r="T42" s="666" t="s">
        <v>14</v>
      </c>
      <c r="U42" s="667">
        <f t="shared" si="13"/>
        <v>100</v>
      </c>
      <c r="V42" s="666" t="s">
        <v>14</v>
      </c>
      <c r="W42" s="667">
        <f t="shared" si="14"/>
        <v>100</v>
      </c>
      <c r="X42" s="1264"/>
      <c r="Y42" s="3377"/>
      <c r="Z42" s="1263" t="str">
        <f t="shared" si="15"/>
        <v>内部装修</v>
      </c>
      <c r="AA42" s="1263">
        <f t="shared" si="3"/>
        <v>1</v>
      </c>
      <c r="AB42" s="1263">
        <f t="shared" si="4"/>
        <v>1</v>
      </c>
      <c r="AC42" s="1263">
        <f t="shared" si="5"/>
        <v>1</v>
      </c>
    </row>
    <row r="43" spans="1:29" ht="15">
      <c r="A43" s="409"/>
      <c r="B43" s="364" t="s">
        <v>1707</v>
      </c>
      <c r="C43" s="1759" t="s">
        <v>3457</v>
      </c>
      <c r="D43" s="374">
        <v>100</v>
      </c>
      <c r="E43" s="1759" t="s">
        <v>3457</v>
      </c>
      <c r="F43" s="400">
        <f>SUMIF(124:124,E43,125:125)-SUMIF(124:124,C43,125:125)+100</f>
        <v>100</v>
      </c>
      <c r="G43" s="1759" t="s">
        <v>3457</v>
      </c>
      <c r="H43" s="374">
        <f>SUMIF(124:124,G43,125:125)-SUMIF(124:124,C43,125:125)+100</f>
        <v>100</v>
      </c>
      <c r="I43" s="1759" t="s">
        <v>3457</v>
      </c>
      <c r="J43" s="374">
        <f>SUMIF(124:124,I43,125:125)-SUMIF(124:124,C43,125:125)+100</f>
        <v>100</v>
      </c>
      <c r="K43" s="538">
        <v>1</v>
      </c>
      <c r="L43" s="2491"/>
      <c r="M43" s="2486"/>
      <c r="N43" s="2486"/>
      <c r="O43" s="2486"/>
      <c r="P43" s="3375"/>
      <c r="Q43" s="1262" t="str">
        <f t="shared" si="11"/>
        <v>内部装修维护情况</v>
      </c>
      <c r="R43" s="666" t="s">
        <v>14</v>
      </c>
      <c r="S43" s="667">
        <f t="shared" si="12"/>
        <v>100</v>
      </c>
      <c r="T43" s="666" t="s">
        <v>14</v>
      </c>
      <c r="U43" s="667">
        <f t="shared" si="13"/>
        <v>100</v>
      </c>
      <c r="V43" s="666" t="s">
        <v>14</v>
      </c>
      <c r="W43" s="667">
        <f t="shared" si="14"/>
        <v>100</v>
      </c>
      <c r="X43" s="1264"/>
      <c r="Y43" s="3377"/>
      <c r="Z43" s="1263" t="str">
        <f t="shared" si="15"/>
        <v>内部装修维护情况</v>
      </c>
      <c r="AA43" s="1263">
        <f t="shared" si="3"/>
        <v>1</v>
      </c>
      <c r="AB43" s="1263">
        <f t="shared" si="4"/>
        <v>1</v>
      </c>
      <c r="AC43" s="1263">
        <f t="shared" si="5"/>
        <v>1</v>
      </c>
    </row>
    <row r="44" spans="1:29" s="102" customFormat="1" ht="15">
      <c r="A44" s="410"/>
      <c r="B44" s="3174" t="s">
        <v>3513</v>
      </c>
      <c r="C44" s="407">
        <v>2002</v>
      </c>
      <c r="D44" s="119">
        <v>100</v>
      </c>
      <c r="E44" s="373" t="s">
        <v>3514</v>
      </c>
      <c r="F44" s="364">
        <f>SUMIF(126:126,E44,127:127)-SUMIF(126:126,C44,127:127)+100</f>
        <v>100</v>
      </c>
      <c r="G44" s="373">
        <v>2013</v>
      </c>
      <c r="H44" s="119">
        <f>SUMIF(126:126,G44,127:127)-SUMIF(126:126,C44,127:127)+100</f>
        <v>100</v>
      </c>
      <c r="I44" s="373">
        <v>2017</v>
      </c>
      <c r="J44" s="119">
        <f>SUMIF(126:126,I44,127:127)-SUMIF(126:126,C44,127:127)+100</f>
        <v>100</v>
      </c>
      <c r="K44" s="539"/>
      <c r="L44" s="2487"/>
      <c r="M44" s="2439"/>
      <c r="N44" s="2439"/>
      <c r="O44" s="2439"/>
      <c r="P44" s="3375"/>
      <c r="Q44" s="530" t="str">
        <f t="shared" si="11"/>
        <v>建成年代</v>
      </c>
      <c r="R44" s="663" t="s">
        <v>14</v>
      </c>
      <c r="S44" s="664">
        <f t="shared" si="12"/>
        <v>100</v>
      </c>
      <c r="T44" s="663" t="s">
        <v>14</v>
      </c>
      <c r="U44" s="664">
        <f t="shared" si="13"/>
        <v>100</v>
      </c>
      <c r="V44" s="663" t="s">
        <v>14</v>
      </c>
      <c r="W44" s="664">
        <f t="shared" si="14"/>
        <v>100</v>
      </c>
      <c r="X44" s="665"/>
      <c r="Y44" s="3377"/>
      <c r="Z44" s="50" t="str">
        <f t="shared" si="15"/>
        <v>建成年代</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t="s">
        <v>3520</v>
      </c>
      <c r="H45" s="374">
        <f>SUMIF(128:128,G45,129:129)-SUMIF(128:128,C45,129:129)+100</f>
        <v>100</v>
      </c>
      <c r="I45" s="373"/>
      <c r="J45" s="374">
        <f>SUMIF(128:128,I45,129:129)-SUMIF(128:128,C45,129:129)+100</f>
        <v>100</v>
      </c>
      <c r="K45" s="539"/>
      <c r="L45" s="2491"/>
      <c r="M45" s="2486"/>
      <c r="N45" s="2486"/>
      <c r="O45" s="2486"/>
      <c r="P45" s="3375"/>
      <c r="Q45" s="1262">
        <f t="shared" si="11"/>
        <v>111</v>
      </c>
      <c r="R45" s="666" t="s">
        <v>14</v>
      </c>
      <c r="S45" s="667">
        <f t="shared" si="12"/>
        <v>100</v>
      </c>
      <c r="T45" s="666" t="s">
        <v>14</v>
      </c>
      <c r="U45" s="667">
        <f t="shared" si="13"/>
        <v>100</v>
      </c>
      <c r="V45" s="666" t="s">
        <v>14</v>
      </c>
      <c r="W45" s="667">
        <f t="shared" si="14"/>
        <v>100</v>
      </c>
      <c r="X45" s="1264"/>
      <c r="Y45" s="337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6"/>
      <c r="Q46" s="1262">
        <f t="shared" si="11"/>
        <v>111</v>
      </c>
      <c r="R46" s="666" t="s">
        <v>14</v>
      </c>
      <c r="S46" s="667">
        <f t="shared" si="12"/>
        <v>100</v>
      </c>
      <c r="T46" s="666" t="s">
        <v>14</v>
      </c>
      <c r="U46" s="667">
        <f t="shared" si="13"/>
        <v>100</v>
      </c>
      <c r="V46" s="666" t="s">
        <v>14</v>
      </c>
      <c r="W46" s="667">
        <f t="shared" si="14"/>
        <v>100</v>
      </c>
      <c r="X46" s="1264"/>
      <c r="Y46" s="3378"/>
      <c r="Z46" s="1263">
        <f t="shared" si="15"/>
        <v>111</v>
      </c>
      <c r="AA46" s="1263">
        <f t="shared" si="3"/>
        <v>1</v>
      </c>
      <c r="AB46" s="1263">
        <f t="shared" si="4"/>
        <v>1</v>
      </c>
      <c r="AC46" s="1263">
        <f t="shared" si="5"/>
        <v>1</v>
      </c>
    </row>
    <row r="47" spans="1:29" ht="15">
      <c r="A47" s="416" t="s">
        <v>1708</v>
      </c>
      <c r="B47" s="417"/>
      <c r="C47" s="1080" t="s">
        <v>0</v>
      </c>
      <c r="D47" s="418"/>
      <c r="E47" s="419">
        <v>48061</v>
      </c>
      <c r="F47" s="420"/>
      <c r="G47" s="421">
        <v>49686</v>
      </c>
      <c r="H47" s="422"/>
      <c r="I47" s="419">
        <v>42368</v>
      </c>
      <c r="J47" s="422"/>
      <c r="K47" s="673"/>
      <c r="L47" s="2493"/>
      <c r="M47" s="2486"/>
      <c r="N47" s="2486"/>
      <c r="O47" s="2486"/>
      <c r="P47" s="3365" t="str">
        <f>A47</f>
        <v>成交单价（元/平方米）</v>
      </c>
      <c r="Q47" s="3365"/>
      <c r="R47" s="3366">
        <f>E47</f>
        <v>48061</v>
      </c>
      <c r="S47" s="3366"/>
      <c r="T47" s="3366">
        <f>G47</f>
        <v>49686</v>
      </c>
      <c r="U47" s="3366"/>
      <c r="V47" s="3366">
        <f>I47</f>
        <v>42368</v>
      </c>
      <c r="W47" s="3366"/>
      <c r="X47" s="385"/>
      <c r="Y47" s="672"/>
      <c r="Z47" s="385"/>
      <c r="AA47" s="385"/>
      <c r="AB47" s="385"/>
      <c r="AC47" s="385"/>
    </row>
    <row r="48" spans="1:29" ht="15.75" thickBot="1">
      <c r="A48" s="423" t="s">
        <v>1793</v>
      </c>
      <c r="B48" s="424"/>
      <c r="C48" s="1081">
        <f>R49</f>
        <v>38699</v>
      </c>
      <c r="D48" s="2140" t="s">
        <v>2138</v>
      </c>
      <c r="E48" s="1082">
        <f>R48</f>
        <v>40144</v>
      </c>
      <c r="F48" s="2141"/>
      <c r="G48" s="1081">
        <f>T48</f>
        <v>38345</v>
      </c>
      <c r="H48" s="2141"/>
      <c r="I48" s="1082">
        <f>V48</f>
        <v>37608</v>
      </c>
      <c r="J48" s="2141"/>
      <c r="K48" s="2143">
        <f>F48+H48+J48</f>
        <v>0</v>
      </c>
      <c r="L48" s="2493"/>
      <c r="M48" s="2486"/>
      <c r="N48" s="2486"/>
      <c r="O48" s="2486"/>
      <c r="P48" s="3365" t="str">
        <f>A48</f>
        <v>比较价值（元/平方米）</v>
      </c>
      <c r="Q48" s="3365"/>
      <c r="R48" s="3366">
        <f>IF(F1="售价",ROUND(PRODUCT(R47,AA7:AA46),0),ROUND(PRODUCT(R47,AA7:AA46),1))</f>
        <v>40144</v>
      </c>
      <c r="S48" s="3366"/>
      <c r="T48" s="3366">
        <f>IF(F1="售价",ROUND(PRODUCT(T47,AB7:AB46),0),ROUND(PRODUCT(T47,AB7:AB46),1))</f>
        <v>38345</v>
      </c>
      <c r="U48" s="3366"/>
      <c r="V48" s="3366">
        <f>IF(F1="售价",ROUND(PRODUCT(V47,AC7:AC46),0),ROUND(PRODUCT(V47,AC7:AC46),1))</f>
        <v>37608</v>
      </c>
      <c r="W48" s="3366"/>
      <c r="X48" s="385"/>
      <c r="Y48" s="385"/>
      <c r="Z48" s="385"/>
      <c r="AA48" s="385"/>
      <c r="AB48" s="385"/>
      <c r="AC48" s="385"/>
    </row>
    <row r="49" spans="1:29" ht="15.75" thickBot="1">
      <c r="A49" s="427" t="s">
        <v>1794</v>
      </c>
      <c r="B49" s="428"/>
      <c r="C49" s="351">
        <f>R49</f>
        <v>38699</v>
      </c>
      <c r="D49" s="351"/>
      <c r="E49" s="351"/>
      <c r="F49" s="351"/>
      <c r="G49" s="351"/>
      <c r="H49" s="351"/>
      <c r="I49" s="351"/>
      <c r="J49" s="351"/>
      <c r="K49" s="674"/>
      <c r="L49" s="2493"/>
      <c r="M49" s="2486"/>
      <c r="N49" s="2486"/>
      <c r="O49" s="2486"/>
      <c r="P49" s="3367" t="str">
        <f>A49</f>
        <v>估价对象XX用房的比较价值（楼面单价，元/平方米）</v>
      </c>
      <c r="Q49" s="3368"/>
      <c r="R49" s="3369">
        <f>IF(F1="售价",ROUND(IF(D48="简单平均",AVERAGE(R48:V48),R48*F48+T48*H48+V48*J48),0),ROUND(IF(D48="简单平均",AVERAGE(R48:V48),R48*F48+T48*H48+V48*J48),1))</f>
        <v>38699</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0.19721502590673579</v>
      </c>
      <c r="F52" s="435" t="str">
        <f>IF(OR(E52&gt;=0.3,E52&lt;=-0.3),"超过30%","")</f>
        <v/>
      </c>
      <c r="G52" s="434">
        <f>IF(G47&lt;G48,G48/G47-1,G47/G48-1)</f>
        <v>0.29576215934280881</v>
      </c>
      <c r="H52" s="435" t="str">
        <f>IF(OR(G52&gt;=0.3,G52&lt;=-0.3),"超过30%","")</f>
        <v/>
      </c>
      <c r="I52" s="434">
        <f>IF(I47&lt;I48,I48/I47-1,I47/I48-1)</f>
        <v>0.12656881514571361</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4.6916155952536176E-2</v>
      </c>
      <c r="F53" s="435" t="str">
        <f>IF(OR(E53&gt;=0.2,E53&lt;=-0.2),"超过20%","")</f>
        <v/>
      </c>
      <c r="G53" s="434">
        <f>IF(G48&lt;I48,I48/G48-1,G48/I48-1)</f>
        <v>1.9596894277813304E-2</v>
      </c>
      <c r="H53" s="435" t="str">
        <f>IF(OR(G53&gt;=0.2,G53&lt;=-0.2),"超过20%","")</f>
        <v/>
      </c>
      <c r="I53" s="434">
        <f>IF(I48&lt;E48,E48/I48-1,I48/E48-1)</f>
        <v>6.743246117847268E-2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3.3811198268866693E-2</v>
      </c>
      <c r="F54" s="435" t="str">
        <f>IF(OR(E54&gt;=0.3,E54&lt;=-0.3),"超过30%","")</f>
        <v/>
      </c>
      <c r="G54" s="434">
        <f>IF(G47&lt;I47,I47/G47-1,G47/I47-1)</f>
        <v>0.1727246978851964</v>
      </c>
      <c r="H54" s="435" t="str">
        <f>IF(OR(G54&gt;=0.3,G54&lt;=-0.3),"超过30%","")</f>
        <v/>
      </c>
      <c r="I54" s="434">
        <f>IF(I47&lt;E47,E47/I47-1,I47/E47-1)</f>
        <v>0.1343702794561934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64"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3449</v>
      </c>
      <c r="D65" s="513" t="s">
        <v>3450</v>
      </c>
      <c r="E65" s="513" t="s">
        <v>3451</v>
      </c>
      <c r="F65" s="513" t="s">
        <v>3452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65" t="s">
        <v>3454</v>
      </c>
      <c r="D86" s="3165" t="s">
        <v>3535</v>
      </c>
      <c r="E86" s="3165" t="s">
        <v>3455</v>
      </c>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3456</v>
      </c>
      <c r="D88" s="485" t="s">
        <v>3457</v>
      </c>
      <c r="E88" s="485" t="s">
        <v>3458</v>
      </c>
      <c r="F88" s="1779" t="s">
        <v>3459</v>
      </c>
      <c r="G88" s="485" t="s">
        <v>3460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3461</v>
      </c>
      <c r="D90" s="3165" t="s">
        <v>3463</v>
      </c>
      <c r="E90" s="3165" t="s">
        <v>3464</v>
      </c>
      <c r="F90" s="3165" t="s">
        <v>3465</v>
      </c>
      <c r="G90" s="3165" t="s">
        <v>3466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3467</v>
      </c>
      <c r="D92" s="485" t="s">
        <v>3468</v>
      </c>
      <c r="E92" s="485" t="s">
        <v>3469</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ROUND(E93*C95/E95,0)</f>
        <v>114</v>
      </c>
      <c r="D93" s="467">
        <f>ROUND(E93*D95/E95,0)</f>
        <v>86</v>
      </c>
      <c r="E93" s="467">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75</v>
      </c>
      <c r="E95" s="467">
        <f>ROUND((C95+D95)/2,2)</f>
        <v>87.5</v>
      </c>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66" t="s">
        <v>3471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99</v>
      </c>
      <c r="E101" s="475">
        <f t="shared" si="24"/>
        <v>98</v>
      </c>
      <c r="F101" s="475">
        <f t="shared" si="24"/>
        <v>97</v>
      </c>
      <c r="G101" s="475">
        <f t="shared" si="24"/>
        <v>96</v>
      </c>
      <c r="H101" s="475">
        <f t="shared" si="24"/>
        <v>95</v>
      </c>
      <c r="I101" s="475">
        <f t="shared" si="24"/>
        <v>94</v>
      </c>
      <c r="J101" s="475">
        <f t="shared" si="24"/>
        <v>93</v>
      </c>
      <c r="K101" s="475">
        <f t="shared" si="24"/>
        <v>92</v>
      </c>
      <c r="L101" s="475">
        <f t="shared" si="24"/>
        <v>91</v>
      </c>
      <c r="M101" s="476">
        <f t="shared" si="24"/>
        <v>90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0(含)-150</v>
      </c>
      <c r="D102" s="509" t="str">
        <f t="shared" ref="D102:L102" si="25">D103&amp;"(含)"&amp;"-"&amp;E103</f>
        <v>150(含)-266.92/189.63</v>
      </c>
      <c r="E102" s="509" t="str">
        <f t="shared" si="25"/>
        <v>266.92/189.63(含)-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150</v>
      </c>
      <c r="E103" s="6" t="s">
        <v>3491</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5" t="s">
        <v>3472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5" t="s">
        <v>3474</v>
      </c>
      <c r="D107" s="3165" t="s">
        <v>3476</v>
      </c>
      <c r="E107" s="3165" t="s">
        <v>3477</v>
      </c>
      <c r="F107" s="3167" t="s">
        <v>3478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5" t="s">
        <v>3480</v>
      </c>
      <c r="D112" s="3165" t="s">
        <v>3481</v>
      </c>
      <c r="E112" s="3165" t="s">
        <v>3482</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5" t="s">
        <v>3484</v>
      </c>
      <c r="D114" s="3165" t="s">
        <v>3486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5" t="s">
        <v>3519</v>
      </c>
      <c r="D116" s="3165" t="s">
        <v>3529</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5" t="s">
        <v>3474</v>
      </c>
      <c r="D122" s="3165" t="s">
        <v>3476</v>
      </c>
      <c r="E122" s="3165" t="s">
        <v>3477</v>
      </c>
      <c r="F122" s="3167" t="s">
        <v>3478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建成年代</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80" zoomScaleNormal="70" zoomScaleSheetLayoutView="80" workbookViewId="0">
      <selection activeCell="G14" sqref="G14"/>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3430</v>
      </c>
      <c r="D1" s="1270" t="s">
        <v>43</v>
      </c>
      <c r="E1" s="1271" t="s">
        <v>678</v>
      </c>
      <c r="F1" s="998">
        <f ca="1">J53</f>
        <v>15</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661.80359999999996</v>
      </c>
      <c r="C2" s="1288" t="s">
        <v>879</v>
      </c>
      <c r="D2" s="1374">
        <f ca="1">C40+J29+L46</f>
        <v>6618036</v>
      </c>
      <c r="E2" s="1294" t="s">
        <v>880</v>
      </c>
      <c r="F2" s="1295"/>
      <c r="G2" s="2477"/>
      <c r="H2" s="2467"/>
      <c r="I2" s="2467"/>
      <c r="J2" s="2467"/>
      <c r="K2" s="2468"/>
      <c r="L2" s="2467"/>
      <c r="M2" s="2467"/>
    </row>
    <row r="3" spans="1:37" ht="18" customHeight="1" thickBot="1">
      <c r="A3" s="1296" t="s">
        <v>881</v>
      </c>
      <c r="B3" s="1297">
        <f ca="1">IF(ISERROR(D2/F43),0,ROUND(D2/F43,0))</f>
        <v>14496</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615673</v>
      </c>
      <c r="D5" s="1272" t="s">
        <v>889</v>
      </c>
      <c r="E5" s="1007"/>
      <c r="F5" s="1008"/>
      <c r="G5" s="1291"/>
      <c r="H5" s="291">
        <v>1</v>
      </c>
      <c r="I5" s="292" t="s">
        <v>888</v>
      </c>
      <c r="J5" s="1006">
        <f ca="1">J6+J10+J12</f>
        <v>0</v>
      </c>
      <c r="K5" s="1272" t="s">
        <v>889</v>
      </c>
      <c r="L5" s="1007"/>
      <c r="M5" s="1008"/>
    </row>
    <row r="6" spans="1:37" ht="18" customHeight="1">
      <c r="A6" s="1005" t="s">
        <v>398</v>
      </c>
      <c r="B6" s="3362" t="s">
        <v>694</v>
      </c>
      <c r="C6" s="1010">
        <f ca="1">ROUND(F6*F8*F7*(1-F9),0)</f>
        <v>614904</v>
      </c>
      <c r="D6" s="147" t="s">
        <v>2106</v>
      </c>
      <c r="E6" s="294" t="s">
        <v>696</v>
      </c>
      <c r="F6" s="295">
        <f ca="1">INDIRECT("'数据-取费表'!u"&amp;$G$1)</f>
        <v>4.0999999999999996</v>
      </c>
      <c r="G6" s="1291"/>
      <c r="H6" s="1005" t="s">
        <v>398</v>
      </c>
      <c r="I6" s="3362" t="s">
        <v>694</v>
      </c>
      <c r="J6" s="293">
        <f ca="1">ROUND(M6*M8*M7*(1-M9),0)</f>
        <v>0</v>
      </c>
      <c r="K6" s="1283" t="s">
        <v>2107</v>
      </c>
      <c r="L6" s="294" t="s">
        <v>696</v>
      </c>
      <c r="M6" s="295">
        <f ca="1">INDIRECT("'数据-取费表'!z"&amp;$G$1)</f>
        <v>0</v>
      </c>
    </row>
    <row r="7" spans="1:37" ht="18" customHeight="1">
      <c r="A7" s="1009"/>
      <c r="B7" s="3363"/>
      <c r="C7" s="1011"/>
      <c r="D7" s="299"/>
      <c r="E7" s="1012" t="s">
        <v>697</v>
      </c>
      <c r="F7" s="295">
        <f ca="1">IF(INDIRECT("'数据-取费表'!ah"&amp;$G$1)="",INDIRECT("'数据-取费表'!k"&amp;$G$1),INDIRECT("'数据-取费表'!ah"&amp;$G$1))</f>
        <v>456.55</v>
      </c>
      <c r="G7" s="1291"/>
      <c r="H7" s="296"/>
      <c r="I7" s="3363"/>
      <c r="J7" s="298"/>
      <c r="K7" s="299"/>
      <c r="L7" s="294" t="s">
        <v>697</v>
      </c>
      <c r="M7" s="295">
        <f ca="1">F7</f>
        <v>456.55</v>
      </c>
    </row>
    <row r="8" spans="1:37" ht="18" customHeight="1">
      <c r="A8" s="296"/>
      <c r="B8" s="3363"/>
      <c r="C8" s="298"/>
      <c r="D8" s="299"/>
      <c r="E8" s="294" t="s">
        <v>698</v>
      </c>
      <c r="F8" s="295">
        <f ca="1">INDIRECT("'数据-取费表'!ai"&amp;$G$1)</f>
        <v>365</v>
      </c>
      <c r="G8" s="1291"/>
      <c r="H8" s="296"/>
      <c r="I8" s="3363"/>
      <c r="J8" s="298"/>
      <c r="K8" s="299"/>
      <c r="L8" s="294" t="s">
        <v>698</v>
      </c>
      <c r="M8" s="295">
        <f ca="1">INDIRECT("'数据-取费表'!ai"&amp;$G$1)</f>
        <v>365</v>
      </c>
    </row>
    <row r="9" spans="1:37" ht="18" customHeight="1">
      <c r="A9" s="296"/>
      <c r="B9" s="3364"/>
      <c r="C9" s="298"/>
      <c r="D9" s="299"/>
      <c r="E9" s="294" t="s">
        <v>699</v>
      </c>
      <c r="F9" s="304">
        <f ca="1">INDIRECT("'数据-取费表'!w"&amp;$G$1)</f>
        <v>0.1</v>
      </c>
      <c r="G9" s="1291"/>
      <c r="H9" s="296"/>
      <c r="I9" s="3364"/>
      <c r="J9" s="298"/>
      <c r="K9" s="299"/>
      <c r="L9" s="305" t="s">
        <v>699</v>
      </c>
      <c r="M9" s="306">
        <f ca="1">INDIRECT("'数据-取费表'!ab"&amp;$G$1)</f>
        <v>0</v>
      </c>
    </row>
    <row r="10" spans="1:37" ht="18" customHeight="1">
      <c r="A10" s="1005" t="s">
        <v>402</v>
      </c>
      <c r="B10" s="1273" t="s">
        <v>700</v>
      </c>
      <c r="C10" s="308">
        <f ca="1">ROUND(IF(F10="押一",C6/12*F11,IF(F10="押二",C6/12*2*F11,IF(F10="押三",C6/12*3*F11,C11*F11))),0)</f>
        <v>769</v>
      </c>
      <c r="D10" s="150" t="s">
        <v>2116</v>
      </c>
      <c r="E10" s="305" t="s">
        <v>701</v>
      </c>
      <c r="F10" s="1052" t="s">
        <v>3433</v>
      </c>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1685125</v>
      </c>
      <c r="D13" s="1017" t="s">
        <v>705</v>
      </c>
      <c r="E13" s="1017" t="s">
        <v>706</v>
      </c>
      <c r="F13" s="1018">
        <f ca="1">INDIRECT("'数据-取费表'!y"&amp;$G$1)</f>
        <v>0.71</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1597925</v>
      </c>
      <c r="D14" s="1256" t="s">
        <v>708</v>
      </c>
      <c r="E14" s="1254"/>
      <c r="F14" s="311"/>
      <c r="G14" s="1291"/>
      <c r="H14" s="927" t="s">
        <v>398</v>
      </c>
      <c r="I14" s="294" t="s">
        <v>709</v>
      </c>
      <c r="J14" s="21">
        <f ca="1">C29</f>
        <v>2373416</v>
      </c>
      <c r="K14" s="12"/>
      <c r="L14" s="758"/>
      <c r="M14" s="759"/>
    </row>
    <row r="15" spans="1:37" s="1303" customFormat="1" ht="18" customHeight="1" thickBot="1">
      <c r="A15" s="927" t="s">
        <v>399</v>
      </c>
      <c r="B15" s="294" t="s">
        <v>710</v>
      </c>
      <c r="C15" s="21">
        <f ca="1">ROUND(C14*F15,0)</f>
        <v>79896</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11867</v>
      </c>
      <c r="K16" s="1023" t="s">
        <v>715</v>
      </c>
      <c r="L16" s="1024"/>
      <c r="M16" s="1008"/>
    </row>
    <row r="17" spans="1:37" s="1303" customFormat="1" ht="18" customHeight="1">
      <c r="A17" s="927" t="s">
        <v>681</v>
      </c>
      <c r="B17" s="294" t="s">
        <v>716</v>
      </c>
      <c r="C17" s="21">
        <f ca="1">ROUND(F17*(F43+INDIRECT("'数据-取费表'!S"&amp;$G$1)),0)</f>
        <v>91310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31959</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1801090</v>
      </c>
      <c r="D19" s="123" t="s">
        <v>726</v>
      </c>
      <c r="E19" s="1268"/>
      <c r="F19" s="23"/>
      <c r="G19" s="1291"/>
      <c r="H19" s="927"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7" t="s">
        <v>402</v>
      </c>
      <c r="B20" s="294" t="s">
        <v>728</v>
      </c>
      <c r="C20" s="21">
        <f ca="1">ROUND(C19*F20,0)</f>
        <v>54033</v>
      </c>
      <c r="D20" s="315" t="s">
        <v>729</v>
      </c>
      <c r="E20" s="294" t="s">
        <v>712</v>
      </c>
      <c r="F20" s="314">
        <f>'数据-取费表'!B37</f>
        <v>0.03</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11867</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57509</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-11867</v>
      </c>
      <c r="K25" s="1031" t="s">
        <v>753</v>
      </c>
      <c r="L25" s="1032"/>
      <c r="M25" s="1033"/>
    </row>
    <row r="26" spans="1:37" ht="18" customHeight="1">
      <c r="A26" s="927" t="s">
        <v>397</v>
      </c>
      <c r="B26" s="294" t="s">
        <v>754</v>
      </c>
      <c r="C26" s="21">
        <f ca="1">ROUND((C19+C20)*F26,0)</f>
        <v>278268</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2373416</v>
      </c>
      <c r="D29" s="1028"/>
      <c r="E29" s="1026"/>
      <c r="F29" s="1029"/>
      <c r="G29" s="1302"/>
      <c r="H29" s="325" t="s">
        <v>396</v>
      </c>
      <c r="I29" s="326" t="s">
        <v>768</v>
      </c>
      <c r="J29" s="327">
        <f ca="1">ROUND(J26/(1+F40)^F41,0)</f>
        <v>0</v>
      </c>
      <c r="K29" s="328" t="s">
        <v>769</v>
      </c>
      <c r="L29" s="329"/>
      <c r="M29" s="330">
        <f ca="1">INDIRECT("'数据-取费表'!k"&amp;$G$1)</f>
        <v>456.55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60703</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40994</v>
      </c>
      <c r="D31" s="1256" t="s">
        <v>720</v>
      </c>
      <c r="E31" s="1255" t="s">
        <v>770</v>
      </c>
      <c r="F31" s="2138">
        <f ca="1">IF(项目基本情况!B11="企业","——",IF(M47="住宅",IF(F6*F7*F8/12/(1+'数据-取费表'!F30)&gt;100000,4%,2.5%),IF(F6*F7*F8/12/(1+'数据-取费表'!F30)&gt;100000,12%,7%)))</f>
        <v>7.0000000000000007E-2</v>
      </c>
      <c r="G31" s="1291"/>
      <c r="H31" s="2568" t="s">
        <v>2306</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11867</v>
      </c>
      <c r="D36" s="1255" t="s">
        <v>771</v>
      </c>
      <c r="E36" s="294" t="s">
        <v>712</v>
      </c>
      <c r="F36" s="320">
        <f ca="1">INDIRECT("'数据-取费表'!Ak"&amp;$G$1)</f>
        <v>5.0000000000000001E-3</v>
      </c>
      <c r="G36" s="1291"/>
      <c r="H36" s="2472"/>
      <c r="I36" s="1304"/>
      <c r="J36" s="1305"/>
      <c r="K36" s="2330"/>
      <c r="L36" s="2472"/>
      <c r="M36" s="2472"/>
    </row>
    <row r="37" spans="1:18" ht="18" customHeight="1">
      <c r="A37" s="927" t="s">
        <v>437</v>
      </c>
      <c r="B37" s="294" t="s">
        <v>742</v>
      </c>
      <c r="C37" s="21">
        <f ca="1">ROUND(C13*F37,0)</f>
        <v>1685</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ROUND(C5*F38,0)</f>
        <v>6157</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2">
        <f ca="1">C5-C30</f>
        <v>554970</v>
      </c>
      <c r="D39" s="1031" t="s">
        <v>773</v>
      </c>
      <c r="E39" s="1032"/>
      <c r="F39" s="1033"/>
      <c r="G39" s="1291"/>
      <c r="H39" s="2472"/>
      <c r="I39" s="1304"/>
      <c r="J39" s="1305"/>
      <c r="K39" s="2470"/>
      <c r="L39" s="2472"/>
      <c r="M39" s="2472"/>
    </row>
    <row r="40" spans="1:18" ht="18" customHeight="1">
      <c r="A40" s="291" t="s">
        <v>395</v>
      </c>
      <c r="B40" s="292" t="s">
        <v>774</v>
      </c>
      <c r="C40" s="293">
        <f ca="1">ROUND(C39*(1-((1+F42)/(1+F40))^F41)/(F40-F42),0)</f>
        <v>6297183</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15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13793</v>
      </c>
      <c r="D43" s="328" t="s">
        <v>777</v>
      </c>
      <c r="E43" s="329" t="s">
        <v>778</v>
      </c>
      <c r="F43" s="330">
        <f ca="1">INDIRECT("'数据-取费表'!k"&amp;$G$1)</f>
        <v>456.55</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f ca="1">ROUND((C68-C40)/10000,4)</f>
        <v>-643.32119999999998</v>
      </c>
      <c r="D45" s="3129" t="s">
        <v>3353</v>
      </c>
      <c r="E45" s="1306"/>
      <c r="F45" s="1306"/>
      <c r="O45" s="1309" t="s">
        <v>808</v>
      </c>
      <c r="P45" s="1365"/>
      <c r="Q45" s="1365"/>
      <c r="R45" s="1365"/>
    </row>
    <row r="46" spans="1:18" s="1291" customFormat="1" ht="13.5" thickBot="1">
      <c r="A46" s="1310" t="s">
        <v>809</v>
      </c>
      <c r="C46" s="1311">
        <f ca="1">ROUND(C45,0)</f>
        <v>-643</v>
      </c>
      <c r="D46" s="1312" t="str">
        <f>C2</f>
        <v>万元</v>
      </c>
      <c r="I46" s="1313" t="s">
        <v>810</v>
      </c>
      <c r="J46" s="1314"/>
      <c r="K46" s="1315"/>
      <c r="L46" s="1316">
        <f ca="1">IF(M47="住宅",0,IF(L48&gt;J51,L60,J60))</f>
        <v>320853</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3434</v>
      </c>
      <c r="K47" s="1322" t="s">
        <v>816</v>
      </c>
      <c r="L47" s="1323">
        <f ca="1">INDIRECT("'数据-取费表'!d"&amp;$G$1)</f>
        <v>40</v>
      </c>
      <c r="M47" s="1287" t="str">
        <f>IF(ISNUMBER(FIND("住宅",C1)),"住宅","非住宅")</f>
        <v>非住宅</v>
      </c>
      <c r="O47" s="1324" t="s">
        <v>403</v>
      </c>
      <c r="P47" s="1325" t="s">
        <v>817</v>
      </c>
      <c r="Q47" s="1326">
        <f ca="1">C40+J29</f>
        <v>6297183</v>
      </c>
      <c r="R47" s="1326" t="s">
        <v>818</v>
      </c>
    </row>
    <row r="48" spans="1:18" s="1291" customFormat="1" ht="28.5" thickBot="1">
      <c r="A48" s="1046" t="s">
        <v>438</v>
      </c>
      <c r="B48" s="292" t="s">
        <v>692</v>
      </c>
      <c r="C48" s="1267">
        <f ca="1">C49+C53+C55</f>
        <v>0</v>
      </c>
      <c r="D48" s="1048"/>
      <c r="E48" s="1049"/>
      <c r="F48" s="907"/>
      <c r="G48" s="680"/>
      <c r="H48" s="681"/>
      <c r="I48" s="1327" t="s">
        <v>819</v>
      </c>
      <c r="J48" s="1328" t="s">
        <v>3435</v>
      </c>
      <c r="K48" s="1329" t="s">
        <v>820</v>
      </c>
      <c r="L48" s="1330">
        <f ca="1">INDIRECT("'数据-取费表'!f"&amp;$G$1)</f>
        <v>15</v>
      </c>
      <c r="O48" s="1324" t="s">
        <v>404</v>
      </c>
      <c r="P48" s="1325" t="s">
        <v>821</v>
      </c>
      <c r="Q48" s="1326">
        <f ca="1">J60</f>
        <v>320853</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'数据-取费表'!N18</f>
        <v>2002</v>
      </c>
      <c r="K49" s="1329" t="s">
        <v>824</v>
      </c>
      <c r="L49" s="1332"/>
      <c r="O49" s="1333" t="s">
        <v>405</v>
      </c>
      <c r="P49" s="1325" t="s">
        <v>825</v>
      </c>
      <c r="Q49" s="1326">
        <f ca="1">C29</f>
        <v>2373416</v>
      </c>
      <c r="R49" s="1326" t="s">
        <v>818</v>
      </c>
    </row>
    <row r="50" spans="1:18" s="1291" customFormat="1" ht="13.5" thickBot="1">
      <c r="A50" s="921"/>
      <c r="B50" s="924"/>
      <c r="C50" s="925"/>
      <c r="D50" s="898"/>
      <c r="E50" s="992" t="s">
        <v>697</v>
      </c>
      <c r="F50" s="993">
        <f ca="1">F7</f>
        <v>456.55</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37</v>
      </c>
      <c r="K51" s="1338" t="s">
        <v>830</v>
      </c>
      <c r="L51" s="1339">
        <f ca="1">ROUND(-PV(INDIRECT("'数据-取费表'!h"&amp;$G$1),J51,(C39-C13*C76),0),0)</f>
        <v>7303021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15</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15</v>
      </c>
      <c r="K53" s="3360" t="s">
        <v>837</v>
      </c>
      <c r="L53" s="3361"/>
      <c r="O53" s="1324" t="s">
        <v>409</v>
      </c>
      <c r="P53" s="1325" t="s">
        <v>838</v>
      </c>
      <c r="Q53" s="1326">
        <f ca="1">Q47+Q48</f>
        <v>6618036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1685125</v>
      </c>
      <c r="D56" s="1351"/>
      <c r="E56" s="1352"/>
      <c r="F56" s="1344"/>
      <c r="I56" s="1353" t="s">
        <v>842</v>
      </c>
      <c r="J56" s="1354" t="s">
        <v>3424</v>
      </c>
      <c r="K56" s="1327" t="s">
        <v>843</v>
      </c>
      <c r="L56" s="1330" t="str">
        <f ca="1">IF(L48&lt;J51,"——",L48-J51)</f>
        <v>——</v>
      </c>
      <c r="O56" s="1324" t="s">
        <v>403</v>
      </c>
      <c r="P56" s="1325" t="s">
        <v>817</v>
      </c>
      <c r="Q56" s="1326">
        <f ca="1">C40+J29</f>
        <v>6297183</v>
      </c>
      <c r="R56" s="1326" t="s">
        <v>818</v>
      </c>
    </row>
    <row r="57" spans="1:18" s="1291" customFormat="1" ht="24.75" thickBot="1">
      <c r="A57" s="1355"/>
      <c r="B57" s="895" t="s">
        <v>767</v>
      </c>
      <c r="C57" s="230">
        <f ca="1">C29</f>
        <v>2373416</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13552</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949366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f ca="1">IF(OR(M47="住宅",J51&lt;L48,J56="是"),"0",ROUND(J59/(1+J52)^J53,0))</f>
        <v>320853</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3336</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09" t="s">
        <v>859</v>
      </c>
      <c r="K62" s="609" t="s">
        <v>860</v>
      </c>
      <c r="L62" s="609" t="s">
        <v>861</v>
      </c>
      <c r="M62" s="1367" t="s">
        <v>862</v>
      </c>
      <c r="O62" s="1324" t="s">
        <v>409</v>
      </c>
      <c r="P62" s="1325" t="s">
        <v>863</v>
      </c>
      <c r="Q62" s="1326">
        <f ca="1">Q56+Q57</f>
        <v>6297183</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11867</v>
      </c>
      <c r="D64" s="909" t="s">
        <v>791</v>
      </c>
      <c r="E64" s="895" t="s">
        <v>783</v>
      </c>
      <c r="F64" s="320">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1685</v>
      </c>
      <c r="D65" s="909" t="s">
        <v>743</v>
      </c>
      <c r="E65" s="895" t="s">
        <v>744</v>
      </c>
      <c r="F65" s="321">
        <f t="shared" ca="1" si="0"/>
        <v>1E-3</v>
      </c>
      <c r="I65" s="1366" t="s">
        <v>867</v>
      </c>
      <c r="J65" s="609">
        <v>40</v>
      </c>
      <c r="K65" s="609">
        <v>30</v>
      </c>
      <c r="L65" s="609">
        <v>50</v>
      </c>
      <c r="M65" s="1368">
        <v>0.02</v>
      </c>
      <c r="O65" s="1324" t="s">
        <v>403</v>
      </c>
      <c r="P65" s="1325" t="s">
        <v>868</v>
      </c>
      <c r="Q65" s="1326">
        <f ca="1">C40+J29</f>
        <v>6297183</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-13552</v>
      </c>
      <c r="D67" s="908" t="s">
        <v>753</v>
      </c>
      <c r="E67" s="913"/>
      <c r="F67" s="914"/>
      <c r="O67" s="1333" t="s">
        <v>405</v>
      </c>
      <c r="P67" s="1325" t="s">
        <v>850</v>
      </c>
      <c r="Q67" s="1369">
        <f ca="1">L51</f>
        <v>7303021</v>
      </c>
      <c r="R67" s="1326" t="s">
        <v>870</v>
      </c>
    </row>
    <row r="68" spans="1:18" s="1291" customFormat="1" ht="16.5" thickBot="1">
      <c r="A68" s="892" t="s">
        <v>395</v>
      </c>
      <c r="B68" s="893" t="s">
        <v>774</v>
      </c>
      <c r="C68" s="293">
        <f ca="1">ROUND(C67*(1-((1+F70)/(1+F68))^F69)/(F68-F70),0)</f>
        <v>-136029</v>
      </c>
      <c r="D68" s="910" t="s">
        <v>758</v>
      </c>
      <c r="E68" s="895" t="s">
        <v>759</v>
      </c>
      <c r="F68" s="304">
        <f ca="1">F40</f>
        <v>5.5E-2</v>
      </c>
      <c r="O68" s="1333" t="s">
        <v>406</v>
      </c>
      <c r="P68" s="1370" t="s">
        <v>871</v>
      </c>
      <c r="Q68" s="1326">
        <f ca="1">ROUND(Q69-Q70*Q71,0)</f>
        <v>437011</v>
      </c>
      <c r="R68" s="1326" t="s">
        <v>414</v>
      </c>
    </row>
    <row r="69" spans="1:18" s="1291" customFormat="1" ht="13.5" thickBot="1">
      <c r="A69" s="896"/>
      <c r="B69" s="897"/>
      <c r="C69" s="298"/>
      <c r="D69" s="915" t="s">
        <v>762</v>
      </c>
      <c r="E69" s="895" t="s">
        <v>763</v>
      </c>
      <c r="F69" s="324">
        <f ca="1">F41</f>
        <v>15</v>
      </c>
      <c r="O69" s="1333" t="s">
        <v>411</v>
      </c>
      <c r="P69" s="1370" t="s">
        <v>872</v>
      </c>
      <c r="Q69" s="1326">
        <f ca="1">C39</f>
        <v>554970</v>
      </c>
      <c r="R69" s="1326" t="s">
        <v>818</v>
      </c>
    </row>
    <row r="70" spans="1:18" s="1291" customFormat="1" ht="13.5" thickBot="1">
      <c r="A70" s="899"/>
      <c r="B70" s="900"/>
      <c r="C70" s="302"/>
      <c r="D70" s="911"/>
      <c r="E70" s="895" t="s">
        <v>766</v>
      </c>
      <c r="F70" s="990"/>
      <c r="O70" s="1333" t="s">
        <v>412</v>
      </c>
      <c r="P70" s="1370" t="s">
        <v>873</v>
      </c>
      <c r="Q70" s="1326">
        <f ca="1">C13</f>
        <v>1685125</v>
      </c>
      <c r="R70" s="1326" t="s">
        <v>818</v>
      </c>
    </row>
    <row r="71" spans="1:18" s="1291" customFormat="1" ht="13.5" thickBot="1">
      <c r="A71" s="916" t="s">
        <v>396</v>
      </c>
      <c r="B71" s="917" t="s">
        <v>776</v>
      </c>
      <c r="C71" s="327">
        <f ca="1">ROUND(C68/F71,0)</f>
        <v>-298</v>
      </c>
      <c r="D71" s="918" t="s">
        <v>777</v>
      </c>
      <c r="E71" s="919" t="s">
        <v>778</v>
      </c>
      <c r="F71" s="330">
        <f ca="1">F43</f>
        <v>456.55</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117959</v>
      </c>
      <c r="D75" s="1291"/>
      <c r="E75" s="1291"/>
      <c r="F75" s="1291"/>
      <c r="K75" s="1308"/>
      <c r="L75" s="1291"/>
      <c r="O75" s="1324" t="s">
        <v>409</v>
      </c>
      <c r="P75" s="1325" t="s">
        <v>838</v>
      </c>
      <c r="Q75" s="1326">
        <f ca="1">Q65+Q66</f>
        <v>6297183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0.78700000000000003</v>
      </c>
    </row>
    <row r="80" spans="1:18">
      <c r="B80" s="331" t="s">
        <v>800</v>
      </c>
      <c r="C80" s="266">
        <f ca="1">ROUND(C75/C39,3)</f>
        <v>0.21299999999999999</v>
      </c>
    </row>
    <row r="81" spans="2:3">
      <c r="B81" s="262" t="s">
        <v>801</v>
      </c>
      <c r="C81" s="230"/>
    </row>
    <row r="82" spans="2:3">
      <c r="B82" s="265" t="s">
        <v>802</v>
      </c>
      <c r="C82" s="267">
        <f ca="1">1-C83</f>
        <v>0.73199999999999998</v>
      </c>
    </row>
    <row r="83" spans="2:3">
      <c r="B83" s="265" t="s">
        <v>803</v>
      </c>
      <c r="C83" s="266">
        <f ca="1">ROUND(C13/C40,3)</f>
        <v>0.26800000000000002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90" zoomScaleNormal="70" zoomScaleSheetLayoutView="90" workbookViewId="0">
      <selection activeCell="E46" sqref="E4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3430</v>
      </c>
      <c r="E1" s="3123" t="s">
        <v>3445</v>
      </c>
      <c r="F1" s="1734" t="s">
        <v>3508</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0.18720000000000001</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4.0999999999999996</v>
      </c>
      <c r="C3" s="344" t="s">
        <v>1768</v>
      </c>
      <c r="D3" s="343">
        <f>IF(D1="",'数据-汇总表'!E3,SUMIF('数据-汇总表'!$C19:$C33,D1,'数据-汇总表'!$E19:$E33))</f>
        <v>456.55</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66" t="s">
        <v>1772</v>
      </c>
      <c r="AC4" s="3380" t="s">
        <v>1773</v>
      </c>
    </row>
    <row r="5" spans="1:29" ht="15">
      <c r="A5" s="348"/>
      <c r="B5" s="349"/>
      <c r="C5" s="3406" t="s">
        <v>1673</v>
      </c>
      <c r="D5" s="3402"/>
      <c r="E5" s="3409" t="s">
        <v>3512</v>
      </c>
      <c r="F5" s="3410"/>
      <c r="G5" s="3401" t="s">
        <v>3523</v>
      </c>
      <c r="H5" s="3402"/>
      <c r="I5" s="3401" t="s">
        <v>3533</v>
      </c>
      <c r="J5" s="3402"/>
      <c r="K5" s="537"/>
      <c r="L5" s="2485"/>
      <c r="M5" s="2486"/>
      <c r="N5" s="2486"/>
      <c r="O5" s="2486"/>
      <c r="P5" s="3389"/>
      <c r="Q5" s="3390"/>
      <c r="R5" s="3395"/>
      <c r="S5" s="3396"/>
      <c r="T5" s="3395"/>
      <c r="U5" s="3396"/>
      <c r="V5" s="3366"/>
      <c r="W5" s="3366"/>
      <c r="X5" s="1264"/>
      <c r="Y5" s="3395"/>
      <c r="Z5" s="3396"/>
      <c r="AA5" s="3381"/>
      <c r="AB5" s="3366"/>
      <c r="AC5" s="3381"/>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391"/>
      <c r="Q6" s="3392"/>
      <c r="R6" s="3395"/>
      <c r="S6" s="3396"/>
      <c r="T6" s="3397"/>
      <c r="U6" s="3398"/>
      <c r="V6" s="3366"/>
      <c r="W6" s="3366"/>
      <c r="X6" s="1264"/>
      <c r="Y6" s="3397"/>
      <c r="Z6" s="3398"/>
      <c r="AA6" s="3382"/>
      <c r="AB6" s="3366"/>
      <c r="AC6" s="3382"/>
    </row>
    <row r="7" spans="1:29" s="102" customFormat="1" ht="15.75" thickBot="1">
      <c r="A7" s="352" t="s">
        <v>1679</v>
      </c>
      <c r="B7" s="353"/>
      <c r="C7" s="354">
        <f>'数据-取费表'!B2</f>
        <v>45793</v>
      </c>
      <c r="D7" s="355">
        <v>100</v>
      </c>
      <c r="E7" s="356">
        <f>C7</f>
        <v>45793</v>
      </c>
      <c r="F7" s="357">
        <f>SUMIF(58:58,YEAR(E7)&amp;"-"&amp;MONTH(E7),59:59)</f>
        <v>100</v>
      </c>
      <c r="G7" s="356">
        <f>C7</f>
        <v>45793</v>
      </c>
      <c r="H7" s="355">
        <f>SUMIF(58:58,YEAR(G7)&amp;"-"&amp;MONTH(G7),59:59)</f>
        <v>100</v>
      </c>
      <c r="I7" s="356">
        <f>C7</f>
        <v>45793</v>
      </c>
      <c r="J7" s="355">
        <f>SUMIF(58:58,YEAR(I7)&amp;"-"&amp;MONTH(I7),59:59)</f>
        <v>100</v>
      </c>
      <c r="K7" s="38"/>
      <c r="L7" s="2487"/>
      <c r="M7" s="2439"/>
      <c r="N7" s="2439"/>
      <c r="O7" s="2439"/>
      <c r="P7" s="3403" t="s">
        <v>1680</v>
      </c>
      <c r="Q7" s="3405"/>
      <c r="R7" s="663" t="s">
        <v>14</v>
      </c>
      <c r="S7" s="664">
        <f t="shared" ref="S7:S15" si="0">F7</f>
        <v>100</v>
      </c>
      <c r="T7" s="663" t="s">
        <v>14</v>
      </c>
      <c r="U7" s="664">
        <f t="shared" ref="U7:U15" si="1">H7</f>
        <v>100</v>
      </c>
      <c r="V7" s="663" t="s">
        <v>14</v>
      </c>
      <c r="W7" s="664">
        <f t="shared" ref="W7:W15" si="2">J7</f>
        <v>100</v>
      </c>
      <c r="X7" s="665"/>
      <c r="Y7" s="3403" t="s">
        <v>1680</v>
      </c>
      <c r="Z7" s="3404"/>
      <c r="AA7" s="50">
        <f>D7/F7</f>
        <v>1</v>
      </c>
      <c r="AB7" s="50">
        <f>D7/H7</f>
        <v>1</v>
      </c>
      <c r="AC7" s="50">
        <f>D7/J7</f>
        <v>1</v>
      </c>
    </row>
    <row r="8" spans="1:29" s="102" customFormat="1" ht="15.75" thickBot="1">
      <c r="A8" s="352" t="s">
        <v>1681</v>
      </c>
      <c r="B8" s="353"/>
      <c r="C8" s="358" t="s">
        <v>3440</v>
      </c>
      <c r="D8" s="355">
        <v>100</v>
      </c>
      <c r="E8" s="358" t="s">
        <v>3447</v>
      </c>
      <c r="F8" s="357">
        <f>SUMIF(61:61,E8,62:62)-SUMIF(61:61,C8,62:62)+100</f>
        <v>103</v>
      </c>
      <c r="G8" s="358" t="s">
        <v>3440</v>
      </c>
      <c r="H8" s="355">
        <f>SUMIF(61:61,G8,62:62)-SUMIF(61:61,C8,62:62)+100</f>
        <v>100</v>
      </c>
      <c r="I8" s="358" t="s">
        <v>3447</v>
      </c>
      <c r="J8" s="355">
        <f>SUMIF(61:61,I8,62:62)-SUMIF(61:61,C8,62:62)+100</f>
        <v>103</v>
      </c>
      <c r="K8" s="38"/>
      <c r="L8" s="2487"/>
      <c r="M8" s="2439"/>
      <c r="N8" s="2439"/>
      <c r="O8" s="2439"/>
      <c r="P8" s="3403" t="s">
        <v>1683</v>
      </c>
      <c r="Q8" s="3404"/>
      <c r="R8" s="663" t="s">
        <v>14</v>
      </c>
      <c r="S8" s="664">
        <f t="shared" si="0"/>
        <v>103</v>
      </c>
      <c r="T8" s="663" t="s">
        <v>14</v>
      </c>
      <c r="U8" s="664">
        <f t="shared" si="1"/>
        <v>100</v>
      </c>
      <c r="V8" s="663" t="s">
        <v>14</v>
      </c>
      <c r="W8" s="664">
        <f t="shared" si="2"/>
        <v>103</v>
      </c>
      <c r="X8" s="665"/>
      <c r="Y8" s="3403" t="s">
        <v>1683</v>
      </c>
      <c r="Z8" s="3404"/>
      <c r="AA8" s="50">
        <f t="shared" ref="AA8:AA46" si="3">D8/F8</f>
        <v>0.970873786407767</v>
      </c>
      <c r="AB8" s="50">
        <f t="shared" ref="AB8:AB46" si="4">D8/H8</f>
        <v>1</v>
      </c>
      <c r="AC8" s="50">
        <f t="shared" ref="AC8:AC46" si="5">D8/J8</f>
        <v>0.970873786407767</v>
      </c>
    </row>
    <row r="9" spans="1:29" s="102" customFormat="1">
      <c r="A9" s="359" t="s">
        <v>1684</v>
      </c>
      <c r="B9" s="60" t="s">
        <v>1685</v>
      </c>
      <c r="C9" s="3169" t="s">
        <v>3492</v>
      </c>
      <c r="D9" s="59">
        <v>100</v>
      </c>
      <c r="E9" s="3169" t="s">
        <v>3492</v>
      </c>
      <c r="F9" s="60">
        <f>SUMIF(63:63,E9,64:64)-SUMIF(63:63,C9,64:64)+100</f>
        <v>100</v>
      </c>
      <c r="G9" s="3169" t="s">
        <v>3492</v>
      </c>
      <c r="H9" s="59">
        <f>SUMIF(63:63,G9,64:64)-SUMIF(63:63,C9,64:64)+100</f>
        <v>100</v>
      </c>
      <c r="I9" s="3169" t="s">
        <v>3492</v>
      </c>
      <c r="J9" s="59">
        <f>SUMIF(63:63,I9,64:64)-SUMIF(63:63,C9,64:64)+100</f>
        <v>100</v>
      </c>
      <c r="K9" s="38"/>
      <c r="L9" s="2487"/>
      <c r="M9" s="2439"/>
      <c r="N9" s="2439"/>
      <c r="O9" s="2439"/>
      <c r="P9" s="3379"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9"/>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9"/>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9"/>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9"/>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9"/>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102</v>
      </c>
      <c r="I15" s="381"/>
      <c r="J15" s="380">
        <f>SUMIF(76:76,I16,77:77)-SUMIF(76:76,C16,77:77)+100</f>
        <v>102</v>
      </c>
      <c r="K15" s="540">
        <v>2</v>
      </c>
      <c r="L15" s="2491"/>
      <c r="M15" s="2486"/>
      <c r="N15" s="2486"/>
      <c r="O15" s="2486"/>
      <c r="P15" s="3370" t="s">
        <v>1691</v>
      </c>
      <c r="Q15" s="1262" t="str">
        <f t="shared" si="6"/>
        <v>商业繁华度</v>
      </c>
      <c r="R15" s="666" t="s">
        <v>14</v>
      </c>
      <c r="S15" s="667">
        <f t="shared" si="0"/>
        <v>100</v>
      </c>
      <c r="T15" s="666" t="s">
        <v>14</v>
      </c>
      <c r="U15" s="667">
        <f t="shared" si="1"/>
        <v>102</v>
      </c>
      <c r="V15" s="666" t="s">
        <v>14</v>
      </c>
      <c r="W15" s="667">
        <f t="shared" si="2"/>
        <v>102</v>
      </c>
      <c r="X15" s="1264"/>
      <c r="Y15" s="3372" t="s">
        <v>1691</v>
      </c>
      <c r="Z15" s="1263" t="str">
        <f t="shared" si="7"/>
        <v>商业繁华度</v>
      </c>
      <c r="AA15" s="1263">
        <f t="shared" si="3"/>
        <v>1</v>
      </c>
      <c r="AB15" s="1263">
        <f t="shared" si="4"/>
        <v>0.98039215686274506</v>
      </c>
      <c r="AC15" s="1263">
        <f t="shared" si="5"/>
        <v>0.98039215686274506</v>
      </c>
    </row>
    <row r="16" spans="1:29" ht="15">
      <c r="A16" s="367"/>
      <c r="B16" s="385"/>
      <c r="C16" s="386" t="s">
        <v>3458</v>
      </c>
      <c r="D16" s="387"/>
      <c r="E16" s="386" t="s">
        <v>3458</v>
      </c>
      <c r="F16" s="388"/>
      <c r="G16" s="386" t="s">
        <v>3457</v>
      </c>
      <c r="H16" s="389"/>
      <c r="I16" s="386" t="s">
        <v>3457</v>
      </c>
      <c r="J16" s="387"/>
      <c r="K16" s="541"/>
      <c r="L16" s="2491"/>
      <c r="M16" s="2486"/>
      <c r="N16" s="2486"/>
      <c r="O16" s="2486"/>
      <c r="P16" s="3371"/>
      <c r="Q16" s="1262"/>
      <c r="R16" s="666"/>
      <c r="S16" s="667"/>
      <c r="T16" s="666"/>
      <c r="U16" s="667"/>
      <c r="V16" s="666"/>
      <c r="W16" s="667"/>
      <c r="X16" s="1264"/>
      <c r="Y16" s="3373"/>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395"/>
      <c r="C18" s="1754" t="s">
        <v>3457</v>
      </c>
      <c r="D18" s="389"/>
      <c r="E18" s="1754" t="s">
        <v>3457</v>
      </c>
      <c r="F18" s="392"/>
      <c r="G18" s="1754" t="s">
        <v>3457</v>
      </c>
      <c r="H18" s="387"/>
      <c r="I18" s="1754" t="s">
        <v>3457</v>
      </c>
      <c r="J18" s="387"/>
      <c r="K18" s="541"/>
      <c r="L18" s="2491"/>
      <c r="M18" s="2486"/>
      <c r="N18" s="2486"/>
      <c r="O18" s="2486"/>
      <c r="P18" s="3371"/>
      <c r="Q18" s="1262"/>
      <c r="R18" s="666"/>
      <c r="S18" s="667"/>
      <c r="T18" s="666"/>
      <c r="U18" s="667"/>
      <c r="V18" s="666"/>
      <c r="W18" s="667"/>
      <c r="X18" s="1264"/>
      <c r="Y18" s="3373"/>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7"/>
      <c r="B20" s="395"/>
      <c r="C20" s="386" t="s">
        <v>3457</v>
      </c>
      <c r="D20" s="387"/>
      <c r="E20" s="386" t="s">
        <v>3457</v>
      </c>
      <c r="F20" s="388"/>
      <c r="G20" s="386" t="s">
        <v>3457</v>
      </c>
      <c r="H20" s="387"/>
      <c r="I20" s="386" t="s">
        <v>3457</v>
      </c>
      <c r="J20" s="387"/>
      <c r="K20" s="541"/>
      <c r="L20" s="2491"/>
      <c r="M20" s="2486"/>
      <c r="N20" s="2486"/>
      <c r="O20" s="2486"/>
      <c r="P20" s="3371"/>
      <c r="Q20" s="1262"/>
      <c r="R20" s="666"/>
      <c r="S20" s="667"/>
      <c r="T20" s="666"/>
      <c r="U20" s="667"/>
      <c r="V20" s="666"/>
      <c r="W20" s="667"/>
      <c r="X20" s="1264"/>
      <c r="Y20" s="3373"/>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4" t="s">
        <v>3479</v>
      </c>
      <c r="D22" s="387"/>
      <c r="E22" s="1754" t="s">
        <v>3479</v>
      </c>
      <c r="F22" s="388"/>
      <c r="G22" s="1754" t="s">
        <v>3479</v>
      </c>
      <c r="H22" s="387"/>
      <c r="I22" s="1754" t="s">
        <v>3479</v>
      </c>
      <c r="J22" s="387"/>
      <c r="K22" s="1063"/>
      <c r="L22" s="2491"/>
      <c r="M22" s="2486"/>
      <c r="N22" s="2486"/>
      <c r="O22" s="2486"/>
      <c r="P22" s="3371"/>
      <c r="Q22" s="1262"/>
      <c r="R22" s="666"/>
      <c r="S22" s="667"/>
      <c r="T22" s="666"/>
      <c r="U22" s="667"/>
      <c r="V22" s="666"/>
      <c r="W22" s="667"/>
      <c r="X22" s="1264"/>
      <c r="Y22" s="3373"/>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71"/>
      <c r="Q23" s="1262" t="str">
        <f>B23</f>
        <v>自然及人文环境</v>
      </c>
      <c r="R23" s="666" t="s">
        <v>14</v>
      </c>
      <c r="S23" s="667">
        <f>F23</f>
        <v>100</v>
      </c>
      <c r="T23" s="666" t="s">
        <v>14</v>
      </c>
      <c r="U23" s="667">
        <f>H23</f>
        <v>100</v>
      </c>
      <c r="V23" s="666" t="s">
        <v>14</v>
      </c>
      <c r="W23" s="667">
        <f>J23</f>
        <v>100</v>
      </c>
      <c r="X23" s="1264"/>
      <c r="Y23" s="3373"/>
      <c r="Z23" s="1263" t="str">
        <f>Q23</f>
        <v>自然及人文环境</v>
      </c>
      <c r="AA23" s="1263">
        <f t="shared" si="3"/>
        <v>1</v>
      </c>
      <c r="AB23" s="1263">
        <f t="shared" si="4"/>
        <v>1</v>
      </c>
      <c r="AC23" s="1263">
        <f t="shared" si="5"/>
        <v>1</v>
      </c>
    </row>
    <row r="24" spans="1:29" ht="15">
      <c r="A24" s="367"/>
      <c r="B24" s="395"/>
      <c r="C24" s="386" t="s">
        <v>3457</v>
      </c>
      <c r="D24" s="387"/>
      <c r="E24" s="386" t="s">
        <v>3457</v>
      </c>
      <c r="F24" s="388"/>
      <c r="G24" s="386" t="s">
        <v>3457</v>
      </c>
      <c r="H24" s="387"/>
      <c r="I24" s="386" t="s">
        <v>3457</v>
      </c>
      <c r="J24" s="387"/>
      <c r="K24" s="541"/>
      <c r="L24" s="2491"/>
      <c r="M24" s="2486"/>
      <c r="N24" s="2486"/>
      <c r="O24" s="2486"/>
      <c r="P24" s="3371"/>
      <c r="Q24" s="1262"/>
      <c r="R24" s="666"/>
      <c r="S24" s="667"/>
      <c r="T24" s="666"/>
      <c r="U24" s="667"/>
      <c r="V24" s="666"/>
      <c r="W24" s="667"/>
      <c r="X24" s="1264"/>
      <c r="Y24" s="3373"/>
      <c r="Z24" s="1263"/>
      <c r="AA24" s="1263">
        <v>1</v>
      </c>
      <c r="AB24" s="1263">
        <v>1</v>
      </c>
      <c r="AC24" s="1263">
        <v>1</v>
      </c>
    </row>
    <row r="25" spans="1:29" ht="15">
      <c r="A25" s="367"/>
      <c r="B25" s="364" t="s">
        <v>1780</v>
      </c>
      <c r="C25" s="542" t="s">
        <v>3453</v>
      </c>
      <c r="D25" s="374">
        <v>100</v>
      </c>
      <c r="E25" s="542" t="s">
        <v>3453</v>
      </c>
      <c r="F25" s="400">
        <f>SUMIF(86:86,E25,87:87)-SUMIF(86:86,C25,87:87)+100</f>
        <v>100</v>
      </c>
      <c r="G25" s="542" t="s">
        <v>3453</v>
      </c>
      <c r="H25" s="374">
        <f>SUMIF(86:86,G25,87:87)-SUMIF(86:86,C25,87:87)+100</f>
        <v>100</v>
      </c>
      <c r="I25" s="542" t="s">
        <v>3453</v>
      </c>
      <c r="J25" s="374">
        <f>SUMIF(86:86,I25,87:87)-SUMIF(86:86,C25,87:87)+100</f>
        <v>100</v>
      </c>
      <c r="K25" s="538">
        <v>3</v>
      </c>
      <c r="L25" s="2491"/>
      <c r="M25" s="2486"/>
      <c r="N25" s="2486"/>
      <c r="O25" s="2486"/>
      <c r="P25" s="3371"/>
      <c r="Q25" s="1262" t="str">
        <f t="shared" ref="Q25:Q46" si="11">B25</f>
        <v>临街状况</v>
      </c>
      <c r="R25" s="666" t="s">
        <v>14</v>
      </c>
      <c r="S25" s="667">
        <f>F25</f>
        <v>100</v>
      </c>
      <c r="T25" s="666" t="s">
        <v>14</v>
      </c>
      <c r="U25" s="667">
        <f>H25</f>
        <v>100</v>
      </c>
      <c r="V25" s="666" t="s">
        <v>14</v>
      </c>
      <c r="W25" s="667">
        <f>J25</f>
        <v>100</v>
      </c>
      <c r="X25" s="1264"/>
      <c r="Y25" s="3373"/>
      <c r="Z25" s="1263" t="str">
        <f>Q25</f>
        <v>临街状况</v>
      </c>
      <c r="AA25" s="1263">
        <f t="shared" si="3"/>
        <v>1</v>
      </c>
      <c r="AB25" s="1263">
        <f t="shared" si="4"/>
        <v>1</v>
      </c>
      <c r="AC25" s="1263">
        <f t="shared" si="5"/>
        <v>1</v>
      </c>
    </row>
    <row r="26" spans="1:29" ht="15">
      <c r="A26" s="367"/>
      <c r="B26" s="1065" t="s">
        <v>1781</v>
      </c>
      <c r="C26" s="3168" t="s">
        <v>3489</v>
      </c>
      <c r="D26" s="374">
        <v>100</v>
      </c>
      <c r="E26" s="3168" t="s">
        <v>3489</v>
      </c>
      <c r="F26" s="400">
        <f>SUMIF(88:88,E26,89:89)-SUMIF(88:88,C26,89:89)+100</f>
        <v>100</v>
      </c>
      <c r="G26" s="3168" t="s">
        <v>3489</v>
      </c>
      <c r="H26" s="374">
        <f>SUMIF(88:88,G26,89:89)-SUMIF(88:88,C26,89:89)+100</f>
        <v>100</v>
      </c>
      <c r="I26" s="3168" t="s">
        <v>3489</v>
      </c>
      <c r="J26" s="374">
        <f>SUMIF(88:88,I26,89:89)-SUMIF(88:88,C26,89:89)+100</f>
        <v>100</v>
      </c>
      <c r="K26" s="539"/>
      <c r="L26" s="2491"/>
      <c r="M26" s="2486"/>
      <c r="N26" s="2486"/>
      <c r="O26" s="2486"/>
      <c r="P26" s="3371"/>
      <c r="Q26" s="1262" t="str">
        <f t="shared" si="11"/>
        <v>平面位置/可视性</v>
      </c>
      <c r="R26" s="666" t="s">
        <v>14</v>
      </c>
      <c r="S26" s="667">
        <f>F26</f>
        <v>100</v>
      </c>
      <c r="T26" s="666" t="s">
        <v>14</v>
      </c>
      <c r="U26" s="667">
        <f>H26</f>
        <v>100</v>
      </c>
      <c r="V26" s="666" t="s">
        <v>14</v>
      </c>
      <c r="W26" s="667">
        <f>J26</f>
        <v>100</v>
      </c>
      <c r="X26" s="1264"/>
      <c r="Y26" s="3373"/>
      <c r="Z26" s="1263" t="str">
        <f>Q26</f>
        <v>平面位置/可视性</v>
      </c>
      <c r="AA26" s="1263">
        <f t="shared" si="3"/>
        <v>1</v>
      </c>
      <c r="AB26" s="1263">
        <f t="shared" si="4"/>
        <v>1</v>
      </c>
      <c r="AC26" s="1263">
        <f t="shared" si="5"/>
        <v>1</v>
      </c>
    </row>
    <row r="27" spans="1:29" s="102" customFormat="1" ht="15">
      <c r="A27" s="370"/>
      <c r="B27" s="390" t="s">
        <v>1782</v>
      </c>
      <c r="C27" s="1806" t="s">
        <v>3458</v>
      </c>
      <c r="D27" s="401">
        <v>100</v>
      </c>
      <c r="E27" s="1806" t="s">
        <v>3458</v>
      </c>
      <c r="F27" s="395">
        <f>SUMIF(90:90,E27,91:91)-SUMIF(90:90,C27,91:91)+100</f>
        <v>100</v>
      </c>
      <c r="G27" s="1806" t="s">
        <v>3462</v>
      </c>
      <c r="H27" s="401">
        <f>SUMIF(90:90,G27,91:91)-SUMIF(90:90,C27,91:91)+100</f>
        <v>103</v>
      </c>
      <c r="I27" s="1806" t="s">
        <v>3462</v>
      </c>
      <c r="J27" s="401">
        <f>SUMIF(90:90,I27,91:91)-SUMIF(90:90,C27,91:91)+100</f>
        <v>103</v>
      </c>
      <c r="K27" s="538">
        <v>3</v>
      </c>
      <c r="L27" s="2487"/>
      <c r="M27" s="2439"/>
      <c r="N27" s="2439"/>
      <c r="O27" s="2439"/>
      <c r="P27" s="3371"/>
      <c r="Q27" s="530" t="str">
        <f t="shared" si="11"/>
        <v>人流量</v>
      </c>
      <c r="R27" s="663" t="s">
        <v>14</v>
      </c>
      <c r="S27" s="664">
        <f>F27</f>
        <v>100</v>
      </c>
      <c r="T27" s="663" t="s">
        <v>14</v>
      </c>
      <c r="U27" s="664">
        <f>H27</f>
        <v>103</v>
      </c>
      <c r="V27" s="663" t="s">
        <v>14</v>
      </c>
      <c r="W27" s="664">
        <f>J27</f>
        <v>103</v>
      </c>
      <c r="X27" s="665"/>
      <c r="Y27" s="3373"/>
      <c r="Z27" s="50" t="str">
        <f>Q27</f>
        <v>人流量</v>
      </c>
      <c r="AA27" s="1263">
        <f>D27/F27</f>
        <v>1</v>
      </c>
      <c r="AB27" s="1263">
        <f>D27/H27</f>
        <v>0.970873786407767</v>
      </c>
      <c r="AC27" s="1263">
        <f>D27/J27</f>
        <v>0.970873786407767</v>
      </c>
    </row>
    <row r="28" spans="1:29" ht="15">
      <c r="A28" s="367"/>
      <c r="B28" s="364" t="s">
        <v>1783</v>
      </c>
      <c r="C28" s="542" t="s">
        <v>3490</v>
      </c>
      <c r="D28" s="374">
        <v>100</v>
      </c>
      <c r="E28" s="542" t="s">
        <v>3490</v>
      </c>
      <c r="F28" s="400">
        <f>SUMIF(92:92,E28,93:93)-SUMIF(92:92,C28,93:93)+100</f>
        <v>100</v>
      </c>
      <c r="G28" s="542" t="s">
        <v>3493</v>
      </c>
      <c r="H28" s="374">
        <f>SUMIF(92:92,G28,93:93)-SUMIF(92:92,C28,93:93)+100</f>
        <v>118</v>
      </c>
      <c r="I28" s="542" t="s">
        <v>3493</v>
      </c>
      <c r="J28" s="374">
        <f>SUMIF(92:92,I28,93:93)-SUMIF(92:92,C28,93:93)+100</f>
        <v>118</v>
      </c>
      <c r="K28" s="539"/>
      <c r="L28" s="2491"/>
      <c r="M28" s="2486"/>
      <c r="N28" s="2486"/>
      <c r="O28" s="2486"/>
      <c r="P28" s="3371"/>
      <c r="Q28" s="1262" t="str">
        <f t="shared" si="11"/>
        <v>楼层</v>
      </c>
      <c r="R28" s="666" t="s">
        <v>14</v>
      </c>
      <c r="S28" s="667">
        <f t="shared" ref="S28:S46" si="12">F28</f>
        <v>100</v>
      </c>
      <c r="T28" s="666" t="s">
        <v>14</v>
      </c>
      <c r="U28" s="667">
        <f t="shared" ref="U28:U46" si="13">H28</f>
        <v>118</v>
      </c>
      <c r="V28" s="666" t="s">
        <v>14</v>
      </c>
      <c r="W28" s="667">
        <f t="shared" ref="W28:W46" si="14">J28</f>
        <v>118</v>
      </c>
      <c r="X28" s="1264"/>
      <c r="Y28" s="3373"/>
      <c r="Z28" s="1263" t="str">
        <f t="shared" ref="Z28:Z46" si="15">Q28</f>
        <v>楼层</v>
      </c>
      <c r="AA28" s="1263">
        <f t="shared" si="3"/>
        <v>1</v>
      </c>
      <c r="AB28" s="1263">
        <f t="shared" si="4"/>
        <v>0.84745762711864403</v>
      </c>
      <c r="AC28" s="1263">
        <f t="shared" si="5"/>
        <v>0.84745762711864403</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1"/>
      <c r="Q29" s="1262">
        <f t="shared" si="11"/>
        <v>111</v>
      </c>
      <c r="R29" s="666" t="s">
        <v>14</v>
      </c>
      <c r="S29" s="667">
        <f t="shared" si="12"/>
        <v>100</v>
      </c>
      <c r="T29" s="666" t="s">
        <v>14</v>
      </c>
      <c r="U29" s="667">
        <f t="shared" si="13"/>
        <v>100</v>
      </c>
      <c r="V29" s="666" t="s">
        <v>14</v>
      </c>
      <c r="W29" s="667">
        <f t="shared" si="14"/>
        <v>100</v>
      </c>
      <c r="X29" s="1264"/>
      <c r="Y29" s="337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263">
        <f t="shared" si="5"/>
        <v>1</v>
      </c>
    </row>
    <row r="32" spans="1:29" ht="15">
      <c r="A32" s="379" t="s">
        <v>1694</v>
      </c>
      <c r="B32" s="60" t="s">
        <v>1784</v>
      </c>
      <c r="C32" s="1763" t="s">
        <v>3470</v>
      </c>
      <c r="D32" s="405">
        <v>100</v>
      </c>
      <c r="E32" s="1763" t="s">
        <v>3470</v>
      </c>
      <c r="F32" s="400">
        <f>SUMIF(100:100,E32,101:101)-SUMIF(100:100,C32,101:101)+100</f>
        <v>100</v>
      </c>
      <c r="G32" s="1763" t="s">
        <v>3470</v>
      </c>
      <c r="H32" s="374">
        <f>SUMIF(100:100,G32,101:101)-SUMIF(100:100,C32,101:101)+100</f>
        <v>100</v>
      </c>
      <c r="I32" s="1763" t="s">
        <v>3470</v>
      </c>
      <c r="J32" s="405">
        <f>SUMIF(100:100,I32,101:101)-SUMIF(100:100,C32,101:101)+100</f>
        <v>100</v>
      </c>
      <c r="K32" s="538">
        <v>1</v>
      </c>
      <c r="L32" s="2491"/>
      <c r="M32" s="2486"/>
      <c r="N32" s="2486"/>
      <c r="O32" s="2486"/>
      <c r="P32" s="3374" t="s">
        <v>1696</v>
      </c>
      <c r="Q32" s="1262" t="str">
        <f t="shared" si="11"/>
        <v>商业类型</v>
      </c>
      <c r="R32" s="666" t="s">
        <v>14</v>
      </c>
      <c r="S32" s="667">
        <f t="shared" si="12"/>
        <v>100</v>
      </c>
      <c r="T32" s="666" t="s">
        <v>14</v>
      </c>
      <c r="U32" s="667">
        <f t="shared" si="13"/>
        <v>100</v>
      </c>
      <c r="V32" s="666" t="s">
        <v>14</v>
      </c>
      <c r="W32" s="667">
        <f t="shared" si="14"/>
        <v>100</v>
      </c>
      <c r="X32" s="1264"/>
      <c r="Y32" s="3377" t="s">
        <v>1696</v>
      </c>
      <c r="Z32" s="1263" t="str">
        <f t="shared" si="15"/>
        <v>商业类型</v>
      </c>
      <c r="AA32" s="1263">
        <f t="shared" si="3"/>
        <v>1</v>
      </c>
      <c r="AB32" s="1263">
        <f t="shared" si="4"/>
        <v>1</v>
      </c>
      <c r="AC32" s="1263">
        <f t="shared" si="5"/>
        <v>1</v>
      </c>
    </row>
    <row r="33" spans="1:29" s="408" customFormat="1" ht="15">
      <c r="A33" s="406"/>
      <c r="B33" s="364" t="s">
        <v>1697</v>
      </c>
      <c r="C33" s="407" t="s">
        <v>3491</v>
      </c>
      <c r="D33" s="119">
        <v>100</v>
      </c>
      <c r="E33" s="369">
        <v>191.68</v>
      </c>
      <c r="F33" s="364">
        <f>LOOKUP(E33,103:103,104:104)-LOOKUP(C33,103:103,104:104)+100</f>
        <v>101</v>
      </c>
      <c r="G33" s="368">
        <v>260</v>
      </c>
      <c r="H33" s="119">
        <f>LOOKUP(G33,103:103,104:104)-LOOKUP(C33,103:103,104:104)+100</f>
        <v>101</v>
      </c>
      <c r="I33" s="368">
        <v>122</v>
      </c>
      <c r="J33" s="119">
        <f>LOOKUP(I33,103:103,104:104)-LOOKUP(C33,103:103,104:104)+100</f>
        <v>102</v>
      </c>
      <c r="K33" s="539"/>
      <c r="L33" s="2490"/>
      <c r="M33" s="2492"/>
      <c r="N33" s="2492"/>
      <c r="O33" s="2492"/>
      <c r="P33" s="3375"/>
      <c r="Q33" s="531" t="str">
        <f t="shared" si="11"/>
        <v>项目建筑规模</v>
      </c>
      <c r="R33" s="668" t="s">
        <v>14</v>
      </c>
      <c r="S33" s="669">
        <f t="shared" si="12"/>
        <v>101</v>
      </c>
      <c r="T33" s="668" t="s">
        <v>14</v>
      </c>
      <c r="U33" s="669">
        <f t="shared" si="13"/>
        <v>101</v>
      </c>
      <c r="V33" s="668" t="s">
        <v>14</v>
      </c>
      <c r="W33" s="669">
        <f t="shared" si="14"/>
        <v>102</v>
      </c>
      <c r="X33" s="670"/>
      <c r="Y33" s="3377"/>
      <c r="Z33" s="671" t="str">
        <f t="shared" si="15"/>
        <v>项目建筑规模</v>
      </c>
      <c r="AA33" s="1263">
        <f t="shared" si="3"/>
        <v>0.99009900990099009</v>
      </c>
      <c r="AB33" s="1263">
        <f t="shared" si="4"/>
        <v>0.99009900990099009</v>
      </c>
      <c r="AC33" s="1263">
        <f t="shared" si="5"/>
        <v>0.98039215686274506</v>
      </c>
    </row>
    <row r="34" spans="1:29" ht="15">
      <c r="A34" s="409"/>
      <c r="B34" s="364" t="s">
        <v>1698</v>
      </c>
      <c r="C34" s="399" t="s">
        <v>3434</v>
      </c>
      <c r="D34" s="374">
        <v>100</v>
      </c>
      <c r="E34" s="399" t="s">
        <v>3434</v>
      </c>
      <c r="F34" s="400">
        <f>SUMIF(105:105,E34,106:106)-SUMIF(105:105,C34,106:106)+100</f>
        <v>100</v>
      </c>
      <c r="G34" s="399" t="s">
        <v>3434</v>
      </c>
      <c r="H34" s="374">
        <f>SUMIF(105:105,G34,106:106)-SUMIF(105:105,C34,106:106)+100</f>
        <v>100</v>
      </c>
      <c r="I34" s="399" t="s">
        <v>3434</v>
      </c>
      <c r="J34" s="374">
        <f>SUMIF(105:105,I34,106:106)-SUMIF(105:105,C34,106:106)+100</f>
        <v>100</v>
      </c>
      <c r="K34" s="538">
        <v>1</v>
      </c>
      <c r="L34" s="2491"/>
      <c r="M34" s="2486"/>
      <c r="N34" s="2486"/>
      <c r="O34" s="2486"/>
      <c r="P34" s="3375"/>
      <c r="Q34" s="1262" t="str">
        <f t="shared" si="11"/>
        <v>建筑结构</v>
      </c>
      <c r="R34" s="666" t="s">
        <v>14</v>
      </c>
      <c r="S34" s="667">
        <f t="shared" si="12"/>
        <v>100</v>
      </c>
      <c r="T34" s="666" t="s">
        <v>14</v>
      </c>
      <c r="U34" s="667">
        <f t="shared" si="13"/>
        <v>100</v>
      </c>
      <c r="V34" s="666" t="s">
        <v>14</v>
      </c>
      <c r="W34" s="667">
        <f t="shared" si="14"/>
        <v>100</v>
      </c>
      <c r="X34" s="1264"/>
      <c r="Y34" s="3377"/>
      <c r="Z34" s="1263" t="str">
        <f t="shared" si="15"/>
        <v>建筑结构</v>
      </c>
      <c r="AA34" s="1263">
        <f t="shared" si="3"/>
        <v>1</v>
      </c>
      <c r="AB34" s="1263">
        <f t="shared" si="4"/>
        <v>1</v>
      </c>
      <c r="AC34" s="1263">
        <f t="shared" si="5"/>
        <v>1</v>
      </c>
    </row>
    <row r="35" spans="1:29" ht="15">
      <c r="A35" s="409"/>
      <c r="B35" s="364" t="s">
        <v>1785</v>
      </c>
      <c r="C35" s="1759" t="s">
        <v>3473</v>
      </c>
      <c r="D35" s="374">
        <v>100</v>
      </c>
      <c r="E35" s="1759" t="s">
        <v>3473</v>
      </c>
      <c r="F35" s="400">
        <f>SUMIF(107:107,E35,108:108)-SUMIF(107:107,C35,108:108)+100</f>
        <v>100</v>
      </c>
      <c r="G35" s="1759" t="s">
        <v>3473</v>
      </c>
      <c r="H35" s="374">
        <f>SUMIF(107:107,G35,108:108)-SUMIF(107:107,C35,108:108)+100</f>
        <v>100</v>
      </c>
      <c r="I35" s="1759" t="s">
        <v>3473</v>
      </c>
      <c r="J35" s="374">
        <f>SUMIF(107:107,I35,108:108)-SUMIF(107:107,C35,108:108)+100</f>
        <v>100</v>
      </c>
      <c r="K35" s="538">
        <v>1</v>
      </c>
      <c r="L35" s="2491"/>
      <c r="M35" s="2486"/>
      <c r="N35" s="2486"/>
      <c r="O35" s="2486"/>
      <c r="P35" s="3375"/>
      <c r="Q35" s="1262" t="str">
        <f t="shared" si="11"/>
        <v>公共部分装修</v>
      </c>
      <c r="R35" s="666" t="s">
        <v>14</v>
      </c>
      <c r="S35" s="667">
        <f t="shared" si="12"/>
        <v>100</v>
      </c>
      <c r="T35" s="666" t="s">
        <v>14</v>
      </c>
      <c r="U35" s="667">
        <f t="shared" si="13"/>
        <v>100</v>
      </c>
      <c r="V35" s="666" t="s">
        <v>14</v>
      </c>
      <c r="W35" s="667">
        <f t="shared" si="14"/>
        <v>100</v>
      </c>
      <c r="X35" s="1264"/>
      <c r="Y35" s="3377"/>
      <c r="Z35" s="1263" t="str">
        <f t="shared" si="15"/>
        <v>公共部分装修</v>
      </c>
      <c r="AA35" s="1263">
        <f t="shared" si="3"/>
        <v>1</v>
      </c>
      <c r="AB35" s="1263">
        <f t="shared" si="4"/>
        <v>1</v>
      </c>
      <c r="AC35" s="1263">
        <f t="shared" si="5"/>
        <v>1</v>
      </c>
    </row>
    <row r="36" spans="1:29" ht="15">
      <c r="A36" s="409"/>
      <c r="B36" s="364" t="s">
        <v>1786</v>
      </c>
      <c r="C36" s="411">
        <f>'数据-取费表'!N6</f>
        <v>0.71</v>
      </c>
      <c r="D36" s="374">
        <v>100</v>
      </c>
      <c r="E36" s="411">
        <v>0.7</v>
      </c>
      <c r="F36" s="400">
        <f>LOOKUP(E36,110:110,111:111)-LOOKUP(C36,110:110,111:111)+100</f>
        <v>100</v>
      </c>
      <c r="G36" s="411">
        <v>0.71</v>
      </c>
      <c r="H36" s="400">
        <f>LOOKUP(G36,110:110,111:111)-LOOKUP(C36,110:110,111:111)+100</f>
        <v>100</v>
      </c>
      <c r="I36" s="411">
        <v>0.71</v>
      </c>
      <c r="J36" s="374">
        <f>LOOKUP(I36,110:110,111:111)-LOOKUP(C36,110:110,111:111)+100</f>
        <v>100</v>
      </c>
      <c r="K36" s="538">
        <v>1</v>
      </c>
      <c r="L36" s="2491"/>
      <c r="M36" s="2486"/>
      <c r="N36" s="2486"/>
      <c r="O36" s="2486"/>
      <c r="P36" s="3375"/>
      <c r="Q36" s="1262" t="str">
        <f t="shared" si="11"/>
        <v>成新度</v>
      </c>
      <c r="R36" s="666" t="s">
        <v>14</v>
      </c>
      <c r="S36" s="667">
        <f t="shared" si="12"/>
        <v>100</v>
      </c>
      <c r="T36" s="666" t="s">
        <v>14</v>
      </c>
      <c r="U36" s="667">
        <f t="shared" si="13"/>
        <v>100</v>
      </c>
      <c r="V36" s="666" t="s">
        <v>14</v>
      </c>
      <c r="W36" s="667">
        <f t="shared" si="14"/>
        <v>100</v>
      </c>
      <c r="X36" s="1264"/>
      <c r="Y36" s="3377"/>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375"/>
      <c r="Q37" s="530" t="str">
        <f t="shared" si="11"/>
        <v>市政基础设施</v>
      </c>
      <c r="R37" s="663" t="s">
        <v>14</v>
      </c>
      <c r="S37" s="664">
        <f t="shared" si="12"/>
        <v>100</v>
      </c>
      <c r="T37" s="663" t="s">
        <v>14</v>
      </c>
      <c r="U37" s="664">
        <f t="shared" si="13"/>
        <v>100</v>
      </c>
      <c r="V37" s="663" t="s">
        <v>14</v>
      </c>
      <c r="W37" s="664">
        <f t="shared" si="14"/>
        <v>100</v>
      </c>
      <c r="X37" s="665"/>
      <c r="Y37" s="3377"/>
      <c r="Z37" s="50" t="str">
        <f t="shared" si="15"/>
        <v>市政基础设施</v>
      </c>
      <c r="AA37" s="50">
        <f t="shared" si="3"/>
        <v>1</v>
      </c>
      <c r="AB37" s="50">
        <f t="shared" si="4"/>
        <v>1</v>
      </c>
      <c r="AC37" s="50">
        <f t="shared" si="5"/>
        <v>1</v>
      </c>
    </row>
    <row r="38" spans="1:29" ht="15">
      <c r="A38" s="409"/>
      <c r="B38" s="364" t="s">
        <v>1788</v>
      </c>
      <c r="C38" s="1759" t="s">
        <v>3483</v>
      </c>
      <c r="D38" s="374">
        <v>100</v>
      </c>
      <c r="E38" s="1759" t="s">
        <v>3485</v>
      </c>
      <c r="F38" s="400">
        <f>SUMIF(114:114,E38,115:115)-SUMIF(114:114,C38,115:115)+100</f>
        <v>98</v>
      </c>
      <c r="G38" s="1759" t="s">
        <v>3483</v>
      </c>
      <c r="H38" s="374">
        <f>SUMIF(114:114,G38,115:115)-SUMIF(114:114,C38,115:115)+100</f>
        <v>100</v>
      </c>
      <c r="I38" s="1759" t="s">
        <v>3483</v>
      </c>
      <c r="J38" s="374">
        <f>SUMIF(114:114,I38,115:115)-SUMIF(114:114,C38,115:115)+100</f>
        <v>100</v>
      </c>
      <c r="K38" s="538">
        <v>2</v>
      </c>
      <c r="L38" s="2491"/>
      <c r="M38" s="2486"/>
      <c r="N38" s="2486"/>
      <c r="O38" s="2486"/>
      <c r="P38" s="3375" t="s">
        <v>1696</v>
      </c>
      <c r="Q38" s="1262" t="str">
        <f t="shared" si="11"/>
        <v>业态</v>
      </c>
      <c r="R38" s="666" t="s">
        <v>14</v>
      </c>
      <c r="S38" s="667">
        <f t="shared" si="12"/>
        <v>98</v>
      </c>
      <c r="T38" s="666" t="s">
        <v>14</v>
      </c>
      <c r="U38" s="667">
        <f t="shared" si="13"/>
        <v>100</v>
      </c>
      <c r="V38" s="666" t="s">
        <v>14</v>
      </c>
      <c r="W38" s="667">
        <f t="shared" si="14"/>
        <v>100</v>
      </c>
      <c r="X38" s="1264"/>
      <c r="Y38" s="3377" t="s">
        <v>1696</v>
      </c>
      <c r="Z38" s="1263" t="str">
        <f t="shared" si="15"/>
        <v>业态</v>
      </c>
      <c r="AA38" s="1263">
        <f t="shared" si="3"/>
        <v>1.0204081632653061</v>
      </c>
      <c r="AB38" s="1263">
        <f t="shared" si="4"/>
        <v>1</v>
      </c>
      <c r="AC38" s="1263">
        <f t="shared" si="5"/>
        <v>1</v>
      </c>
    </row>
    <row r="39" spans="1:29" ht="15">
      <c r="A39" s="409"/>
      <c r="B39" s="364" t="s">
        <v>1789</v>
      </c>
      <c r="C39" s="1759" t="s">
        <v>3487</v>
      </c>
      <c r="D39" s="374">
        <v>100</v>
      </c>
      <c r="E39" s="1759" t="s">
        <v>3487</v>
      </c>
      <c r="F39" s="400">
        <f>SUMIF(116:116,E39,117:117)-SUMIF(116:116,C39,117:117)+100</f>
        <v>100</v>
      </c>
      <c r="G39" s="1759" t="s">
        <v>3487</v>
      </c>
      <c r="H39" s="374">
        <f>SUMIF(116:116,G39,117:117)-SUMIF(116:116,C39,117:117)+100</f>
        <v>100</v>
      </c>
      <c r="I39" s="1759" t="s">
        <v>3487</v>
      </c>
      <c r="J39" s="374">
        <f>SUMIF(116:116,I39,117:117)-SUMIF(116:116,C39,117:117)+100</f>
        <v>100</v>
      </c>
      <c r="K39" s="538">
        <v>2</v>
      </c>
      <c r="L39" s="2491"/>
      <c r="M39" s="2486"/>
      <c r="N39" s="2486"/>
      <c r="O39" s="2486"/>
      <c r="P39" s="3375"/>
      <c r="Q39" s="1262" t="str">
        <f t="shared" si="11"/>
        <v>层高</v>
      </c>
      <c r="R39" s="666" t="s">
        <v>14</v>
      </c>
      <c r="S39" s="667">
        <f t="shared" si="12"/>
        <v>100</v>
      </c>
      <c r="T39" s="666" t="s">
        <v>14</v>
      </c>
      <c r="U39" s="667">
        <f t="shared" si="13"/>
        <v>100</v>
      </c>
      <c r="V39" s="666" t="s">
        <v>14</v>
      </c>
      <c r="W39" s="667">
        <f t="shared" si="14"/>
        <v>100</v>
      </c>
      <c r="X39" s="1264"/>
      <c r="Y39" s="3377"/>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75"/>
      <c r="Q40" s="1262" t="str">
        <f t="shared" si="11"/>
        <v>单套建筑面积</v>
      </c>
      <c r="R40" s="666" t="s">
        <v>14</v>
      </c>
      <c r="S40" s="667">
        <f t="shared" si="12"/>
        <v>100</v>
      </c>
      <c r="T40" s="666" t="s">
        <v>14</v>
      </c>
      <c r="U40" s="667">
        <f t="shared" si="13"/>
        <v>100</v>
      </c>
      <c r="V40" s="666" t="s">
        <v>14</v>
      </c>
      <c r="W40" s="667">
        <f t="shared" si="14"/>
        <v>100</v>
      </c>
      <c r="X40" s="1264"/>
      <c r="Y40" s="3377"/>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5"/>
      <c r="Q41" s="531" t="str">
        <f t="shared" si="11"/>
        <v>进深比</v>
      </c>
      <c r="R41" s="668" t="s">
        <v>14</v>
      </c>
      <c r="S41" s="669">
        <f t="shared" si="12"/>
        <v>100</v>
      </c>
      <c r="T41" s="668" t="s">
        <v>14</v>
      </c>
      <c r="U41" s="669">
        <f t="shared" si="13"/>
        <v>100</v>
      </c>
      <c r="V41" s="668" t="s">
        <v>14</v>
      </c>
      <c r="W41" s="669">
        <f t="shared" si="14"/>
        <v>100</v>
      </c>
      <c r="X41" s="670"/>
      <c r="Y41" s="3377"/>
      <c r="Z41" s="671" t="str">
        <f t="shared" si="15"/>
        <v>进深比</v>
      </c>
      <c r="AA41" s="1263">
        <f t="shared" si="3"/>
        <v>1</v>
      </c>
      <c r="AB41" s="1263">
        <f t="shared" si="4"/>
        <v>1</v>
      </c>
      <c r="AC41" s="1263">
        <f t="shared" si="5"/>
        <v>1</v>
      </c>
    </row>
    <row r="42" spans="1:29" ht="15">
      <c r="A42" s="409"/>
      <c r="B42" s="364" t="s">
        <v>1792</v>
      </c>
      <c r="C42" s="1759" t="s">
        <v>3475</v>
      </c>
      <c r="D42" s="374">
        <v>100</v>
      </c>
      <c r="E42" s="1759" t="s">
        <v>3475</v>
      </c>
      <c r="F42" s="400">
        <f>SUMIF(122:122,E42,123:123)-SUMIF(122:122,C42,123:123)+100</f>
        <v>100</v>
      </c>
      <c r="G42" s="1759" t="s">
        <v>3475</v>
      </c>
      <c r="H42" s="374">
        <f>SUMIF(122:122,G42,123:123)-SUMIF(122:122,C42,123:123)+100</f>
        <v>100</v>
      </c>
      <c r="I42" s="1759" t="s">
        <v>3475</v>
      </c>
      <c r="J42" s="374">
        <f>SUMIF(122:122,I42,123:123)-SUMIF(122:122,C42,123:123)+100</f>
        <v>100</v>
      </c>
      <c r="K42" s="538">
        <v>1</v>
      </c>
      <c r="L42" s="2491"/>
      <c r="M42" s="2486"/>
      <c r="N42" s="2486"/>
      <c r="O42" s="2486"/>
      <c r="P42" s="3375"/>
      <c r="Q42" s="1262" t="str">
        <f t="shared" si="11"/>
        <v>内部装修</v>
      </c>
      <c r="R42" s="666" t="s">
        <v>14</v>
      </c>
      <c r="S42" s="667">
        <f t="shared" si="12"/>
        <v>100</v>
      </c>
      <c r="T42" s="666" t="s">
        <v>14</v>
      </c>
      <c r="U42" s="667">
        <f t="shared" si="13"/>
        <v>100</v>
      </c>
      <c r="V42" s="666" t="s">
        <v>14</v>
      </c>
      <c r="W42" s="667">
        <f t="shared" si="14"/>
        <v>100</v>
      </c>
      <c r="X42" s="1264"/>
      <c r="Y42" s="3377"/>
      <c r="Z42" s="1263" t="str">
        <f t="shared" si="15"/>
        <v>内部装修</v>
      </c>
      <c r="AA42" s="1263">
        <f t="shared" si="3"/>
        <v>1</v>
      </c>
      <c r="AB42" s="1263">
        <f t="shared" si="4"/>
        <v>1</v>
      </c>
      <c r="AC42" s="1263">
        <f t="shared" si="5"/>
        <v>1</v>
      </c>
    </row>
    <row r="43" spans="1:29" ht="15">
      <c r="A43" s="409"/>
      <c r="B43" s="364" t="s">
        <v>1707</v>
      </c>
      <c r="C43" s="1759" t="s">
        <v>3457</v>
      </c>
      <c r="D43" s="374">
        <v>100</v>
      </c>
      <c r="E43" s="1759" t="s">
        <v>3457</v>
      </c>
      <c r="F43" s="400">
        <f>SUMIF(124:124,E43,125:125)-SUMIF(124:124,C43,125:125)+100</f>
        <v>100</v>
      </c>
      <c r="G43" s="1759" t="s">
        <v>3457</v>
      </c>
      <c r="H43" s="374">
        <f>SUMIF(124:124,G43,125:125)-SUMIF(124:124,C43,125:125)+100</f>
        <v>100</v>
      </c>
      <c r="I43" s="1759" t="s">
        <v>3457</v>
      </c>
      <c r="J43" s="374">
        <f>SUMIF(124:124,I43,125:125)-SUMIF(124:124,C43,125:125)+100</f>
        <v>100</v>
      </c>
      <c r="K43" s="538">
        <v>1</v>
      </c>
      <c r="L43" s="2491"/>
      <c r="M43" s="2486"/>
      <c r="N43" s="2486"/>
      <c r="O43" s="2486"/>
      <c r="P43" s="3375"/>
      <c r="Q43" s="1262" t="str">
        <f t="shared" si="11"/>
        <v>内部装修维护情况</v>
      </c>
      <c r="R43" s="666" t="s">
        <v>14</v>
      </c>
      <c r="S43" s="667">
        <f t="shared" si="12"/>
        <v>100</v>
      </c>
      <c r="T43" s="666" t="s">
        <v>14</v>
      </c>
      <c r="U43" s="667">
        <f t="shared" si="13"/>
        <v>100</v>
      </c>
      <c r="V43" s="666" t="s">
        <v>14</v>
      </c>
      <c r="W43" s="667">
        <f t="shared" si="14"/>
        <v>100</v>
      </c>
      <c r="X43" s="1264"/>
      <c r="Y43" s="3377"/>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5"/>
      <c r="Q44" s="530">
        <f t="shared" si="11"/>
        <v>111</v>
      </c>
      <c r="R44" s="663" t="s">
        <v>14</v>
      </c>
      <c r="S44" s="664">
        <f t="shared" si="12"/>
        <v>100</v>
      </c>
      <c r="T44" s="663" t="s">
        <v>14</v>
      </c>
      <c r="U44" s="664">
        <f t="shared" si="13"/>
        <v>100</v>
      </c>
      <c r="V44" s="663" t="s">
        <v>14</v>
      </c>
      <c r="W44" s="664">
        <f t="shared" si="14"/>
        <v>100</v>
      </c>
      <c r="X44" s="665"/>
      <c r="Y44" s="3377"/>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5"/>
      <c r="Q45" s="1262">
        <f t="shared" si="11"/>
        <v>111</v>
      </c>
      <c r="R45" s="666" t="s">
        <v>14</v>
      </c>
      <c r="S45" s="667">
        <f t="shared" si="12"/>
        <v>100</v>
      </c>
      <c r="T45" s="666" t="s">
        <v>14</v>
      </c>
      <c r="U45" s="667">
        <f t="shared" si="13"/>
        <v>100</v>
      </c>
      <c r="V45" s="666" t="s">
        <v>14</v>
      </c>
      <c r="W45" s="667">
        <f t="shared" si="14"/>
        <v>100</v>
      </c>
      <c r="X45" s="1264"/>
      <c r="Y45" s="3377"/>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6"/>
      <c r="Q46" s="1262">
        <f t="shared" si="11"/>
        <v>111</v>
      </c>
      <c r="R46" s="666" t="s">
        <v>14</v>
      </c>
      <c r="S46" s="667">
        <f t="shared" si="12"/>
        <v>100</v>
      </c>
      <c r="T46" s="666" t="s">
        <v>14</v>
      </c>
      <c r="U46" s="667">
        <f t="shared" si="13"/>
        <v>100</v>
      </c>
      <c r="V46" s="666" t="s">
        <v>14</v>
      </c>
      <c r="W46" s="667">
        <f t="shared" si="14"/>
        <v>100</v>
      </c>
      <c r="X46" s="1264"/>
      <c r="Y46" s="3378"/>
      <c r="Z46" s="1263">
        <f t="shared" si="15"/>
        <v>111</v>
      </c>
      <c r="AA46" s="1263">
        <f t="shared" si="3"/>
        <v>1</v>
      </c>
      <c r="AB46" s="1263">
        <f t="shared" si="4"/>
        <v>1</v>
      </c>
      <c r="AC46" s="1263">
        <f t="shared" si="5"/>
        <v>1</v>
      </c>
    </row>
    <row r="47" spans="1:29" ht="15">
      <c r="A47" s="416" t="s">
        <v>1708</v>
      </c>
      <c r="B47" s="417"/>
      <c r="C47" s="1080" t="s">
        <v>0</v>
      </c>
      <c r="D47" s="418"/>
      <c r="E47" s="419">
        <v>4.58</v>
      </c>
      <c r="F47" s="420"/>
      <c r="G47" s="421">
        <f>4.2*(1+5%)</f>
        <v>4.41</v>
      </c>
      <c r="H47" s="422"/>
      <c r="I47" s="419">
        <f>ROUND(5.4*(1+5%),2)</f>
        <v>5.67</v>
      </c>
      <c r="J47" s="422"/>
      <c r="K47" s="673"/>
      <c r="L47" s="2493"/>
      <c r="M47" s="2486"/>
      <c r="N47" s="2486"/>
      <c r="O47" s="2486"/>
      <c r="P47" s="3365" t="str">
        <f>A47</f>
        <v>成交单价（元/平方米）</v>
      </c>
      <c r="Q47" s="3365"/>
      <c r="R47" s="3366">
        <f>E47</f>
        <v>4.58</v>
      </c>
      <c r="S47" s="3366"/>
      <c r="T47" s="3366">
        <f>G47</f>
        <v>4.41</v>
      </c>
      <c r="U47" s="3366"/>
      <c r="V47" s="3366">
        <f>I47</f>
        <v>5.67</v>
      </c>
      <c r="W47" s="3366"/>
      <c r="X47" s="385"/>
      <c r="Y47" s="672"/>
      <c r="Z47" s="385"/>
      <c r="AA47" s="385"/>
      <c r="AB47" s="385"/>
      <c r="AC47" s="385"/>
    </row>
    <row r="48" spans="1:29" ht="15.75" thickBot="1">
      <c r="A48" s="423" t="s">
        <v>1793</v>
      </c>
      <c r="B48" s="424"/>
      <c r="C48" s="1081">
        <f>R49</f>
        <v>4.0999999999999996</v>
      </c>
      <c r="D48" s="2140" t="s">
        <v>2138</v>
      </c>
      <c r="E48" s="1082">
        <f>R48</f>
        <v>4.5</v>
      </c>
      <c r="F48" s="2141"/>
      <c r="G48" s="1081">
        <f>T48</f>
        <v>3.5</v>
      </c>
      <c r="H48" s="2141"/>
      <c r="I48" s="1082">
        <f>V48</f>
        <v>4.4000000000000004</v>
      </c>
      <c r="J48" s="2141"/>
      <c r="K48" s="2143">
        <f>F48+H48+J48</f>
        <v>0</v>
      </c>
      <c r="L48" s="2493"/>
      <c r="M48" s="2486"/>
      <c r="N48" s="2486"/>
      <c r="O48" s="2486"/>
      <c r="P48" s="3365" t="str">
        <f>A48</f>
        <v>比较价值（元/平方米）</v>
      </c>
      <c r="Q48" s="3365"/>
      <c r="R48" s="3366">
        <f>IF(F1="售价",ROUND(PRODUCT(R47,AA7:AA46),0),ROUND(PRODUCT(R47,AA7:AA46),1))</f>
        <v>4.5</v>
      </c>
      <c r="S48" s="3366"/>
      <c r="T48" s="3366">
        <f>IF(F1="售价",ROUND(PRODUCT(T47,AB7:AB46),0),ROUND(PRODUCT(T47,AB7:AB46),1))</f>
        <v>3.5</v>
      </c>
      <c r="U48" s="3366"/>
      <c r="V48" s="3366">
        <f>IF(F1="售价",ROUND(PRODUCT(V47,AC7:AC46),0),ROUND(PRODUCT(V47,AC7:AC46),1))</f>
        <v>4.4000000000000004</v>
      </c>
      <c r="W48" s="3366"/>
      <c r="X48" s="385"/>
      <c r="Y48" s="385"/>
      <c r="Z48" s="385"/>
      <c r="AA48" s="385"/>
      <c r="AB48" s="385"/>
      <c r="AC48" s="385"/>
    </row>
    <row r="49" spans="1:29" ht="15.75" thickBot="1">
      <c r="A49" s="427" t="s">
        <v>1794</v>
      </c>
      <c r="B49" s="428"/>
      <c r="C49" s="351">
        <f>R49</f>
        <v>4.0999999999999996</v>
      </c>
      <c r="D49" s="351"/>
      <c r="E49" s="351"/>
      <c r="F49" s="351"/>
      <c r="G49" s="351"/>
      <c r="H49" s="351"/>
      <c r="I49" s="351"/>
      <c r="J49" s="351"/>
      <c r="K49" s="674"/>
      <c r="L49" s="2493"/>
      <c r="M49" s="2486"/>
      <c r="N49" s="2486"/>
      <c r="O49" s="2486"/>
      <c r="P49" s="3367" t="str">
        <f>A49</f>
        <v>估价对象XX用房的比较价值（楼面单价，元/平方米）</v>
      </c>
      <c r="Q49" s="3368"/>
      <c r="R49" s="3369">
        <f>IF(F1="售价",ROUND(IF(D48="简单平均",AVERAGE(R48:V48),R48*F48+T48*H48+V48*J48),0),ROUND(IF(D48="简单平均",AVERAGE(R48:V48),R48*F48+T48*H48+V48*J48),1))</f>
        <v>4.0999999999999996</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1.7777777777777892E-2</v>
      </c>
      <c r="F52" s="435" t="str">
        <f>IF(OR(E52&gt;=0.3,E52&lt;=-0.3),"超过30%","")</f>
        <v/>
      </c>
      <c r="G52" s="434">
        <f>IF(G47&lt;G48,G48/G47-1,G47/G48-1)</f>
        <v>0.26</v>
      </c>
      <c r="H52" s="435" t="str">
        <f>IF(OR(G52&gt;=0.3,G52&lt;=-0.3),"超过30%","")</f>
        <v/>
      </c>
      <c r="I52" s="434">
        <f>IF(I47&lt;I48,I48/I47-1,I47/I48-1)</f>
        <v>0.28863636363636358</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0.28571428571428581</v>
      </c>
      <c r="F53" s="435" t="str">
        <f>IF(OR(E53&gt;=0.2,E53&lt;=-0.2),"超过20%","")</f>
        <v>超过20%</v>
      </c>
      <c r="G53" s="434">
        <f>IF(G48&lt;I48,I48/G48-1,G48/I48-1)</f>
        <v>0.25714285714285734</v>
      </c>
      <c r="H53" s="435" t="str">
        <f>IF(OR(G53&gt;=0.2,G53&lt;=-0.2),"超过20%","")</f>
        <v>超过20%</v>
      </c>
      <c r="I53" s="434">
        <f>IF(I48&lt;E48,E48/I48-1,I48/E48-1)</f>
        <v>2.2727272727272707E-2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3.8548752834467015E-2</v>
      </c>
      <c r="F54" s="435" t="str">
        <f>IF(OR(E54&gt;=0.3,E54&lt;=-0.3),"超过30%","")</f>
        <v/>
      </c>
      <c r="G54" s="434">
        <f>IF(G47&lt;I47,I47/G47-1,G47/I47-1)</f>
        <v>0.28571428571428559</v>
      </c>
      <c r="H54" s="435" t="str">
        <f>IF(OR(G54&gt;=0.3,G54&lt;=-0.3),"超过30%","")</f>
        <v/>
      </c>
      <c r="I54" s="434">
        <f>IF(I47&lt;E47,E47/I47-1,I47/E47-1)</f>
        <v>0.23799126637554591</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2025-5</v>
      </c>
      <c r="D58" s="1103">
        <f>EDATE(C58,-1)</f>
        <v>45748</v>
      </c>
      <c r="E58" s="1103">
        <f t="shared" ref="E58:N58" si="16">EDATE(D58,-1)</f>
        <v>45717</v>
      </c>
      <c r="F58" s="1103">
        <f t="shared" si="16"/>
        <v>45689</v>
      </c>
      <c r="G58" s="1103">
        <f t="shared" si="16"/>
        <v>45658</v>
      </c>
      <c r="H58" s="1103">
        <f t="shared" si="16"/>
        <v>45627</v>
      </c>
      <c r="I58" s="1103">
        <f t="shared" si="16"/>
        <v>45597</v>
      </c>
      <c r="J58" s="1103">
        <f t="shared" si="16"/>
        <v>45566</v>
      </c>
      <c r="K58" s="1103">
        <f t="shared" si="16"/>
        <v>45536</v>
      </c>
      <c r="L58" s="1103">
        <f t="shared" si="16"/>
        <v>45505</v>
      </c>
      <c r="M58" s="1103">
        <f t="shared" si="16"/>
        <v>45474</v>
      </c>
      <c r="N58" s="1103">
        <f t="shared" si="16"/>
        <v>45444</v>
      </c>
      <c r="O58" s="1103">
        <f>EDATE(N58,-1)</f>
        <v>45413</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64" t="s">
        <v>3448</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t="s">
        <v>3449</v>
      </c>
      <c r="D65" s="513" t="s">
        <v>3450</v>
      </c>
      <c r="E65" s="513" t="s">
        <v>3451</v>
      </c>
      <c r="F65" s="513" t="s">
        <v>3452</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65" t="s">
        <v>3454</v>
      </c>
      <c r="D86" s="3165" t="s">
        <v>3455</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3456</v>
      </c>
      <c r="D88" s="485" t="s">
        <v>3457</v>
      </c>
      <c r="E88" s="485" t="s">
        <v>3458</v>
      </c>
      <c r="F88" s="1779" t="s">
        <v>3459</v>
      </c>
      <c r="G88" s="485" t="s">
        <v>3460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65" t="s">
        <v>3461</v>
      </c>
      <c r="D90" s="3165" t="s">
        <v>3463</v>
      </c>
      <c r="E90" s="3165" t="s">
        <v>3464</v>
      </c>
      <c r="F90" s="3165" t="s">
        <v>3465</v>
      </c>
      <c r="G90" s="3165" t="s">
        <v>3466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3467</v>
      </c>
      <c r="D92" s="485" t="s">
        <v>3468</v>
      </c>
      <c r="E92" s="485" t="s">
        <v>3469</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f>ROUND(E93*C95/E95,0)</f>
        <v>118</v>
      </c>
      <c r="D93" s="467">
        <f>ROUND(E93*D95/E95,0)</f>
        <v>82</v>
      </c>
      <c r="E93" s="467">
        <v>100</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f>'数据-取费表'!U22*100</f>
        <v>70</v>
      </c>
      <c r="E95" s="467">
        <f>ROUND((C95+D95)/2,2)</f>
        <v>85</v>
      </c>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66" t="s">
        <v>3471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4">C101-$K32</f>
        <v>99</v>
      </c>
      <c r="E101" s="475">
        <f t="shared" si="24"/>
        <v>98</v>
      </c>
      <c r="F101" s="475">
        <f t="shared" si="24"/>
        <v>97</v>
      </c>
      <c r="G101" s="475">
        <f t="shared" si="24"/>
        <v>96</v>
      </c>
      <c r="H101" s="475">
        <f t="shared" si="24"/>
        <v>95</v>
      </c>
      <c r="I101" s="475">
        <f t="shared" si="24"/>
        <v>94</v>
      </c>
      <c r="J101" s="475">
        <f t="shared" si="24"/>
        <v>93</v>
      </c>
      <c r="K101" s="475">
        <f t="shared" si="24"/>
        <v>92</v>
      </c>
      <c r="L101" s="475">
        <f t="shared" si="24"/>
        <v>91</v>
      </c>
      <c r="M101" s="476">
        <f t="shared" si="24"/>
        <v>90</v>
      </c>
      <c r="N101" s="2521"/>
      <c r="O101" s="2521"/>
      <c r="P101" s="2512"/>
      <c r="Q101" s="2507"/>
      <c r="R101" s="2486"/>
      <c r="S101" s="2486"/>
      <c r="T101" s="2486"/>
      <c r="U101" s="2486"/>
      <c r="V101" s="2486"/>
      <c r="W101" s="2486"/>
      <c r="X101" s="2486"/>
      <c r="Y101" s="2486"/>
      <c r="Z101" s="2486"/>
      <c r="AA101" s="2486"/>
      <c r="AB101" s="2486"/>
      <c r="AC101" s="2486"/>
    </row>
    <row r="102" spans="1:29" ht="29.25" thickTop="1">
      <c r="A102" s="367"/>
      <c r="B102" s="469" t="s">
        <v>1737</v>
      </c>
      <c r="C102" s="509" t="str">
        <f>C103&amp;"(含)"&amp;"-"&amp;D103</f>
        <v>0(含)-150</v>
      </c>
      <c r="D102" s="509" t="str">
        <f t="shared" ref="D102:L102" si="25">D103&amp;"(含)"&amp;"-"&amp;E103</f>
        <v>150(含)-266.92/189.63</v>
      </c>
      <c r="E102" s="509" t="str">
        <f t="shared" si="25"/>
        <v>266.92/189.63(含)-</v>
      </c>
      <c r="F102" s="509" t="str">
        <f t="shared" si="25"/>
        <v>(含)-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150</v>
      </c>
      <c r="E103" s="6" t="s">
        <v>3491</v>
      </c>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65" t="s">
        <v>3472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65" t="s">
        <v>3474</v>
      </c>
      <c r="D107" s="3165" t="s">
        <v>3476</v>
      </c>
      <c r="E107" s="3165" t="s">
        <v>3477</v>
      </c>
      <c r="F107" s="3167" t="s">
        <v>3478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7">C108-$K35</f>
        <v>99</v>
      </c>
      <c r="E108" s="475">
        <f t="shared" si="27"/>
        <v>98</v>
      </c>
      <c r="F108" s="475">
        <f t="shared" si="27"/>
        <v>97</v>
      </c>
      <c r="G108" s="475">
        <f t="shared" si="27"/>
        <v>96</v>
      </c>
      <c r="H108" s="475">
        <f t="shared" si="27"/>
        <v>95</v>
      </c>
      <c r="I108" s="475">
        <f t="shared" si="27"/>
        <v>94</v>
      </c>
      <c r="J108" s="475">
        <f t="shared" si="27"/>
        <v>93</v>
      </c>
      <c r="K108" s="475">
        <f t="shared" si="27"/>
        <v>92</v>
      </c>
      <c r="L108" s="475">
        <f t="shared" si="27"/>
        <v>91</v>
      </c>
      <c r="M108" s="476">
        <f t="shared" si="27"/>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65" t="s">
        <v>3480</v>
      </c>
      <c r="D112" s="3165" t="s">
        <v>3481</v>
      </c>
      <c r="E112" s="3165" t="s">
        <v>3482</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65" t="s">
        <v>3484</v>
      </c>
      <c r="D114" s="3165" t="s">
        <v>3486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65" t="s">
        <v>3488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65" t="s">
        <v>3474</v>
      </c>
      <c r="D122" s="3165" t="s">
        <v>3476</v>
      </c>
      <c r="E122" s="3165" t="s">
        <v>3477</v>
      </c>
      <c r="F122" s="3167" t="s">
        <v>3478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417" t="s">
        <v>2317</v>
      </c>
      <c r="K2" s="3418"/>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19" t="s">
        <v>2327</v>
      </c>
      <c r="K3" s="3420"/>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19" t="s">
        <v>2329</v>
      </c>
      <c r="K4" s="3420"/>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5" t="s">
        <v>2333</v>
      </c>
      <c r="B6" s="3426"/>
      <c r="C6" s="3427"/>
      <c r="D6" s="2620"/>
      <c r="E6" s="2621"/>
      <c r="F6" s="2622"/>
      <c r="G6" s="2623"/>
      <c r="H6" s="2598"/>
      <c r="I6" s="2599"/>
      <c r="J6" s="3411">
        <v>1</v>
      </c>
      <c r="K6" s="341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11"/>
      <c r="K7" s="341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8" t="s">
        <v>2347</v>
      </c>
      <c r="C8" s="3429"/>
      <c r="D8" s="2639" t="s">
        <v>2348</v>
      </c>
      <c r="E8" s="2640" t="s">
        <v>2349</v>
      </c>
      <c r="F8" s="2641" t="s">
        <v>2350</v>
      </c>
      <c r="G8" s="2642"/>
      <c r="H8" s="2598"/>
      <c r="I8" s="2599"/>
      <c r="J8" s="3411"/>
      <c r="K8" s="341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8" t="s">
        <v>2353</v>
      </c>
      <c r="C9" s="3429"/>
      <c r="D9" s="2639">
        <f>ROUND(D6*E9,0)</f>
        <v>0</v>
      </c>
      <c r="E9" s="2643"/>
      <c r="F9" s="2644" t="s">
        <v>2354</v>
      </c>
      <c r="G9" s="2623"/>
      <c r="H9" s="2598"/>
      <c r="I9" s="2599"/>
      <c r="J9" s="3411"/>
      <c r="K9" s="3413"/>
      <c r="L9" s="2633" t="s">
        <v>2355</v>
      </c>
      <c r="M9" s="2634"/>
      <c r="N9" s="2610"/>
      <c r="O9" s="2635"/>
      <c r="P9" s="2635"/>
      <c r="Q9" s="2636">
        <v>365</v>
      </c>
      <c r="R9" s="2637">
        <f t="shared" si="0"/>
        <v>0</v>
      </c>
      <c r="S9" s="2591"/>
      <c r="T9" s="2591"/>
      <c r="U9" s="2591"/>
      <c r="V9" s="2599"/>
    </row>
    <row r="10" spans="1:22" s="2603" customFormat="1" ht="13.15" customHeight="1">
      <c r="A10" s="2638">
        <v>2</v>
      </c>
      <c r="B10" s="3428" t="s">
        <v>2356</v>
      </c>
      <c r="C10" s="3429"/>
      <c r="D10" s="2639">
        <f>ROUND(D6*E10,0)</f>
        <v>0</v>
      </c>
      <c r="E10" s="2643"/>
      <c r="F10" s="2644" t="s">
        <v>2357</v>
      </c>
      <c r="G10" s="2623"/>
      <c r="H10" s="2598"/>
      <c r="I10" s="2599"/>
      <c r="J10" s="3411"/>
      <c r="K10" s="3413"/>
      <c r="L10" s="2633" t="s">
        <v>2358</v>
      </c>
      <c r="M10" s="2634"/>
      <c r="N10" s="2610"/>
      <c r="O10" s="2635"/>
      <c r="P10" s="2635"/>
      <c r="Q10" s="2636">
        <v>365</v>
      </c>
      <c r="R10" s="2637">
        <f t="shared" si="0"/>
        <v>0</v>
      </c>
      <c r="S10" s="2591"/>
      <c r="T10" s="2591"/>
      <c r="U10" s="2591"/>
      <c r="V10" s="2599"/>
    </row>
    <row r="11" spans="1:22" s="2603" customFormat="1" ht="13.15" customHeight="1">
      <c r="A11" s="2638">
        <v>3</v>
      </c>
      <c r="B11" s="3428" t="s">
        <v>2359</v>
      </c>
      <c r="C11" s="3429"/>
      <c r="D11" s="2639">
        <f>D12+D14+D15+D16</f>
        <v>0</v>
      </c>
      <c r="E11" s="2645" t="e">
        <f>D11/D6</f>
        <v>#DIV/0!</v>
      </c>
      <c r="F11" s="2641"/>
      <c r="G11" s="2642"/>
      <c r="H11" s="2598"/>
      <c r="I11" s="2599"/>
      <c r="J11" s="3411"/>
      <c r="K11" s="341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21" t="s">
        <v>2362</v>
      </c>
      <c r="C12" s="3422"/>
      <c r="D12" s="2647">
        <f>ROUND(D13*1.2%*(1-30%),0)</f>
        <v>0</v>
      </c>
      <c r="E12" s="2648">
        <v>1.2E-2</v>
      </c>
      <c r="F12" s="2641" t="s">
        <v>2363</v>
      </c>
      <c r="G12" s="2642"/>
      <c r="H12" s="2598"/>
      <c r="I12" s="2599"/>
      <c r="J12" s="3411"/>
      <c r="K12" s="341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11"/>
      <c r="K13" s="341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21" t="s">
        <v>2368</v>
      </c>
      <c r="C14" s="3422"/>
      <c r="D14" s="2647">
        <f>ROUND(E14*B5/10000,0)</f>
        <v>0</v>
      </c>
      <c r="E14" s="2636"/>
      <c r="F14" s="2641" t="s">
        <v>2369</v>
      </c>
      <c r="G14" s="2642"/>
      <c r="H14" s="2598"/>
      <c r="I14" s="2599"/>
      <c r="J14" s="3411"/>
      <c r="K14" s="341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21" t="s">
        <v>2372</v>
      </c>
      <c r="C15" s="3422"/>
      <c r="D15" s="2647">
        <f>ROUND(D6*E15,0)</f>
        <v>0</v>
      </c>
      <c r="E15" s="2648">
        <v>5.5E-2</v>
      </c>
      <c r="F15" s="2641" t="s">
        <v>2373</v>
      </c>
      <c r="G15" s="2623"/>
      <c r="H15" s="2598"/>
      <c r="I15" s="2599"/>
      <c r="J15" s="3411">
        <v>2</v>
      </c>
      <c r="K15" s="341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21" t="s">
        <v>2381</v>
      </c>
      <c r="C16" s="3422"/>
      <c r="D16" s="2658">
        <f>D6*E16</f>
        <v>0</v>
      </c>
      <c r="E16" s="2659"/>
      <c r="F16" s="2644" t="s">
        <v>2382</v>
      </c>
      <c r="G16" s="2623"/>
      <c r="H16" s="2598"/>
      <c r="I16" s="2599"/>
      <c r="J16" s="3411"/>
      <c r="K16" s="341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23" t="s">
        <v>2384</v>
      </c>
      <c r="C17" s="3424"/>
      <c r="D17" s="2661">
        <f>ROUND(D6*E17,0)</f>
        <v>0</v>
      </c>
      <c r="E17" s="2662"/>
      <c r="F17" s="2663" t="s">
        <v>2385</v>
      </c>
      <c r="G17" s="2623"/>
      <c r="H17" s="2598"/>
      <c r="I17" s="2599"/>
      <c r="J17" s="3411"/>
      <c r="K17" s="341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11"/>
      <c r="K18" s="341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11"/>
      <c r="K19" s="341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1">
        <v>3</v>
      </c>
      <c r="K20" s="341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11"/>
      <c r="K21" s="341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11"/>
      <c r="K22" s="341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11"/>
      <c r="K23" s="341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11"/>
      <c r="K24" s="341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1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1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7" t="s">
        <v>2317</v>
      </c>
      <c r="K32" s="3418"/>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19" t="s">
        <v>2327</v>
      </c>
      <c r="K33" s="3420"/>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19" t="s">
        <v>2329</v>
      </c>
      <c r="K34" s="342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11">
        <v>1</v>
      </c>
      <c r="K36" s="341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11"/>
      <c r="K37" s="341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1"/>
      <c r="K38" s="341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11"/>
      <c r="K39" s="341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11"/>
      <c r="K40" s="341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1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1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0">
        <f ca="1">SUMIF(B6:B13,"&lt;&gt;#ref!",B6:B13)</f>
        <v>661.80359999999996</v>
      </c>
      <c r="C2" s="1728" t="s">
        <v>1651</v>
      </c>
      <c r="D2" s="1729" t="s">
        <v>1652</v>
      </c>
      <c r="E2" s="2392">
        <f>SUM(E6:E13)</f>
        <v>456.55</v>
      </c>
      <c r="F2" s="2478"/>
      <c r="G2" s="459"/>
      <c r="H2" s="459"/>
      <c r="I2" s="459"/>
      <c r="J2" s="459"/>
      <c r="K2" s="459"/>
      <c r="L2" s="459"/>
      <c r="M2" s="459"/>
      <c r="N2" s="459"/>
      <c r="O2" s="459"/>
      <c r="P2" s="459"/>
      <c r="Q2" s="459"/>
      <c r="R2" s="459"/>
      <c r="S2" s="459"/>
    </row>
    <row r="3" spans="1:22" ht="15.75">
      <c r="A3" s="1727" t="s">
        <v>686</v>
      </c>
      <c r="B3" s="2386">
        <f ca="1">ROUND(B2*10000/E2,0)</f>
        <v>14496</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0" t="s">
        <v>1654</v>
      </c>
      <c r="C5" s="3431"/>
      <c r="D5" s="2479"/>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661.80359999999996</v>
      </c>
      <c r="C6" s="1728" t="s">
        <v>1651</v>
      </c>
      <c r="D6" s="2478"/>
      <c r="E6" s="2391">
        <f>IF(OR(A6=0,F6="否"),0,'数据-取费表'!K6+'数据-取费表'!S6)</f>
        <v>456.55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456.55</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83" t="s">
        <v>1667</v>
      </c>
      <c r="D4" s="3384"/>
      <c r="E4" s="3385" t="s">
        <v>1668</v>
      </c>
      <c r="F4" s="3386"/>
      <c r="G4" s="3383" t="s">
        <v>1669</v>
      </c>
      <c r="H4" s="3384"/>
      <c r="I4" s="3383" t="s">
        <v>1670</v>
      </c>
      <c r="J4" s="3384"/>
      <c r="K4" s="1743" t="s">
        <v>1671</v>
      </c>
      <c r="L4" s="2485"/>
      <c r="M4" s="2486"/>
      <c r="N4" s="2486"/>
      <c r="O4" s="2486"/>
      <c r="P4" s="3387" t="s">
        <v>1672</v>
      </c>
      <c r="Q4" s="3388"/>
      <c r="R4" s="3393" t="s">
        <v>1668</v>
      </c>
      <c r="S4" s="3394"/>
      <c r="T4" s="3393" t="s">
        <v>1669</v>
      </c>
      <c r="U4" s="3394"/>
      <c r="V4" s="3366" t="s">
        <v>1670</v>
      </c>
      <c r="W4" s="3366"/>
      <c r="X4" s="1264"/>
      <c r="Y4" s="3393" t="s">
        <v>1672</v>
      </c>
      <c r="Z4" s="3394"/>
      <c r="AA4" s="3380" t="s">
        <v>1668</v>
      </c>
      <c r="AB4" s="3380" t="s">
        <v>1669</v>
      </c>
      <c r="AC4" s="3380" t="s">
        <v>1670</v>
      </c>
    </row>
    <row r="5" spans="1:29" ht="15">
      <c r="A5" s="348"/>
      <c r="B5" s="349"/>
      <c r="C5" s="3406" t="s">
        <v>1673</v>
      </c>
      <c r="D5" s="3402"/>
      <c r="E5" s="3432" t="s">
        <v>1674</v>
      </c>
      <c r="F5" s="3410"/>
      <c r="G5" s="3406" t="s">
        <v>1675</v>
      </c>
      <c r="H5" s="3402"/>
      <c r="I5" s="3406" t="s">
        <v>1676</v>
      </c>
      <c r="J5" s="3402"/>
      <c r="K5" s="1744"/>
      <c r="L5" s="2485"/>
      <c r="M5" s="2486"/>
      <c r="N5" s="2486"/>
      <c r="O5" s="2486"/>
      <c r="P5" s="3389"/>
      <c r="Q5" s="3390"/>
      <c r="R5" s="3395"/>
      <c r="S5" s="3396"/>
      <c r="T5" s="3395"/>
      <c r="U5" s="3396"/>
      <c r="V5" s="3366"/>
      <c r="W5" s="3366"/>
      <c r="X5" s="1264"/>
      <c r="Y5" s="3395"/>
      <c r="Z5" s="3396"/>
      <c r="AA5" s="3381"/>
      <c r="AB5" s="3381"/>
      <c r="AC5" s="3381"/>
    </row>
    <row r="6" spans="1:29" ht="15.75" thickBot="1">
      <c r="A6" s="350"/>
      <c r="B6" s="351"/>
      <c r="C6" s="3399" t="s">
        <v>1677</v>
      </c>
      <c r="D6" s="3400"/>
      <c r="E6" s="3407" t="s">
        <v>1677</v>
      </c>
      <c r="F6" s="3408"/>
      <c r="G6" s="3399" t="s">
        <v>1677</v>
      </c>
      <c r="H6" s="3400"/>
      <c r="I6" s="3399" t="s">
        <v>1677</v>
      </c>
      <c r="J6" s="3400"/>
      <c r="K6" s="1744" t="s">
        <v>1678</v>
      </c>
      <c r="L6" s="2485"/>
      <c r="M6" s="2486"/>
      <c r="N6" s="2486"/>
      <c r="O6" s="2486"/>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403" t="s">
        <v>1680</v>
      </c>
      <c r="Q7" s="3405"/>
      <c r="R7" s="663" t="s">
        <v>20</v>
      </c>
      <c r="S7" s="664">
        <f t="shared" ref="S7:S15" si="0">F7</f>
        <v>0</v>
      </c>
      <c r="T7" s="663" t="s">
        <v>20</v>
      </c>
      <c r="U7" s="664">
        <f t="shared" ref="U7:U15" si="1">H7</f>
        <v>0</v>
      </c>
      <c r="V7" s="663" t="s">
        <v>20</v>
      </c>
      <c r="W7" s="664">
        <f t="shared" ref="W7:W15" si="2">J7</f>
        <v>0</v>
      </c>
      <c r="X7" s="665"/>
      <c r="Y7" s="3403" t="s">
        <v>1680</v>
      </c>
      <c r="Z7" s="340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403" t="s">
        <v>1683</v>
      </c>
      <c r="Q8" s="3404"/>
      <c r="R8" s="663" t="s">
        <v>20</v>
      </c>
      <c r="S8" s="664">
        <f t="shared" si="0"/>
        <v>100</v>
      </c>
      <c r="T8" s="663" t="s">
        <v>20</v>
      </c>
      <c r="U8" s="664">
        <f t="shared" si="1"/>
        <v>100</v>
      </c>
      <c r="V8" s="663" t="s">
        <v>20</v>
      </c>
      <c r="W8" s="664">
        <f t="shared" si="2"/>
        <v>100</v>
      </c>
      <c r="X8" s="665"/>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79"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9"/>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9"/>
      <c r="Q11" s="530" t="str">
        <f t="shared" si="6"/>
        <v>容积率</v>
      </c>
      <c r="R11" s="663" t="s">
        <v>18</v>
      </c>
      <c r="S11" s="664" t="e">
        <f t="shared" si="0"/>
        <v>#N/A</v>
      </c>
      <c r="T11" s="663" t="s">
        <v>18</v>
      </c>
      <c r="U11" s="664" t="e">
        <f t="shared" si="1"/>
        <v>#N/A</v>
      </c>
      <c r="V11" s="663" t="s">
        <v>18</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9"/>
      <c r="Q12" s="530">
        <f t="shared" si="6"/>
        <v>111</v>
      </c>
      <c r="R12" s="663" t="s">
        <v>18</v>
      </c>
      <c r="S12" s="664">
        <f t="shared" si="0"/>
        <v>100</v>
      </c>
      <c r="T12" s="663" t="s">
        <v>18</v>
      </c>
      <c r="U12" s="664">
        <f t="shared" si="1"/>
        <v>100</v>
      </c>
      <c r="V12" s="663" t="s">
        <v>18</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9"/>
      <c r="Q13" s="530">
        <f t="shared" si="6"/>
        <v>111</v>
      </c>
      <c r="R13" s="663" t="s">
        <v>18</v>
      </c>
      <c r="S13" s="664">
        <f t="shared" si="0"/>
        <v>100</v>
      </c>
      <c r="T13" s="663" t="s">
        <v>18</v>
      </c>
      <c r="U13" s="664">
        <f t="shared" si="1"/>
        <v>100</v>
      </c>
      <c r="V13" s="663" t="s">
        <v>18</v>
      </c>
      <c r="W13" s="664">
        <f t="shared" si="2"/>
        <v>100</v>
      </c>
      <c r="X13" s="665"/>
      <c r="Y13" s="326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9"/>
      <c r="Q14" s="530">
        <f t="shared" si="6"/>
        <v>111</v>
      </c>
      <c r="R14" s="663" t="s">
        <v>18</v>
      </c>
      <c r="S14" s="664">
        <f t="shared" si="0"/>
        <v>100</v>
      </c>
      <c r="T14" s="663" t="s">
        <v>18</v>
      </c>
      <c r="U14" s="664">
        <f t="shared" si="1"/>
        <v>100</v>
      </c>
      <c r="V14" s="663" t="s">
        <v>18</v>
      </c>
      <c r="W14" s="664">
        <f t="shared" si="2"/>
        <v>100</v>
      </c>
      <c r="X14" s="665"/>
      <c r="Y14" s="3264"/>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0" t="s">
        <v>1691</v>
      </c>
      <c r="Q15" s="1262" t="str">
        <f t="shared" si="6"/>
        <v>居住社区成熟度</v>
      </c>
      <c r="R15" s="666" t="s">
        <v>18</v>
      </c>
      <c r="S15" s="667">
        <f t="shared" si="0"/>
        <v>100</v>
      </c>
      <c r="T15" s="666" t="s">
        <v>18</v>
      </c>
      <c r="U15" s="667">
        <f t="shared" si="1"/>
        <v>100</v>
      </c>
      <c r="V15" s="666" t="s">
        <v>18</v>
      </c>
      <c r="W15" s="667">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71"/>
      <c r="Q16" s="1262"/>
      <c r="R16" s="666"/>
      <c r="S16" s="667"/>
      <c r="T16" s="666"/>
      <c r="U16" s="667"/>
      <c r="V16" s="666"/>
      <c r="W16" s="667"/>
      <c r="X16" s="1264"/>
      <c r="Y16" s="3373"/>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1"/>
      <c r="Q17" s="1262" t="str">
        <f>B17</f>
        <v>交通便捷度</v>
      </c>
      <c r="R17" s="666" t="s">
        <v>18</v>
      </c>
      <c r="S17" s="667">
        <f>F17</f>
        <v>100</v>
      </c>
      <c r="T17" s="666" t="s">
        <v>18</v>
      </c>
      <c r="U17" s="667">
        <f>H17</f>
        <v>100</v>
      </c>
      <c r="V17" s="666" t="s">
        <v>18</v>
      </c>
      <c r="W17" s="667">
        <f>J17</f>
        <v>100</v>
      </c>
      <c r="X17" s="1264"/>
      <c r="Y17" s="3373"/>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71"/>
      <c r="Q18" s="1262"/>
      <c r="R18" s="666"/>
      <c r="S18" s="667"/>
      <c r="T18" s="666"/>
      <c r="U18" s="667"/>
      <c r="V18" s="666"/>
      <c r="W18" s="667"/>
      <c r="X18" s="1264"/>
      <c r="Y18" s="3373"/>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1"/>
      <c r="Q19" s="1262" t="str">
        <f>B19</f>
        <v>公共配套设施</v>
      </c>
      <c r="R19" s="666" t="s">
        <v>18</v>
      </c>
      <c r="S19" s="667">
        <f>F19</f>
        <v>100</v>
      </c>
      <c r="T19" s="666" t="s">
        <v>18</v>
      </c>
      <c r="U19" s="667">
        <f>H19</f>
        <v>100</v>
      </c>
      <c r="V19" s="666" t="s">
        <v>18</v>
      </c>
      <c r="W19" s="667">
        <f>J19</f>
        <v>100</v>
      </c>
      <c r="X19" s="1264"/>
      <c r="Y19" s="3373"/>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71"/>
      <c r="Q20" s="1262"/>
      <c r="R20" s="666"/>
      <c r="S20" s="667"/>
      <c r="T20" s="666"/>
      <c r="U20" s="667"/>
      <c r="V20" s="666"/>
      <c r="W20" s="667"/>
      <c r="X20" s="1264"/>
      <c r="Y20" s="3373"/>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371"/>
      <c r="Q22" s="1262"/>
      <c r="R22" s="666"/>
      <c r="S22" s="667"/>
      <c r="T22" s="666"/>
      <c r="U22" s="667"/>
      <c r="V22" s="666"/>
      <c r="W22" s="667"/>
      <c r="X22" s="1264"/>
      <c r="Y22" s="3373"/>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1"/>
      <c r="Q23" s="1262" t="str">
        <f>B23</f>
        <v>自然及人文环境</v>
      </c>
      <c r="R23" s="666" t="s">
        <v>18</v>
      </c>
      <c r="S23" s="667">
        <f>F23</f>
        <v>100</v>
      </c>
      <c r="T23" s="666" t="s">
        <v>18</v>
      </c>
      <c r="U23" s="667">
        <f>H23</f>
        <v>100</v>
      </c>
      <c r="V23" s="666" t="s">
        <v>18</v>
      </c>
      <c r="W23" s="667">
        <f>J23</f>
        <v>100</v>
      </c>
      <c r="X23" s="1264"/>
      <c r="Y23" s="3373"/>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71"/>
      <c r="Q24" s="1262"/>
      <c r="R24" s="666"/>
      <c r="S24" s="667"/>
      <c r="T24" s="666"/>
      <c r="U24" s="667"/>
      <c r="V24" s="666"/>
      <c r="W24" s="667"/>
      <c r="X24" s="1264"/>
      <c r="Y24" s="3373"/>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7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71"/>
      <c r="Q26" s="1262" t="str">
        <f t="shared" si="11"/>
        <v>朝向</v>
      </c>
      <c r="R26" s="666" t="s">
        <v>18</v>
      </c>
      <c r="S26" s="667">
        <f t="shared" si="12"/>
        <v>100</v>
      </c>
      <c r="T26" s="666" t="s">
        <v>18</v>
      </c>
      <c r="U26" s="667">
        <f t="shared" si="13"/>
        <v>100</v>
      </c>
      <c r="V26" s="666" t="s">
        <v>18</v>
      </c>
      <c r="W26" s="667">
        <f t="shared" si="14"/>
        <v>100</v>
      </c>
      <c r="X26" s="1264"/>
      <c r="Y26" s="337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71"/>
      <c r="Q27" s="530">
        <f t="shared" si="11"/>
        <v>111</v>
      </c>
      <c r="R27" s="663" t="s">
        <v>18</v>
      </c>
      <c r="S27" s="664">
        <f t="shared" si="12"/>
        <v>100</v>
      </c>
      <c r="T27" s="663" t="s">
        <v>18</v>
      </c>
      <c r="U27" s="664">
        <f t="shared" si="13"/>
        <v>100</v>
      </c>
      <c r="V27" s="663" t="s">
        <v>18</v>
      </c>
      <c r="W27" s="664">
        <f t="shared" si="14"/>
        <v>100</v>
      </c>
      <c r="X27" s="665"/>
      <c r="Y27" s="337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71"/>
      <c r="Q28" s="1262">
        <f t="shared" si="11"/>
        <v>111</v>
      </c>
      <c r="R28" s="666" t="s">
        <v>18</v>
      </c>
      <c r="S28" s="667">
        <f t="shared" si="12"/>
        <v>100</v>
      </c>
      <c r="T28" s="666" t="s">
        <v>18</v>
      </c>
      <c r="U28" s="667">
        <f t="shared" si="13"/>
        <v>100</v>
      </c>
      <c r="V28" s="666" t="s">
        <v>18</v>
      </c>
      <c r="W28" s="667">
        <f t="shared" si="14"/>
        <v>100</v>
      </c>
      <c r="X28" s="1264"/>
      <c r="Y28" s="337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71"/>
      <c r="Q29" s="1262">
        <f t="shared" si="11"/>
        <v>111</v>
      </c>
      <c r="R29" s="666" t="s">
        <v>18</v>
      </c>
      <c r="S29" s="667">
        <f t="shared" si="12"/>
        <v>100</v>
      </c>
      <c r="T29" s="666" t="s">
        <v>18</v>
      </c>
      <c r="U29" s="667">
        <f t="shared" si="13"/>
        <v>100</v>
      </c>
      <c r="V29" s="666" t="s">
        <v>18</v>
      </c>
      <c r="W29" s="667">
        <f t="shared" si="14"/>
        <v>100</v>
      </c>
      <c r="X29" s="1264"/>
      <c r="Y29" s="337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71"/>
      <c r="Q30" s="1262">
        <f t="shared" si="11"/>
        <v>111</v>
      </c>
      <c r="R30" s="666" t="s">
        <v>18</v>
      </c>
      <c r="S30" s="667">
        <f t="shared" si="12"/>
        <v>100</v>
      </c>
      <c r="T30" s="666" t="s">
        <v>18</v>
      </c>
      <c r="U30" s="667">
        <f t="shared" si="13"/>
        <v>100</v>
      </c>
      <c r="V30" s="666" t="s">
        <v>18</v>
      </c>
      <c r="W30" s="667">
        <f t="shared" si="14"/>
        <v>100</v>
      </c>
      <c r="X30" s="1264"/>
      <c r="Y30" s="337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71"/>
      <c r="Q31" s="1262">
        <f t="shared" si="11"/>
        <v>111</v>
      </c>
      <c r="R31" s="666" t="s">
        <v>18</v>
      </c>
      <c r="S31" s="667">
        <f t="shared" si="12"/>
        <v>100</v>
      </c>
      <c r="T31" s="666" t="s">
        <v>18</v>
      </c>
      <c r="U31" s="667">
        <f t="shared" si="13"/>
        <v>100</v>
      </c>
      <c r="V31" s="666" t="s">
        <v>18</v>
      </c>
      <c r="W31" s="667">
        <f t="shared" si="14"/>
        <v>100</v>
      </c>
      <c r="X31" s="1264"/>
      <c r="Y31" s="3373"/>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74" t="s">
        <v>1696</v>
      </c>
      <c r="Q32" s="1262" t="str">
        <f t="shared" si="11"/>
        <v>建筑类型</v>
      </c>
      <c r="R32" s="666" t="s">
        <v>18</v>
      </c>
      <c r="S32" s="667">
        <f t="shared" si="12"/>
        <v>100</v>
      </c>
      <c r="T32" s="666" t="s">
        <v>18</v>
      </c>
      <c r="U32" s="667">
        <f t="shared" si="13"/>
        <v>100</v>
      </c>
      <c r="V32" s="666" t="s">
        <v>18</v>
      </c>
      <c r="W32" s="667">
        <f t="shared" si="14"/>
        <v>100</v>
      </c>
      <c r="X32" s="1264"/>
      <c r="Y32" s="3377"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75"/>
      <c r="Q33" s="531" t="str">
        <f t="shared" si="11"/>
        <v>项目建筑规模</v>
      </c>
      <c r="R33" s="668" t="s">
        <v>18</v>
      </c>
      <c r="S33" s="669" t="e">
        <f t="shared" si="12"/>
        <v>#N/A</v>
      </c>
      <c r="T33" s="668" t="s">
        <v>18</v>
      </c>
      <c r="U33" s="669" t="e">
        <f t="shared" si="13"/>
        <v>#N/A</v>
      </c>
      <c r="V33" s="668" t="s">
        <v>18</v>
      </c>
      <c r="W33" s="669" t="e">
        <f t="shared" si="14"/>
        <v>#N/A</v>
      </c>
      <c r="X33" s="670"/>
      <c r="Y33" s="3377"/>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75"/>
      <c r="Q34" s="1262" t="str">
        <f t="shared" si="11"/>
        <v>建筑结构</v>
      </c>
      <c r="R34" s="666" t="s">
        <v>18</v>
      </c>
      <c r="S34" s="667">
        <f t="shared" si="12"/>
        <v>100</v>
      </c>
      <c r="T34" s="666" t="s">
        <v>18</v>
      </c>
      <c r="U34" s="667">
        <f t="shared" si="13"/>
        <v>100</v>
      </c>
      <c r="V34" s="666" t="s">
        <v>18</v>
      </c>
      <c r="W34" s="667">
        <f t="shared" si="14"/>
        <v>100</v>
      </c>
      <c r="X34" s="1264"/>
      <c r="Y34" s="3377"/>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75"/>
      <c r="Q35" s="1262" t="str">
        <f t="shared" si="11"/>
        <v>建筑品质</v>
      </c>
      <c r="R35" s="666" t="s">
        <v>18</v>
      </c>
      <c r="S35" s="667">
        <f t="shared" si="12"/>
        <v>100</v>
      </c>
      <c r="T35" s="666" t="s">
        <v>18</v>
      </c>
      <c r="U35" s="667">
        <f t="shared" si="13"/>
        <v>100</v>
      </c>
      <c r="V35" s="666" t="s">
        <v>18</v>
      </c>
      <c r="W35" s="667">
        <f t="shared" si="14"/>
        <v>100</v>
      </c>
      <c r="X35" s="1264"/>
      <c r="Y35" s="3377"/>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75"/>
      <c r="Q36" s="1262" t="str">
        <f t="shared" si="11"/>
        <v>公共部分装修</v>
      </c>
      <c r="R36" s="666" t="s">
        <v>18</v>
      </c>
      <c r="S36" s="667">
        <f t="shared" si="12"/>
        <v>100</v>
      </c>
      <c r="T36" s="666" t="s">
        <v>18</v>
      </c>
      <c r="U36" s="667">
        <f t="shared" si="13"/>
        <v>100</v>
      </c>
      <c r="V36" s="666" t="s">
        <v>18</v>
      </c>
      <c r="W36" s="667">
        <f t="shared" si="14"/>
        <v>100</v>
      </c>
      <c r="X36" s="1264"/>
      <c r="Y36" s="3377"/>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5"/>
      <c r="Q37" s="530" t="str">
        <f t="shared" si="11"/>
        <v>成新度</v>
      </c>
      <c r="R37" s="663" t="s">
        <v>18</v>
      </c>
      <c r="S37" s="664" t="e">
        <f t="shared" si="12"/>
        <v>#N/A</v>
      </c>
      <c r="T37" s="663" t="s">
        <v>18</v>
      </c>
      <c r="U37" s="664" t="e">
        <f t="shared" si="13"/>
        <v>#N/A</v>
      </c>
      <c r="V37" s="663" t="s">
        <v>18</v>
      </c>
      <c r="W37" s="664" t="e">
        <f t="shared" si="14"/>
        <v>#N/A</v>
      </c>
      <c r="X37" s="665"/>
      <c r="Y37" s="3377"/>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75" t="s">
        <v>1696</v>
      </c>
      <c r="Q38" s="1262" t="str">
        <f t="shared" si="11"/>
        <v>物业管理</v>
      </c>
      <c r="R38" s="666" t="s">
        <v>18</v>
      </c>
      <c r="S38" s="667">
        <f t="shared" si="12"/>
        <v>100</v>
      </c>
      <c r="T38" s="666" t="s">
        <v>18</v>
      </c>
      <c r="U38" s="667">
        <f t="shared" si="13"/>
        <v>100</v>
      </c>
      <c r="V38" s="666" t="s">
        <v>18</v>
      </c>
      <c r="W38" s="667">
        <f t="shared" si="14"/>
        <v>100</v>
      </c>
      <c r="X38" s="1264"/>
      <c r="Y38" s="3377"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75"/>
      <c r="Q39" s="1262" t="str">
        <f t="shared" si="11"/>
        <v>市政基础设施</v>
      </c>
      <c r="R39" s="666" t="s">
        <v>18</v>
      </c>
      <c r="S39" s="667">
        <f t="shared" si="12"/>
        <v>100</v>
      </c>
      <c r="T39" s="666" t="s">
        <v>18</v>
      </c>
      <c r="U39" s="667">
        <f t="shared" si="13"/>
        <v>100</v>
      </c>
      <c r="V39" s="666" t="s">
        <v>18</v>
      </c>
      <c r="W39" s="667">
        <f t="shared" si="14"/>
        <v>100</v>
      </c>
      <c r="X39" s="1264"/>
      <c r="Y39" s="3377"/>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75"/>
      <c r="Q40" s="1262" t="str">
        <f t="shared" si="11"/>
        <v>房型</v>
      </c>
      <c r="R40" s="666" t="s">
        <v>18</v>
      </c>
      <c r="S40" s="667">
        <f t="shared" si="12"/>
        <v>100</v>
      </c>
      <c r="T40" s="666" t="s">
        <v>18</v>
      </c>
      <c r="U40" s="667">
        <f t="shared" si="13"/>
        <v>100</v>
      </c>
      <c r="V40" s="666" t="s">
        <v>18</v>
      </c>
      <c r="W40" s="667">
        <f t="shared" si="14"/>
        <v>100</v>
      </c>
      <c r="X40" s="1264"/>
      <c r="Y40" s="3377"/>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75"/>
      <c r="Q41" s="531" t="str">
        <f t="shared" si="11"/>
        <v>单套/主力户型建筑面积</v>
      </c>
      <c r="R41" s="668" t="s">
        <v>18</v>
      </c>
      <c r="S41" s="669">
        <f t="shared" si="12"/>
        <v>100</v>
      </c>
      <c r="T41" s="668" t="s">
        <v>18</v>
      </c>
      <c r="U41" s="669">
        <f t="shared" si="13"/>
        <v>100</v>
      </c>
      <c r="V41" s="668" t="s">
        <v>18</v>
      </c>
      <c r="W41" s="669">
        <f t="shared" si="14"/>
        <v>100</v>
      </c>
      <c r="X41" s="670"/>
      <c r="Y41" s="3377"/>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75"/>
      <c r="Q42" s="1262" t="str">
        <f t="shared" si="11"/>
        <v>内部装修</v>
      </c>
      <c r="R42" s="666" t="s">
        <v>18</v>
      </c>
      <c r="S42" s="667">
        <f t="shared" si="12"/>
        <v>100</v>
      </c>
      <c r="T42" s="666" t="s">
        <v>18</v>
      </c>
      <c r="U42" s="667">
        <f t="shared" si="13"/>
        <v>100</v>
      </c>
      <c r="V42" s="666" t="s">
        <v>18</v>
      </c>
      <c r="W42" s="667">
        <f t="shared" si="14"/>
        <v>100</v>
      </c>
      <c r="X42" s="1264"/>
      <c r="Y42" s="3377"/>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75"/>
      <c r="Q43" s="1262" t="str">
        <f t="shared" si="11"/>
        <v>内部装修维护情况</v>
      </c>
      <c r="R43" s="666" t="s">
        <v>18</v>
      </c>
      <c r="S43" s="667">
        <f t="shared" si="12"/>
        <v>100</v>
      </c>
      <c r="T43" s="666" t="s">
        <v>18</v>
      </c>
      <c r="U43" s="667">
        <f t="shared" si="13"/>
        <v>100</v>
      </c>
      <c r="V43" s="666" t="s">
        <v>18</v>
      </c>
      <c r="W43" s="667">
        <f t="shared" si="14"/>
        <v>100</v>
      </c>
      <c r="X43" s="1264"/>
      <c r="Y43" s="3377"/>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75"/>
      <c r="Q44" s="530">
        <f t="shared" si="11"/>
        <v>111</v>
      </c>
      <c r="R44" s="663" t="s">
        <v>18</v>
      </c>
      <c r="S44" s="664">
        <f t="shared" si="12"/>
        <v>100</v>
      </c>
      <c r="T44" s="663" t="s">
        <v>18</v>
      </c>
      <c r="U44" s="664">
        <f t="shared" si="13"/>
        <v>100</v>
      </c>
      <c r="V44" s="663" t="s">
        <v>18</v>
      </c>
      <c r="W44" s="664">
        <f t="shared" si="14"/>
        <v>100</v>
      </c>
      <c r="X44" s="665"/>
      <c r="Y44" s="3377"/>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75"/>
      <c r="Q45" s="1262">
        <f t="shared" si="11"/>
        <v>111</v>
      </c>
      <c r="R45" s="666" t="s">
        <v>18</v>
      </c>
      <c r="S45" s="667">
        <f t="shared" si="12"/>
        <v>100</v>
      </c>
      <c r="T45" s="666" t="s">
        <v>18</v>
      </c>
      <c r="U45" s="667">
        <f t="shared" si="13"/>
        <v>100</v>
      </c>
      <c r="V45" s="666" t="s">
        <v>18</v>
      </c>
      <c r="W45" s="667">
        <f t="shared" si="14"/>
        <v>100</v>
      </c>
      <c r="X45" s="1264"/>
      <c r="Y45" s="3377"/>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76"/>
      <c r="Q46" s="1262">
        <f t="shared" si="11"/>
        <v>111</v>
      </c>
      <c r="R46" s="666" t="s">
        <v>17</v>
      </c>
      <c r="S46" s="667">
        <f t="shared" si="12"/>
        <v>100</v>
      </c>
      <c r="T46" s="666" t="s">
        <v>17</v>
      </c>
      <c r="U46" s="667">
        <f t="shared" si="13"/>
        <v>100</v>
      </c>
      <c r="V46" s="666" t="s">
        <v>17</v>
      </c>
      <c r="W46" s="667">
        <f t="shared" si="14"/>
        <v>100</v>
      </c>
      <c r="X46" s="1264"/>
      <c r="Y46" s="3378"/>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365" t="str">
        <f>A47</f>
        <v>成交单价（元/平方米）</v>
      </c>
      <c r="Q47" s="3365"/>
      <c r="R47" s="3366">
        <f>E47</f>
        <v>0</v>
      </c>
      <c r="S47" s="3366"/>
      <c r="T47" s="3366">
        <f>G47</f>
        <v>0</v>
      </c>
      <c r="U47" s="3366"/>
      <c r="V47" s="3366">
        <f>I47</f>
        <v>0</v>
      </c>
      <c r="W47" s="3366"/>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2025-5</v>
      </c>
      <c r="D58" s="1103">
        <f>EDATE(C58,-1)</f>
        <v>45748</v>
      </c>
      <c r="E58" s="1103">
        <f>EDATE(D58,-1)</f>
        <v>45717</v>
      </c>
      <c r="F58" s="1103">
        <f t="shared" ref="F58:O58" si="19">EDATE(E58,-1)</f>
        <v>45689</v>
      </c>
      <c r="G58" s="1103">
        <f t="shared" si="19"/>
        <v>45658</v>
      </c>
      <c r="H58" s="1103">
        <f t="shared" si="19"/>
        <v>45627</v>
      </c>
      <c r="I58" s="1103">
        <f t="shared" si="19"/>
        <v>45597</v>
      </c>
      <c r="J58" s="1103">
        <f t="shared" si="19"/>
        <v>45566</v>
      </c>
      <c r="K58" s="1103">
        <f t="shared" si="19"/>
        <v>45536</v>
      </c>
      <c r="L58" s="1103">
        <f t="shared" si="19"/>
        <v>45505</v>
      </c>
      <c r="M58" s="1103">
        <f t="shared" si="19"/>
        <v>45474</v>
      </c>
      <c r="N58" s="1103">
        <f t="shared" si="19"/>
        <v>45444</v>
      </c>
      <c r="O58" s="1103">
        <f t="shared" si="19"/>
        <v>45413</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456.55</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439" t="s">
        <v>1775</v>
      </c>
      <c r="Q4" s="3440"/>
      <c r="R4" s="3443" t="s">
        <v>1771</v>
      </c>
      <c r="S4" s="3444"/>
      <c r="T4" s="3443" t="s">
        <v>1772</v>
      </c>
      <c r="U4" s="3444"/>
      <c r="V4" s="3445" t="s">
        <v>1773</v>
      </c>
      <c r="W4" s="3445"/>
      <c r="X4" s="1808"/>
      <c r="Y4" s="3443" t="s">
        <v>1775</v>
      </c>
      <c r="Z4" s="3444"/>
      <c r="AA4" s="3447" t="s">
        <v>1771</v>
      </c>
      <c r="AB4" s="3447" t="s">
        <v>1772</v>
      </c>
      <c r="AC4" s="3436" t="s">
        <v>1773</v>
      </c>
    </row>
    <row r="5" spans="1:29" ht="15">
      <c r="A5" s="348"/>
      <c r="B5" s="349"/>
      <c r="C5" s="3406" t="s">
        <v>1673</v>
      </c>
      <c r="D5" s="3402"/>
      <c r="E5" s="3432" t="s">
        <v>1674</v>
      </c>
      <c r="F5" s="3410"/>
      <c r="G5" s="3406" t="s">
        <v>1675</v>
      </c>
      <c r="H5" s="3402"/>
      <c r="I5" s="3406" t="s">
        <v>1676</v>
      </c>
      <c r="J5" s="3402"/>
      <c r="K5" s="537"/>
      <c r="L5" s="2485"/>
      <c r="M5" s="2486"/>
      <c r="N5" s="2486"/>
      <c r="O5" s="2486"/>
      <c r="P5" s="3441"/>
      <c r="Q5" s="3390"/>
      <c r="R5" s="3395"/>
      <c r="S5" s="3396"/>
      <c r="T5" s="3395"/>
      <c r="U5" s="3396"/>
      <c r="V5" s="3366"/>
      <c r="W5" s="3366"/>
      <c r="X5" s="1264"/>
      <c r="Y5" s="3395"/>
      <c r="Z5" s="3396"/>
      <c r="AA5" s="3381"/>
      <c r="AB5" s="3381"/>
      <c r="AC5" s="3437"/>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442"/>
      <c r="Q6" s="3392"/>
      <c r="R6" s="3395"/>
      <c r="S6" s="3396"/>
      <c r="T6" s="3397"/>
      <c r="U6" s="3398"/>
      <c r="V6" s="3366"/>
      <c r="W6" s="3366"/>
      <c r="X6" s="1264"/>
      <c r="Y6" s="3397"/>
      <c r="Z6" s="3398"/>
      <c r="AA6" s="3382"/>
      <c r="AB6" s="3382"/>
      <c r="AC6" s="3438"/>
    </row>
    <row r="7" spans="1:29" s="102" customFormat="1" ht="15.75" thickBot="1">
      <c r="A7" s="352" t="s">
        <v>1679</v>
      </c>
      <c r="B7" s="353"/>
      <c r="C7" s="354">
        <f>'数据-取费表'!B2</f>
        <v>45793</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6" t="s">
        <v>1680</v>
      </c>
      <c r="Q7" s="3405"/>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6" t="s">
        <v>1683</v>
      </c>
      <c r="Q8" s="3404"/>
      <c r="R8" s="663" t="s">
        <v>14</v>
      </c>
      <c r="S8" s="664">
        <f t="shared" si="0"/>
        <v>100</v>
      </c>
      <c r="T8" s="663" t="s">
        <v>14</v>
      </c>
      <c r="U8" s="664">
        <f t="shared" si="1"/>
        <v>100</v>
      </c>
      <c r="V8" s="663" t="s">
        <v>14</v>
      </c>
      <c r="W8" s="664">
        <f t="shared" si="2"/>
        <v>100</v>
      </c>
      <c r="X8" s="665"/>
      <c r="Y8" s="3403" t="s">
        <v>1683</v>
      </c>
      <c r="Z8" s="340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9"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9"/>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9"/>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9"/>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9"/>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79"/>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0" t="s">
        <v>1691</v>
      </c>
      <c r="Q15" s="1262" t="str">
        <f t="shared" si="6"/>
        <v>办公集聚程度</v>
      </c>
      <c r="R15" s="666" t="s">
        <v>14</v>
      </c>
      <c r="S15" s="667">
        <f t="shared" si="0"/>
        <v>100</v>
      </c>
      <c r="T15" s="666" t="s">
        <v>14</v>
      </c>
      <c r="U15" s="667">
        <f t="shared" si="1"/>
        <v>100</v>
      </c>
      <c r="V15" s="666" t="s">
        <v>14</v>
      </c>
      <c r="W15" s="667">
        <f t="shared" si="2"/>
        <v>100</v>
      </c>
      <c r="X15" s="1264"/>
      <c r="Y15" s="3372"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1"/>
      <c r="M16" s="2486"/>
      <c r="N16" s="2486"/>
      <c r="O16" s="2486"/>
      <c r="P16" s="3371"/>
      <c r="Q16" s="1262"/>
      <c r="R16" s="666"/>
      <c r="S16" s="667"/>
      <c r="T16" s="666"/>
      <c r="U16" s="667"/>
      <c r="V16" s="666"/>
      <c r="W16" s="667"/>
      <c r="X16" s="1264"/>
      <c r="Y16" s="3373"/>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1"/>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71"/>
      <c r="Q18" s="1262"/>
      <c r="R18" s="666"/>
      <c r="S18" s="667"/>
      <c r="T18" s="666"/>
      <c r="U18" s="667"/>
      <c r="V18" s="666"/>
      <c r="W18" s="667"/>
      <c r="X18" s="1264"/>
      <c r="Y18" s="3373"/>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1"/>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71"/>
      <c r="Q20" s="1262"/>
      <c r="R20" s="666"/>
      <c r="S20" s="667"/>
      <c r="T20" s="666"/>
      <c r="U20" s="667"/>
      <c r="V20" s="666"/>
      <c r="W20" s="667"/>
      <c r="X20" s="1264"/>
      <c r="Y20" s="3373"/>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1"/>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1"/>
      <c r="M22" s="2486"/>
      <c r="N22" s="2486"/>
      <c r="O22" s="2486"/>
      <c r="P22" s="3371"/>
      <c r="Q22" s="1262"/>
      <c r="R22" s="666"/>
      <c r="S22" s="667"/>
      <c r="T22" s="666"/>
      <c r="U22" s="667"/>
      <c r="V22" s="666"/>
      <c r="W22" s="667"/>
      <c r="X22" s="1264"/>
      <c r="Y22" s="3373"/>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1"/>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1"/>
      <c r="M24" s="2486"/>
      <c r="N24" s="2486"/>
      <c r="O24" s="2486"/>
      <c r="P24" s="3371"/>
      <c r="Q24" s="1262"/>
      <c r="R24" s="666"/>
      <c r="S24" s="667"/>
      <c r="T24" s="666"/>
      <c r="U24" s="667"/>
      <c r="V24" s="666"/>
      <c r="W24" s="667"/>
      <c r="X24" s="1264"/>
      <c r="Y24" s="3373"/>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71"/>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371"/>
      <c r="Q26" s="1262"/>
      <c r="R26" s="666"/>
      <c r="S26" s="667"/>
      <c r="T26" s="666"/>
      <c r="U26" s="667"/>
      <c r="V26" s="666"/>
      <c r="W26" s="667"/>
      <c r="X26" s="1264"/>
      <c r="Y26" s="3373"/>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71"/>
      <c r="Q27" s="1262" t="str">
        <f t="shared" ref="Q27:Q47" si="11">B27</f>
        <v>楼层</v>
      </c>
      <c r="R27" s="666" t="s">
        <v>14</v>
      </c>
      <c r="S27" s="667">
        <f>F27</f>
        <v>100</v>
      </c>
      <c r="T27" s="666" t="s">
        <v>14</v>
      </c>
      <c r="U27" s="667">
        <f>H27</f>
        <v>100</v>
      </c>
      <c r="V27" s="666" t="s">
        <v>14</v>
      </c>
      <c r="W27" s="667">
        <f>J27</f>
        <v>100</v>
      </c>
      <c r="X27" s="1264"/>
      <c r="Y27" s="3373"/>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71"/>
      <c r="Q28" s="530"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71"/>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71"/>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71"/>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71"/>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74" t="s">
        <v>1696</v>
      </c>
      <c r="Q33" s="1262" t="str">
        <f t="shared" si="11"/>
        <v>建筑类型</v>
      </c>
      <c r="R33" s="666" t="s">
        <v>14</v>
      </c>
      <c r="S33" s="667">
        <f t="shared" si="12"/>
        <v>100</v>
      </c>
      <c r="T33" s="666" t="s">
        <v>14</v>
      </c>
      <c r="U33" s="667">
        <f t="shared" si="13"/>
        <v>100</v>
      </c>
      <c r="V33" s="666" t="s">
        <v>14</v>
      </c>
      <c r="W33" s="667">
        <f t="shared" si="14"/>
        <v>100</v>
      </c>
      <c r="X33" s="1264"/>
      <c r="Y33" s="3377"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5"/>
      <c r="Q34" s="531" t="str">
        <f t="shared" si="11"/>
        <v>项目建筑规模</v>
      </c>
      <c r="R34" s="668" t="s">
        <v>14</v>
      </c>
      <c r="S34" s="669" t="e">
        <f t="shared" si="12"/>
        <v>#N/A</v>
      </c>
      <c r="T34" s="668" t="s">
        <v>14</v>
      </c>
      <c r="U34" s="669" t="e">
        <f t="shared" si="13"/>
        <v>#N/A</v>
      </c>
      <c r="V34" s="668" t="s">
        <v>14</v>
      </c>
      <c r="W34" s="669" t="e">
        <f t="shared" si="14"/>
        <v>#N/A</v>
      </c>
      <c r="X34" s="670"/>
      <c r="Y34" s="3377"/>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5"/>
      <c r="Q35" s="1262" t="str">
        <f t="shared" si="11"/>
        <v>建筑结构</v>
      </c>
      <c r="R35" s="666" t="s">
        <v>14</v>
      </c>
      <c r="S35" s="667">
        <f t="shared" si="12"/>
        <v>100</v>
      </c>
      <c r="T35" s="666" t="s">
        <v>14</v>
      </c>
      <c r="U35" s="667">
        <f t="shared" si="13"/>
        <v>100</v>
      </c>
      <c r="V35" s="666" t="s">
        <v>14</v>
      </c>
      <c r="W35" s="667">
        <f t="shared" si="14"/>
        <v>100</v>
      </c>
      <c r="X35" s="1264"/>
      <c r="Y35" s="3377"/>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5"/>
      <c r="Q36" s="1262" t="str">
        <f t="shared" si="11"/>
        <v>公共部分装修</v>
      </c>
      <c r="R36" s="666" t="s">
        <v>14</v>
      </c>
      <c r="S36" s="667">
        <f t="shared" si="12"/>
        <v>100</v>
      </c>
      <c r="T36" s="666" t="s">
        <v>14</v>
      </c>
      <c r="U36" s="667">
        <f t="shared" si="13"/>
        <v>100</v>
      </c>
      <c r="V36" s="666" t="s">
        <v>14</v>
      </c>
      <c r="W36" s="667">
        <f t="shared" si="14"/>
        <v>100</v>
      </c>
      <c r="X36" s="1264"/>
      <c r="Y36" s="3377"/>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5"/>
      <c r="Q37" s="1262" t="str">
        <f t="shared" si="11"/>
        <v>成新度</v>
      </c>
      <c r="R37" s="666" t="s">
        <v>14</v>
      </c>
      <c r="S37" s="667" t="e">
        <f t="shared" si="12"/>
        <v>#N/A</v>
      </c>
      <c r="T37" s="666" t="s">
        <v>14</v>
      </c>
      <c r="U37" s="667" t="e">
        <f t="shared" si="13"/>
        <v>#N/A</v>
      </c>
      <c r="V37" s="666" t="s">
        <v>14</v>
      </c>
      <c r="W37" s="667" t="e">
        <f t="shared" si="14"/>
        <v>#N/A</v>
      </c>
      <c r="X37" s="1264"/>
      <c r="Y37" s="3377"/>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5"/>
      <c r="Q38" s="530" t="str">
        <f t="shared" si="11"/>
        <v>写字楼等级</v>
      </c>
      <c r="R38" s="663" t="s">
        <v>14</v>
      </c>
      <c r="S38" s="664">
        <f t="shared" si="12"/>
        <v>100</v>
      </c>
      <c r="T38" s="663" t="s">
        <v>14</v>
      </c>
      <c r="U38" s="664">
        <f t="shared" si="13"/>
        <v>100</v>
      </c>
      <c r="V38" s="663" t="s">
        <v>14</v>
      </c>
      <c r="W38" s="664">
        <f t="shared" si="14"/>
        <v>100</v>
      </c>
      <c r="X38" s="665"/>
      <c r="Y38" s="3377"/>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5" t="s">
        <v>1696</v>
      </c>
      <c r="Q39" s="1262" t="str">
        <f t="shared" si="11"/>
        <v>物业管理</v>
      </c>
      <c r="R39" s="666" t="s">
        <v>14</v>
      </c>
      <c r="S39" s="667">
        <f t="shared" si="12"/>
        <v>100</v>
      </c>
      <c r="T39" s="666" t="s">
        <v>14</v>
      </c>
      <c r="U39" s="667">
        <f t="shared" si="13"/>
        <v>100</v>
      </c>
      <c r="V39" s="666" t="s">
        <v>14</v>
      </c>
      <c r="W39" s="667">
        <f t="shared" si="14"/>
        <v>100</v>
      </c>
      <c r="X39" s="1264"/>
      <c r="Y39" s="3377"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5"/>
      <c r="Q40" s="1262" t="str">
        <f t="shared" si="11"/>
        <v>市政基础设施</v>
      </c>
      <c r="R40" s="666" t="s">
        <v>14</v>
      </c>
      <c r="S40" s="667">
        <f t="shared" si="12"/>
        <v>100</v>
      </c>
      <c r="T40" s="666" t="s">
        <v>14</v>
      </c>
      <c r="U40" s="667">
        <f t="shared" si="13"/>
        <v>100</v>
      </c>
      <c r="V40" s="666" t="s">
        <v>14</v>
      </c>
      <c r="W40" s="667">
        <f t="shared" si="14"/>
        <v>100</v>
      </c>
      <c r="X40" s="1264"/>
      <c r="Y40" s="3377"/>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5"/>
      <c r="Q41" s="1262" t="str">
        <f t="shared" si="11"/>
        <v>层高</v>
      </c>
      <c r="R41" s="666" t="s">
        <v>14</v>
      </c>
      <c r="S41" s="667">
        <f t="shared" si="12"/>
        <v>100</v>
      </c>
      <c r="T41" s="666" t="s">
        <v>14</v>
      </c>
      <c r="U41" s="667">
        <f t="shared" si="13"/>
        <v>100</v>
      </c>
      <c r="V41" s="666" t="s">
        <v>14</v>
      </c>
      <c r="W41" s="667">
        <f t="shared" si="14"/>
        <v>100</v>
      </c>
      <c r="X41" s="1264"/>
      <c r="Y41" s="3377"/>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5"/>
      <c r="Q42" s="531" t="str">
        <f t="shared" si="11"/>
        <v>单套建筑面积</v>
      </c>
      <c r="R42" s="668" t="s">
        <v>14</v>
      </c>
      <c r="S42" s="669">
        <f t="shared" si="12"/>
        <v>100</v>
      </c>
      <c r="T42" s="668" t="s">
        <v>14</v>
      </c>
      <c r="U42" s="669">
        <f t="shared" si="13"/>
        <v>100</v>
      </c>
      <c r="V42" s="668" t="s">
        <v>14</v>
      </c>
      <c r="W42" s="669">
        <f t="shared" si="14"/>
        <v>100</v>
      </c>
      <c r="X42" s="670"/>
      <c r="Y42" s="3377"/>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5"/>
      <c r="Q43" s="1262" t="str">
        <f t="shared" si="11"/>
        <v>内部装修</v>
      </c>
      <c r="R43" s="666" t="s">
        <v>14</v>
      </c>
      <c r="S43" s="667">
        <f t="shared" si="12"/>
        <v>100</v>
      </c>
      <c r="T43" s="666" t="s">
        <v>14</v>
      </c>
      <c r="U43" s="667">
        <f t="shared" si="13"/>
        <v>100</v>
      </c>
      <c r="V43" s="666" t="s">
        <v>14</v>
      </c>
      <c r="W43" s="667">
        <f t="shared" si="14"/>
        <v>100</v>
      </c>
      <c r="X43" s="1264"/>
      <c r="Y43" s="3377"/>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75"/>
      <c r="Q44" s="1262" t="str">
        <f t="shared" si="11"/>
        <v>内部装修维护情况</v>
      </c>
      <c r="R44" s="666" t="s">
        <v>14</v>
      </c>
      <c r="S44" s="667">
        <f t="shared" si="12"/>
        <v>100</v>
      </c>
      <c r="T44" s="666" t="s">
        <v>14</v>
      </c>
      <c r="U44" s="667">
        <f t="shared" si="13"/>
        <v>100</v>
      </c>
      <c r="V44" s="666" t="s">
        <v>14</v>
      </c>
      <c r="W44" s="667">
        <f t="shared" si="14"/>
        <v>100</v>
      </c>
      <c r="X44" s="1264"/>
      <c r="Y44" s="3377"/>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5"/>
      <c r="Q45" s="530">
        <f t="shared" si="11"/>
        <v>111</v>
      </c>
      <c r="R45" s="663" t="s">
        <v>14</v>
      </c>
      <c r="S45" s="664">
        <f t="shared" si="12"/>
        <v>100</v>
      </c>
      <c r="T45" s="663" t="s">
        <v>14</v>
      </c>
      <c r="U45" s="664">
        <f t="shared" si="13"/>
        <v>100</v>
      </c>
      <c r="V45" s="663" t="s">
        <v>14</v>
      </c>
      <c r="W45" s="664">
        <f t="shared" si="14"/>
        <v>100</v>
      </c>
      <c r="X45" s="665"/>
      <c r="Y45" s="3377"/>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5"/>
      <c r="Q46" s="1262">
        <f t="shared" si="11"/>
        <v>111</v>
      </c>
      <c r="R46" s="666" t="s">
        <v>14</v>
      </c>
      <c r="S46" s="667">
        <f t="shared" si="12"/>
        <v>100</v>
      </c>
      <c r="T46" s="666" t="s">
        <v>14</v>
      </c>
      <c r="U46" s="667">
        <f t="shared" si="13"/>
        <v>100</v>
      </c>
      <c r="V46" s="666" t="s">
        <v>14</v>
      </c>
      <c r="W46" s="667">
        <f t="shared" si="14"/>
        <v>100</v>
      </c>
      <c r="X46" s="1264"/>
      <c r="Y46" s="3377"/>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6"/>
      <c r="Q47" s="1262">
        <f t="shared" si="11"/>
        <v>111</v>
      </c>
      <c r="R47" s="666" t="s">
        <v>14</v>
      </c>
      <c r="S47" s="667">
        <f t="shared" si="12"/>
        <v>100</v>
      </c>
      <c r="T47" s="666" t="s">
        <v>14</v>
      </c>
      <c r="U47" s="667">
        <f t="shared" si="13"/>
        <v>100</v>
      </c>
      <c r="V47" s="666" t="s">
        <v>14</v>
      </c>
      <c r="W47" s="667">
        <f t="shared" si="14"/>
        <v>100</v>
      </c>
      <c r="X47" s="1264"/>
      <c r="Y47" s="3378"/>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3"/>
      <c r="M48" s="2486"/>
      <c r="N48" s="2486"/>
      <c r="O48" s="2486"/>
      <c r="P48" s="3379" t="str">
        <f>A48</f>
        <v>成交单价（元/平方米）</v>
      </c>
      <c r="Q48" s="3365"/>
      <c r="R48" s="3366">
        <f>E48</f>
        <v>0</v>
      </c>
      <c r="S48" s="3366"/>
      <c r="T48" s="3366">
        <f>G48</f>
        <v>0</v>
      </c>
      <c r="U48" s="3366"/>
      <c r="V48" s="3366">
        <f>I48</f>
        <v>0</v>
      </c>
      <c r="W48" s="3366"/>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79"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2025-5</v>
      </c>
      <c r="D59" s="1103">
        <f>EDATE(C59,-1)</f>
        <v>45748</v>
      </c>
      <c r="E59" s="1103">
        <f>EDATE(D59,-1)</f>
        <v>45717</v>
      </c>
      <c r="F59" s="1103">
        <f t="shared" ref="F59:O59" si="16">EDATE(E59,-1)</f>
        <v>45689</v>
      </c>
      <c r="G59" s="1103">
        <f t="shared" si="16"/>
        <v>45658</v>
      </c>
      <c r="H59" s="1103">
        <f t="shared" si="16"/>
        <v>45627</v>
      </c>
      <c r="I59" s="1103">
        <f t="shared" si="16"/>
        <v>45597</v>
      </c>
      <c r="J59" s="1103">
        <f t="shared" si="16"/>
        <v>45566</v>
      </c>
      <c r="K59" s="1103">
        <f t="shared" si="16"/>
        <v>45536</v>
      </c>
      <c r="L59" s="1103">
        <f t="shared" si="16"/>
        <v>45505</v>
      </c>
      <c r="M59" s="1103">
        <f t="shared" si="16"/>
        <v>45474</v>
      </c>
      <c r="N59" s="1103">
        <f t="shared" si="16"/>
        <v>45444</v>
      </c>
      <c r="O59" s="1103">
        <f t="shared" si="16"/>
        <v>45413</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受贵公司委托，我公司对北京市大兴区黄村镇兴业大街76号楼1至2层1、2号商业用房房地产抵押价值进行了预评估。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估价对象为北京市大兴区黄村镇兴业大街76号楼1至2层1、2号商业用房房地产，为所有。根据《国有土地使用证》[]，估价对象（分摊）出让国有建设用地使用权面积为0平方米，建筑面积为456.55平方米。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业大街76号楼1至2层1、2号商业用房房地产,属开发建设的商业项目，该项目尚在开发建设中。根据《国有土地使用证》[]，估价对象（分摊）出让国有建设用地使用权面积为0平方米，规划建筑面积为456.55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大兴区黄村镇兴业大街76号楼1至2层1、2号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2025年5月16日（评估专业人员实地查勘之日）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456.55</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3" t="s">
        <v>1770</v>
      </c>
      <c r="D4" s="3384"/>
      <c r="E4" s="3385" t="s">
        <v>1771</v>
      </c>
      <c r="F4" s="3386"/>
      <c r="G4" s="3383" t="s">
        <v>1772</v>
      </c>
      <c r="H4" s="3384"/>
      <c r="I4" s="3383" t="s">
        <v>1773</v>
      </c>
      <c r="J4" s="3384"/>
      <c r="K4" s="537" t="s">
        <v>1774</v>
      </c>
      <c r="L4" s="859"/>
      <c r="M4" s="860"/>
      <c r="N4" s="860"/>
      <c r="O4" s="860"/>
      <c r="P4" s="3387" t="s">
        <v>1775</v>
      </c>
      <c r="Q4" s="3388"/>
      <c r="R4" s="3393" t="s">
        <v>1771</v>
      </c>
      <c r="S4" s="3394"/>
      <c r="T4" s="3393" t="s">
        <v>1772</v>
      </c>
      <c r="U4" s="3394"/>
      <c r="V4" s="3366" t="s">
        <v>1773</v>
      </c>
      <c r="W4" s="3366"/>
      <c r="X4" s="1264"/>
      <c r="Y4" s="3393" t="s">
        <v>1775</v>
      </c>
      <c r="Z4" s="3394"/>
      <c r="AA4" s="3380" t="s">
        <v>1771</v>
      </c>
      <c r="AB4" s="3381" t="s">
        <v>1772</v>
      </c>
      <c r="AC4" s="3380" t="s">
        <v>1773</v>
      </c>
    </row>
    <row r="5" spans="1:29" ht="15">
      <c r="A5" s="348"/>
      <c r="B5" s="349"/>
      <c r="C5" s="3406" t="s">
        <v>1673</v>
      </c>
      <c r="D5" s="3402"/>
      <c r="E5" s="3432" t="s">
        <v>1674</v>
      </c>
      <c r="F5" s="3410"/>
      <c r="G5" s="3406" t="s">
        <v>1675</v>
      </c>
      <c r="H5" s="3402"/>
      <c r="I5" s="3406" t="s">
        <v>1676</v>
      </c>
      <c r="J5" s="3402"/>
      <c r="K5" s="537"/>
      <c r="L5" s="859"/>
      <c r="M5" s="860"/>
      <c r="N5" s="860"/>
      <c r="O5" s="860"/>
      <c r="P5" s="3389"/>
      <c r="Q5" s="3390"/>
      <c r="R5" s="3395"/>
      <c r="S5" s="3396"/>
      <c r="T5" s="3395"/>
      <c r="U5" s="3396"/>
      <c r="V5" s="3366"/>
      <c r="W5" s="3366"/>
      <c r="X5" s="1264"/>
      <c r="Y5" s="3395"/>
      <c r="Z5" s="3396"/>
      <c r="AA5" s="3381"/>
      <c r="AB5" s="3381"/>
      <c r="AC5" s="3381"/>
    </row>
    <row r="6" spans="1:29" ht="15.75" thickBot="1">
      <c r="A6" s="350"/>
      <c r="B6" s="351"/>
      <c r="C6" s="3399" t="s">
        <v>1677</v>
      </c>
      <c r="D6" s="3400"/>
      <c r="E6" s="3407" t="s">
        <v>1677</v>
      </c>
      <c r="F6" s="3408"/>
      <c r="G6" s="3399" t="s">
        <v>1677</v>
      </c>
      <c r="H6" s="3400"/>
      <c r="I6" s="3399" t="s">
        <v>1677</v>
      </c>
      <c r="J6" s="3400"/>
      <c r="K6" s="537" t="s">
        <v>1678</v>
      </c>
      <c r="L6" s="859"/>
      <c r="M6" s="860"/>
      <c r="N6" s="860"/>
      <c r="O6" s="860"/>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SUMIF(52:52,YEAR(E7)&amp;"-"&amp;MONTH(E7),53:53)</f>
        <v>0</v>
      </c>
      <c r="G7" s="356"/>
      <c r="H7" s="355">
        <f>SUMIF(52:52,YEAR(G7)&amp;"-"&amp;MONTH(G7),53:53)</f>
        <v>0</v>
      </c>
      <c r="I7" s="356"/>
      <c r="J7" s="355">
        <f>SUMIF(52:52,YEAR(I7)&amp;"-"&amp;MONTH(I7),53:53)</f>
        <v>0</v>
      </c>
      <c r="K7" s="38"/>
      <c r="L7" s="861"/>
      <c r="M7" s="862"/>
      <c r="N7" s="862"/>
      <c r="O7" s="862"/>
      <c r="P7" s="3403" t="s">
        <v>1680</v>
      </c>
      <c r="Q7" s="3405"/>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3" t="s">
        <v>1683</v>
      </c>
      <c r="Q8" s="3404"/>
      <c r="R8" s="663" t="s">
        <v>14</v>
      </c>
      <c r="S8" s="664">
        <f t="shared" si="0"/>
        <v>100</v>
      </c>
      <c r="T8" s="663" t="s">
        <v>14</v>
      </c>
      <c r="U8" s="664">
        <f t="shared" si="1"/>
        <v>100</v>
      </c>
      <c r="V8" s="663" t="s">
        <v>14</v>
      </c>
      <c r="W8" s="664">
        <f t="shared" si="2"/>
        <v>100</v>
      </c>
      <c r="X8" s="665"/>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5"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65"/>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5"/>
      <c r="Q11" s="530" t="str">
        <f t="shared" si="6"/>
        <v>容积率</v>
      </c>
      <c r="R11" s="663" t="s">
        <v>14</v>
      </c>
      <c r="S11" s="664">
        <f t="shared" si="0"/>
        <v>100</v>
      </c>
      <c r="T11" s="663" t="s">
        <v>14</v>
      </c>
      <c r="U11" s="664">
        <f t="shared" si="1"/>
        <v>100</v>
      </c>
      <c r="V11" s="663" t="s">
        <v>14</v>
      </c>
      <c r="W11" s="664">
        <f t="shared" si="2"/>
        <v>100</v>
      </c>
      <c r="X11" s="665"/>
      <c r="Y11" s="326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5"/>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5"/>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5"/>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2" t="s">
        <v>1691</v>
      </c>
      <c r="Q15" s="1262" t="str">
        <f t="shared" si="6"/>
        <v>产业集聚程度</v>
      </c>
      <c r="R15" s="666" t="s">
        <v>14</v>
      </c>
      <c r="S15" s="667">
        <f t="shared" si="0"/>
        <v>100</v>
      </c>
      <c r="T15" s="666" t="s">
        <v>14</v>
      </c>
      <c r="U15" s="667">
        <f t="shared" si="1"/>
        <v>100</v>
      </c>
      <c r="V15" s="666" t="s">
        <v>14</v>
      </c>
      <c r="W15" s="667">
        <f t="shared" si="2"/>
        <v>100</v>
      </c>
      <c r="X15" s="1264"/>
      <c r="Y15" s="337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3"/>
      <c r="Q16" s="1262"/>
      <c r="R16" s="666"/>
      <c r="S16" s="667"/>
      <c r="T16" s="666"/>
      <c r="U16" s="667"/>
      <c r="V16" s="666"/>
      <c r="W16" s="667"/>
      <c r="X16" s="1264"/>
      <c r="Y16" s="3373"/>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3"/>
      <c r="Q18" s="1262"/>
      <c r="R18" s="666"/>
      <c r="S18" s="667"/>
      <c r="T18" s="666"/>
      <c r="U18" s="667"/>
      <c r="V18" s="666"/>
      <c r="W18" s="667"/>
      <c r="X18" s="1264"/>
      <c r="Y18" s="3373"/>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3"/>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3"/>
      <c r="Q20" s="1262"/>
      <c r="R20" s="666"/>
      <c r="S20" s="667"/>
      <c r="T20" s="666"/>
      <c r="U20" s="667"/>
      <c r="V20" s="666"/>
      <c r="W20" s="667"/>
      <c r="X20" s="1264"/>
      <c r="Y20" s="3373"/>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3"/>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73"/>
      <c r="Q22" s="1262"/>
      <c r="R22" s="666"/>
      <c r="S22" s="667"/>
      <c r="T22" s="666"/>
      <c r="U22" s="667"/>
      <c r="V22" s="666"/>
      <c r="W22" s="667"/>
      <c r="X22" s="1264"/>
      <c r="Y22" s="3373"/>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3"/>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73"/>
      <c r="Q24" s="1262"/>
      <c r="R24" s="666"/>
      <c r="S24" s="667"/>
      <c r="T24" s="666"/>
      <c r="U24" s="667"/>
      <c r="V24" s="666"/>
      <c r="W24" s="667"/>
      <c r="X24" s="1264"/>
      <c r="Y24" s="337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3"/>
      <c r="Q25" s="1262">
        <f>B25</f>
        <v>111</v>
      </c>
      <c r="R25" s="666" t="s">
        <v>14</v>
      </c>
      <c r="S25" s="667">
        <f>F25</f>
        <v>100</v>
      </c>
      <c r="T25" s="666" t="s">
        <v>14</v>
      </c>
      <c r="U25" s="667">
        <f>H25</f>
        <v>100</v>
      </c>
      <c r="V25" s="666" t="s">
        <v>14</v>
      </c>
      <c r="W25" s="667">
        <f>J25</f>
        <v>100</v>
      </c>
      <c r="X25" s="1264"/>
      <c r="Y25" s="337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3"/>
      <c r="Q26" s="1262">
        <f t="shared" ref="Q26:Q40" si="11">B26</f>
        <v>111</v>
      </c>
      <c r="R26" s="666" t="s">
        <v>14</v>
      </c>
      <c r="S26" s="667">
        <f>F26</f>
        <v>100</v>
      </c>
      <c r="T26" s="666" t="s">
        <v>14</v>
      </c>
      <c r="U26" s="667">
        <f>H26</f>
        <v>100</v>
      </c>
      <c r="V26" s="666" t="s">
        <v>14</v>
      </c>
      <c r="W26" s="667">
        <f>J26</f>
        <v>100</v>
      </c>
      <c r="X26" s="1264"/>
      <c r="Y26" s="337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3"/>
      <c r="Q27" s="530">
        <f t="shared" si="11"/>
        <v>111</v>
      </c>
      <c r="R27" s="663" t="s">
        <v>14</v>
      </c>
      <c r="S27" s="664">
        <f>F27</f>
        <v>100</v>
      </c>
      <c r="T27" s="663" t="s">
        <v>14</v>
      </c>
      <c r="U27" s="664">
        <f>H27</f>
        <v>100</v>
      </c>
      <c r="V27" s="663" t="s">
        <v>14</v>
      </c>
      <c r="W27" s="664">
        <f>J27</f>
        <v>100</v>
      </c>
      <c r="X27" s="665"/>
      <c r="Y27" s="337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3"/>
      <c r="Q28" s="1262">
        <f t="shared" si="11"/>
        <v>111</v>
      </c>
      <c r="R28" s="666" t="s">
        <v>14</v>
      </c>
      <c r="S28" s="667">
        <f t="shared" ref="S28:S40" si="12">F28</f>
        <v>100</v>
      </c>
      <c r="T28" s="666" t="s">
        <v>14</v>
      </c>
      <c r="U28" s="667">
        <f t="shared" ref="U28:U40" si="13">H28</f>
        <v>100</v>
      </c>
      <c r="V28" s="666" t="s">
        <v>14</v>
      </c>
      <c r="W28" s="667">
        <f t="shared" ref="W28:W40" si="14">J28</f>
        <v>100</v>
      </c>
      <c r="X28" s="1264"/>
      <c r="Y28" s="3373"/>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8" t="s">
        <v>1696</v>
      </c>
      <c r="Q29" s="1262" t="str">
        <f t="shared" si="11"/>
        <v>建筑类型</v>
      </c>
      <c r="R29" s="666" t="s">
        <v>14</v>
      </c>
      <c r="S29" s="667">
        <f t="shared" si="12"/>
        <v>100</v>
      </c>
      <c r="T29" s="666" t="s">
        <v>14</v>
      </c>
      <c r="U29" s="667">
        <f t="shared" si="13"/>
        <v>100</v>
      </c>
      <c r="V29" s="666" t="s">
        <v>14</v>
      </c>
      <c r="W29" s="667">
        <f t="shared" si="14"/>
        <v>100</v>
      </c>
      <c r="X29" s="1264"/>
      <c r="Y29" s="3377"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7"/>
      <c r="Q30" s="531" t="str">
        <f t="shared" si="11"/>
        <v>项目建筑规模</v>
      </c>
      <c r="R30" s="668" t="s">
        <v>14</v>
      </c>
      <c r="S30" s="669" t="e">
        <f t="shared" si="12"/>
        <v>#N/A</v>
      </c>
      <c r="T30" s="668" t="s">
        <v>14</v>
      </c>
      <c r="U30" s="669" t="e">
        <f t="shared" si="13"/>
        <v>#N/A</v>
      </c>
      <c r="V30" s="668" t="s">
        <v>14</v>
      </c>
      <c r="W30" s="669" t="e">
        <f t="shared" si="14"/>
        <v>#N/A</v>
      </c>
      <c r="X30" s="670"/>
      <c r="Y30" s="3377"/>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7"/>
      <c r="Q31" s="1262" t="str">
        <f t="shared" si="11"/>
        <v>建筑结构</v>
      </c>
      <c r="R31" s="666" t="s">
        <v>14</v>
      </c>
      <c r="S31" s="667">
        <f t="shared" si="12"/>
        <v>100</v>
      </c>
      <c r="T31" s="666" t="s">
        <v>14</v>
      </c>
      <c r="U31" s="667">
        <f t="shared" si="13"/>
        <v>100</v>
      </c>
      <c r="V31" s="666" t="s">
        <v>14</v>
      </c>
      <c r="W31" s="667">
        <f t="shared" si="14"/>
        <v>100</v>
      </c>
      <c r="X31" s="1264"/>
      <c r="Y31" s="3377"/>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7"/>
      <c r="Q32" s="1262" t="str">
        <f t="shared" si="11"/>
        <v>公共部分装修</v>
      </c>
      <c r="R32" s="666" t="s">
        <v>14</v>
      </c>
      <c r="S32" s="667">
        <f t="shared" si="12"/>
        <v>100</v>
      </c>
      <c r="T32" s="666" t="s">
        <v>14</v>
      </c>
      <c r="U32" s="667">
        <f t="shared" si="13"/>
        <v>100</v>
      </c>
      <c r="V32" s="666" t="s">
        <v>14</v>
      </c>
      <c r="W32" s="667">
        <f t="shared" si="14"/>
        <v>100</v>
      </c>
      <c r="X32" s="1264"/>
      <c r="Y32" s="3377"/>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7"/>
      <c r="Q33" s="1262" t="str">
        <f t="shared" si="11"/>
        <v>成新度</v>
      </c>
      <c r="R33" s="666" t="s">
        <v>14</v>
      </c>
      <c r="S33" s="667" t="e">
        <f t="shared" si="12"/>
        <v>#N/A</v>
      </c>
      <c r="T33" s="666" t="s">
        <v>14</v>
      </c>
      <c r="U33" s="667" t="e">
        <f t="shared" si="13"/>
        <v>#N/A</v>
      </c>
      <c r="V33" s="666" t="s">
        <v>14</v>
      </c>
      <c r="W33" s="667" t="e">
        <f t="shared" si="14"/>
        <v>#N/A</v>
      </c>
      <c r="X33" s="1264"/>
      <c r="Y33" s="3377"/>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7"/>
      <c r="Q34" s="530" t="str">
        <f t="shared" si="11"/>
        <v>物业管理</v>
      </c>
      <c r="R34" s="663" t="s">
        <v>14</v>
      </c>
      <c r="S34" s="664">
        <f t="shared" si="12"/>
        <v>100</v>
      </c>
      <c r="T34" s="663" t="s">
        <v>14</v>
      </c>
      <c r="U34" s="664">
        <f t="shared" si="13"/>
        <v>100</v>
      </c>
      <c r="V34" s="663" t="s">
        <v>14</v>
      </c>
      <c r="W34" s="664">
        <f t="shared" si="14"/>
        <v>100</v>
      </c>
      <c r="X34" s="665"/>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7" t="s">
        <v>1696</v>
      </c>
      <c r="Q35" s="1262" t="str">
        <f t="shared" si="11"/>
        <v>市政基础设施</v>
      </c>
      <c r="R35" s="666" t="s">
        <v>14</v>
      </c>
      <c r="S35" s="667">
        <f t="shared" si="12"/>
        <v>100</v>
      </c>
      <c r="T35" s="666" t="s">
        <v>14</v>
      </c>
      <c r="U35" s="667">
        <f t="shared" si="13"/>
        <v>100</v>
      </c>
      <c r="V35" s="666" t="s">
        <v>14</v>
      </c>
      <c r="W35" s="667">
        <f t="shared" si="14"/>
        <v>100</v>
      </c>
      <c r="X35" s="1264"/>
      <c r="Y35" s="3377"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7"/>
      <c r="Q36" s="1262" t="str">
        <f t="shared" si="11"/>
        <v>内部装修</v>
      </c>
      <c r="R36" s="666" t="s">
        <v>14</v>
      </c>
      <c r="S36" s="667">
        <f t="shared" si="12"/>
        <v>100</v>
      </c>
      <c r="T36" s="666" t="s">
        <v>14</v>
      </c>
      <c r="U36" s="667">
        <f t="shared" si="13"/>
        <v>100</v>
      </c>
      <c r="V36" s="666" t="s">
        <v>14</v>
      </c>
      <c r="W36" s="667">
        <f t="shared" si="14"/>
        <v>100</v>
      </c>
      <c r="X36" s="1264"/>
      <c r="Y36" s="3377"/>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7"/>
      <c r="Q37" s="1262" t="str">
        <f t="shared" si="11"/>
        <v>内部装修状况</v>
      </c>
      <c r="R37" s="666" t="s">
        <v>14</v>
      </c>
      <c r="S37" s="667">
        <f t="shared" si="12"/>
        <v>100</v>
      </c>
      <c r="T37" s="666" t="s">
        <v>14</v>
      </c>
      <c r="U37" s="667">
        <f t="shared" si="13"/>
        <v>100</v>
      </c>
      <c r="V37" s="666" t="s">
        <v>14</v>
      </c>
      <c r="W37" s="667">
        <f t="shared" si="14"/>
        <v>100</v>
      </c>
      <c r="X37" s="1264"/>
      <c r="Y37" s="3377"/>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7"/>
      <c r="Q38" s="531">
        <f t="shared" si="11"/>
        <v>111</v>
      </c>
      <c r="R38" s="668" t="s">
        <v>14</v>
      </c>
      <c r="S38" s="669">
        <f t="shared" si="12"/>
        <v>100</v>
      </c>
      <c r="T38" s="668" t="s">
        <v>14</v>
      </c>
      <c r="U38" s="669">
        <f t="shared" si="13"/>
        <v>100</v>
      </c>
      <c r="V38" s="668" t="s">
        <v>14</v>
      </c>
      <c r="W38" s="669">
        <f t="shared" si="14"/>
        <v>100</v>
      </c>
      <c r="X38" s="670"/>
      <c r="Y38" s="3377"/>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7"/>
      <c r="Q39" s="1262">
        <f t="shared" si="11"/>
        <v>111</v>
      </c>
      <c r="R39" s="666" t="s">
        <v>14</v>
      </c>
      <c r="S39" s="667">
        <f t="shared" si="12"/>
        <v>100</v>
      </c>
      <c r="T39" s="666" t="s">
        <v>14</v>
      </c>
      <c r="U39" s="667">
        <f t="shared" si="13"/>
        <v>100</v>
      </c>
      <c r="V39" s="666" t="s">
        <v>14</v>
      </c>
      <c r="W39" s="667">
        <f t="shared" si="14"/>
        <v>100</v>
      </c>
      <c r="X39" s="1264"/>
      <c r="Y39" s="3377"/>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8"/>
      <c r="Q40" s="1262">
        <f t="shared" si="11"/>
        <v>111</v>
      </c>
      <c r="R40" s="666" t="s">
        <v>14</v>
      </c>
      <c r="S40" s="667">
        <f t="shared" si="12"/>
        <v>100</v>
      </c>
      <c r="T40" s="666" t="s">
        <v>14</v>
      </c>
      <c r="U40" s="667">
        <f t="shared" si="13"/>
        <v>100</v>
      </c>
      <c r="V40" s="666" t="s">
        <v>14</v>
      </c>
      <c r="W40" s="667">
        <f t="shared" si="14"/>
        <v>100</v>
      </c>
      <c r="X40" s="1264"/>
      <c r="Y40" s="3378"/>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5" t="str">
        <f>A41</f>
        <v>成交单价（元/平方米）</v>
      </c>
      <c r="Q41" s="3365"/>
      <c r="R41" s="3366">
        <f>E41</f>
        <v>0</v>
      </c>
      <c r="S41" s="3366"/>
      <c r="T41" s="3366">
        <f>G41</f>
        <v>0</v>
      </c>
      <c r="U41" s="3366"/>
      <c r="V41" s="3366">
        <f>I41</f>
        <v>0</v>
      </c>
      <c r="W41" s="3366"/>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65" t="str">
        <f>A42</f>
        <v>比较价值（元/平方米）</v>
      </c>
      <c r="Q42" s="336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2025-5</v>
      </c>
      <c r="D52" s="1103">
        <f>EDATE(C52,-1)</f>
        <v>45748</v>
      </c>
      <c r="E52" s="1103">
        <f t="shared" ref="E52:O52" si="16">EDATE(D52,-1)</f>
        <v>45717</v>
      </c>
      <c r="F52" s="1103">
        <f t="shared" si="16"/>
        <v>45689</v>
      </c>
      <c r="G52" s="1103">
        <f t="shared" si="16"/>
        <v>45658</v>
      </c>
      <c r="H52" s="1103">
        <f t="shared" si="16"/>
        <v>45627</v>
      </c>
      <c r="I52" s="1103">
        <f t="shared" si="16"/>
        <v>45597</v>
      </c>
      <c r="J52" s="1103">
        <f t="shared" si="16"/>
        <v>45566</v>
      </c>
      <c r="K52" s="1103">
        <f t="shared" si="16"/>
        <v>45536</v>
      </c>
      <c r="L52" s="1103">
        <f t="shared" si="16"/>
        <v>45505</v>
      </c>
      <c r="M52" s="1103">
        <f t="shared" si="16"/>
        <v>45474</v>
      </c>
      <c r="N52" s="1103">
        <f t="shared" si="16"/>
        <v>45444</v>
      </c>
      <c r="O52" s="1103">
        <f t="shared" si="16"/>
        <v>45413</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81" t="s">
        <v>1772</v>
      </c>
      <c r="AC4" s="3380" t="s">
        <v>1773</v>
      </c>
    </row>
    <row r="5" spans="1:29" ht="15">
      <c r="A5" s="348"/>
      <c r="B5" s="349"/>
      <c r="C5" s="3406" t="s">
        <v>1673</v>
      </c>
      <c r="D5" s="3402"/>
      <c r="E5" s="3432" t="s">
        <v>1674</v>
      </c>
      <c r="F5" s="3410"/>
      <c r="G5" s="3406" t="s">
        <v>1675</v>
      </c>
      <c r="H5" s="3402"/>
      <c r="I5" s="3406" t="s">
        <v>1676</v>
      </c>
      <c r="J5" s="3402"/>
      <c r="K5" s="537"/>
      <c r="L5" s="2485"/>
      <c r="M5" s="2486"/>
      <c r="N5" s="2486"/>
      <c r="O5" s="2486"/>
      <c r="P5" s="3389"/>
      <c r="Q5" s="3390"/>
      <c r="R5" s="3395"/>
      <c r="S5" s="3396"/>
      <c r="T5" s="3395"/>
      <c r="U5" s="3396"/>
      <c r="V5" s="3366"/>
      <c r="W5" s="3366"/>
      <c r="X5" s="1264"/>
      <c r="Y5" s="3395"/>
      <c r="Z5" s="3396"/>
      <c r="AA5" s="3381"/>
      <c r="AB5" s="3381"/>
      <c r="AC5" s="3381"/>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3" t="s">
        <v>1680</v>
      </c>
      <c r="Q7" s="3405"/>
      <c r="R7" s="663" t="s">
        <v>14</v>
      </c>
      <c r="S7" s="664">
        <f t="shared" ref="S7:S14" si="0">F7</f>
        <v>0</v>
      </c>
      <c r="T7" s="663" t="s">
        <v>14</v>
      </c>
      <c r="U7" s="664">
        <f t="shared" ref="U7:U14" si="1">H7</f>
        <v>0</v>
      </c>
      <c r="V7" s="663" t="s">
        <v>14</v>
      </c>
      <c r="W7" s="664">
        <f t="shared" ref="W7:W14" si="2">J7</f>
        <v>0</v>
      </c>
      <c r="X7" s="665"/>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3" t="s">
        <v>1683</v>
      </c>
      <c r="Q8" s="3404"/>
      <c r="R8" s="663" t="s">
        <v>14</v>
      </c>
      <c r="S8" s="664">
        <f t="shared" si="0"/>
        <v>100</v>
      </c>
      <c r="T8" s="663" t="s">
        <v>14</v>
      </c>
      <c r="U8" s="664">
        <f t="shared" si="1"/>
        <v>100</v>
      </c>
      <c r="V8" s="663" t="s">
        <v>14</v>
      </c>
      <c r="W8" s="664">
        <f t="shared" si="2"/>
        <v>100</v>
      </c>
      <c r="X8" s="665"/>
      <c r="Y8" s="3403" t="s">
        <v>1683</v>
      </c>
      <c r="Z8" s="340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5" t="s">
        <v>1686</v>
      </c>
      <c r="Q9" s="530" t="str">
        <f t="shared" ref="Q9:Q14" si="6">B9</f>
        <v>用途</v>
      </c>
      <c r="R9" s="663" t="s">
        <v>14</v>
      </c>
      <c r="S9" s="664">
        <f t="shared" si="0"/>
        <v>100</v>
      </c>
      <c r="T9" s="663" t="s">
        <v>14</v>
      </c>
      <c r="U9" s="664">
        <f t="shared" si="1"/>
        <v>100</v>
      </c>
      <c r="V9" s="663" t="s">
        <v>14</v>
      </c>
      <c r="W9" s="664">
        <f t="shared" si="2"/>
        <v>100</v>
      </c>
      <c r="X9" s="665"/>
      <c r="Y9" s="3264"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5"/>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5"/>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5"/>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5"/>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2" t="s">
        <v>1691</v>
      </c>
      <c r="Q14" s="1262" t="str">
        <f t="shared" si="6"/>
        <v>交通便捷度</v>
      </c>
      <c r="R14" s="666" t="s">
        <v>14</v>
      </c>
      <c r="S14" s="667">
        <f t="shared" si="0"/>
        <v>100</v>
      </c>
      <c r="T14" s="666" t="s">
        <v>14</v>
      </c>
      <c r="U14" s="667">
        <f t="shared" si="1"/>
        <v>100</v>
      </c>
      <c r="V14" s="666" t="s">
        <v>14</v>
      </c>
      <c r="W14" s="667">
        <f t="shared" si="2"/>
        <v>100</v>
      </c>
      <c r="X14" s="1264"/>
      <c r="Y14" s="3372"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373"/>
      <c r="Q15" s="1262"/>
      <c r="R15" s="666"/>
      <c r="S15" s="667"/>
      <c r="T15" s="666"/>
      <c r="U15" s="667"/>
      <c r="V15" s="666"/>
      <c r="W15" s="667"/>
      <c r="X15" s="1264"/>
      <c r="Y15" s="3373"/>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73"/>
      <c r="Q17" s="1262"/>
      <c r="R17" s="666"/>
      <c r="S17" s="667"/>
      <c r="T17" s="666"/>
      <c r="U17" s="667"/>
      <c r="V17" s="666"/>
      <c r="W17" s="667"/>
      <c r="X17" s="1264"/>
      <c r="Y17" s="3373"/>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373"/>
      <c r="Q19" s="1262"/>
      <c r="R19" s="666"/>
      <c r="S19" s="667"/>
      <c r="T19" s="666"/>
      <c r="U19" s="667"/>
      <c r="V19" s="666"/>
      <c r="W19" s="667"/>
      <c r="X19" s="1264"/>
      <c r="Y19" s="3373"/>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73"/>
      <c r="Q21" s="1262"/>
      <c r="R21" s="666"/>
      <c r="S21" s="667"/>
      <c r="T21" s="666"/>
      <c r="U21" s="667"/>
      <c r="V21" s="666"/>
      <c r="W21" s="667"/>
      <c r="X21" s="1264"/>
      <c r="Y21" s="3373"/>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3"/>
      <c r="Q24" s="1262">
        <f t="shared" ref="Q24:Q36"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373"/>
      <c r="Q25" s="530">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7"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77"/>
      <c r="Q27" s="531" t="str">
        <f t="shared" si="11"/>
        <v>项目停车位配比</v>
      </c>
      <c r="R27" s="668" t="s">
        <v>14</v>
      </c>
      <c r="S27" s="669">
        <f t="shared" si="12"/>
        <v>100</v>
      </c>
      <c r="T27" s="668" t="s">
        <v>14</v>
      </c>
      <c r="U27" s="669">
        <f t="shared" si="13"/>
        <v>100</v>
      </c>
      <c r="V27" s="668" t="s">
        <v>14</v>
      </c>
      <c r="W27" s="669">
        <f t="shared" si="14"/>
        <v>100</v>
      </c>
      <c r="X27" s="670"/>
      <c r="Y27" s="3377"/>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7"/>
      <c r="Q28" s="1262" t="str">
        <f t="shared" si="11"/>
        <v>公共部分装修</v>
      </c>
      <c r="R28" s="666" t="s">
        <v>14</v>
      </c>
      <c r="S28" s="667">
        <f t="shared" si="12"/>
        <v>100</v>
      </c>
      <c r="T28" s="666" t="s">
        <v>14</v>
      </c>
      <c r="U28" s="667">
        <f t="shared" si="13"/>
        <v>100</v>
      </c>
      <c r="V28" s="666" t="s">
        <v>14</v>
      </c>
      <c r="W28" s="667">
        <f t="shared" si="14"/>
        <v>100</v>
      </c>
      <c r="X28" s="1264"/>
      <c r="Y28" s="3377"/>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7"/>
      <c r="Q29" s="1262" t="str">
        <f t="shared" si="11"/>
        <v>成新率</v>
      </c>
      <c r="R29" s="666" t="s">
        <v>14</v>
      </c>
      <c r="S29" s="667" t="e">
        <f t="shared" si="12"/>
        <v>#N/A</v>
      </c>
      <c r="T29" s="666" t="s">
        <v>14</v>
      </c>
      <c r="U29" s="667" t="e">
        <f t="shared" si="13"/>
        <v>#N/A</v>
      </c>
      <c r="V29" s="666" t="s">
        <v>14</v>
      </c>
      <c r="W29" s="667" t="e">
        <f t="shared" si="14"/>
        <v>#N/A</v>
      </c>
      <c r="X29" s="1264"/>
      <c r="Y29" s="3377"/>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77"/>
      <c r="Q30" s="1262" t="str">
        <f t="shared" si="11"/>
        <v>物业等级</v>
      </c>
      <c r="R30" s="666" t="s">
        <v>14</v>
      </c>
      <c r="S30" s="667">
        <f t="shared" si="12"/>
        <v>100</v>
      </c>
      <c r="T30" s="666" t="s">
        <v>14</v>
      </c>
      <c r="U30" s="667">
        <f t="shared" si="13"/>
        <v>100</v>
      </c>
      <c r="V30" s="666" t="s">
        <v>14</v>
      </c>
      <c r="W30" s="667">
        <f t="shared" si="14"/>
        <v>100</v>
      </c>
      <c r="X30" s="1264"/>
      <c r="Y30" s="3377"/>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7"/>
      <c r="Q31" s="530" t="str">
        <f t="shared" si="11"/>
        <v>停车位面积</v>
      </c>
      <c r="R31" s="663" t="s">
        <v>14</v>
      </c>
      <c r="S31" s="664" t="e">
        <f t="shared" si="12"/>
        <v>#N/A</v>
      </c>
      <c r="T31" s="663" t="s">
        <v>14</v>
      </c>
      <c r="U31" s="664" t="e">
        <f t="shared" si="13"/>
        <v>#N/A</v>
      </c>
      <c r="V31" s="663" t="s">
        <v>14</v>
      </c>
      <c r="W31" s="664" t="e">
        <f t="shared" si="14"/>
        <v>#N/A</v>
      </c>
      <c r="X31" s="665"/>
      <c r="Y31" s="3377"/>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7" t="s">
        <v>1696</v>
      </c>
      <c r="Q32" s="1262" t="str">
        <f t="shared" si="11"/>
        <v>车位类型</v>
      </c>
      <c r="R32" s="666" t="s">
        <v>14</v>
      </c>
      <c r="S32" s="667">
        <f t="shared" si="12"/>
        <v>100</v>
      </c>
      <c r="T32" s="666" t="s">
        <v>14</v>
      </c>
      <c r="U32" s="667">
        <f t="shared" si="13"/>
        <v>100</v>
      </c>
      <c r="V32" s="666" t="s">
        <v>14</v>
      </c>
      <c r="W32" s="667">
        <f t="shared" si="14"/>
        <v>100</v>
      </c>
      <c r="X32" s="1264"/>
      <c r="Y32" s="3377"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7"/>
      <c r="Q33" s="1262" t="str">
        <f t="shared" si="11"/>
        <v>是否直接入户</v>
      </c>
      <c r="R33" s="666" t="s">
        <v>14</v>
      </c>
      <c r="S33" s="667">
        <f t="shared" si="12"/>
        <v>100</v>
      </c>
      <c r="T33" s="666" t="s">
        <v>14</v>
      </c>
      <c r="U33" s="667">
        <f t="shared" si="13"/>
        <v>100</v>
      </c>
      <c r="V33" s="666" t="s">
        <v>14</v>
      </c>
      <c r="W33" s="667">
        <f t="shared" si="14"/>
        <v>100</v>
      </c>
      <c r="X33" s="1264"/>
      <c r="Y33" s="3377"/>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7"/>
      <c r="Q35" s="531">
        <f t="shared" si="11"/>
        <v>111</v>
      </c>
      <c r="R35" s="668" t="s">
        <v>14</v>
      </c>
      <c r="S35" s="669">
        <f t="shared" si="12"/>
        <v>100</v>
      </c>
      <c r="T35" s="668" t="s">
        <v>14</v>
      </c>
      <c r="U35" s="669">
        <f t="shared" si="13"/>
        <v>100</v>
      </c>
      <c r="V35" s="668" t="s">
        <v>14</v>
      </c>
      <c r="W35" s="669">
        <f t="shared" si="14"/>
        <v>100</v>
      </c>
      <c r="X35" s="670"/>
      <c r="Y35" s="3377"/>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7"/>
      <c r="Q36" s="1262">
        <f t="shared" si="11"/>
        <v>111</v>
      </c>
      <c r="R36" s="666" t="s">
        <v>14</v>
      </c>
      <c r="S36" s="667">
        <f t="shared" si="12"/>
        <v>100</v>
      </c>
      <c r="T36" s="666" t="s">
        <v>14</v>
      </c>
      <c r="U36" s="667">
        <f t="shared" si="13"/>
        <v>100</v>
      </c>
      <c r="V36" s="666" t="s">
        <v>14</v>
      </c>
      <c r="W36" s="667">
        <f t="shared" si="14"/>
        <v>100</v>
      </c>
      <c r="X36" s="1264"/>
      <c r="Y36" s="3377"/>
      <c r="Z36" s="1263">
        <f t="shared" si="15"/>
        <v>111</v>
      </c>
      <c r="AA36" s="1263">
        <f t="shared" si="3"/>
        <v>1</v>
      </c>
      <c r="AB36" s="1263">
        <f t="shared" si="4"/>
        <v>1</v>
      </c>
      <c r="AC36" s="1263">
        <f t="shared" si="5"/>
        <v>1</v>
      </c>
    </row>
    <row r="37" spans="1:29" ht="15">
      <c r="A37" s="416" t="s">
        <v>1844</v>
      </c>
      <c r="B37" s="1820" t="s">
        <v>3354</v>
      </c>
      <c r="C37" s="1080" t="s">
        <v>0</v>
      </c>
      <c r="D37" s="418"/>
      <c r="E37" s="419"/>
      <c r="F37" s="420"/>
      <c r="G37" s="421"/>
      <c r="H37" s="422"/>
      <c r="I37" s="419"/>
      <c r="J37" s="422"/>
      <c r="K37" s="544"/>
      <c r="L37" s="2493"/>
      <c r="M37" s="2486"/>
      <c r="N37" s="2486"/>
      <c r="O37" s="2486"/>
      <c r="P37" s="3365" t="str">
        <f>A37</f>
        <v>成交单价</v>
      </c>
      <c r="Q37" s="3365"/>
      <c r="R37" s="3366">
        <f>E37</f>
        <v>0</v>
      </c>
      <c r="S37" s="3366"/>
      <c r="T37" s="3366">
        <f>G37</f>
        <v>0</v>
      </c>
      <c r="U37" s="3366"/>
      <c r="V37" s="3366">
        <f>I37</f>
        <v>0</v>
      </c>
      <c r="W37" s="3366"/>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367" t="str">
        <f>A39</f>
        <v>估价对象XX用房的比较价值（楼面单价，元/平方米）</v>
      </c>
      <c r="Q39" s="3368"/>
      <c r="R39" s="3449" t="e">
        <f>IF(F1="售价",ROUND(IF(D38="简单平均",AVERAGE(R38:W38),R38*F38+T38*H38+V38*J38),0),ROUND(IF(D38="简单平均",AVERAGE(R38:V38),R38*F38+T38*H38+V38*J38),1))</f>
        <v>#DIV/0!</v>
      </c>
      <c r="S39" s="3449"/>
      <c r="T39" s="3449"/>
      <c r="U39" s="3449"/>
      <c r="V39" s="3449"/>
      <c r="W39" s="344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2025-5</v>
      </c>
      <c r="D48" s="1103">
        <f>EDATE(C48,-1)</f>
        <v>45748</v>
      </c>
      <c r="E48" s="1103">
        <f t="shared" ref="E48:O48" si="16">EDATE(D48,-1)</f>
        <v>45717</v>
      </c>
      <c r="F48" s="1103">
        <f t="shared" si="16"/>
        <v>45689</v>
      </c>
      <c r="G48" s="1103">
        <f t="shared" si="16"/>
        <v>45658</v>
      </c>
      <c r="H48" s="1103">
        <f t="shared" si="16"/>
        <v>45627</v>
      </c>
      <c r="I48" s="1103">
        <f t="shared" si="16"/>
        <v>45597</v>
      </c>
      <c r="J48" s="1103">
        <f t="shared" si="16"/>
        <v>45566</v>
      </c>
      <c r="K48" s="1103">
        <f t="shared" si="16"/>
        <v>45536</v>
      </c>
      <c r="L48" s="1103">
        <f t="shared" si="16"/>
        <v>45505</v>
      </c>
      <c r="M48" s="1103">
        <f t="shared" si="16"/>
        <v>45474</v>
      </c>
      <c r="N48" s="1103">
        <f t="shared" si="16"/>
        <v>45444</v>
      </c>
      <c r="O48" s="1103">
        <f t="shared" si="16"/>
        <v>45413</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81" t="s">
        <v>1772</v>
      </c>
      <c r="AC4" s="3380" t="s">
        <v>1773</v>
      </c>
    </row>
    <row r="5" spans="1:29" ht="15">
      <c r="A5" s="348"/>
      <c r="B5" s="349"/>
      <c r="C5" s="3406" t="s">
        <v>1673</v>
      </c>
      <c r="D5" s="3402"/>
      <c r="E5" s="3432" t="s">
        <v>1674</v>
      </c>
      <c r="F5" s="3410"/>
      <c r="G5" s="3406" t="s">
        <v>1675</v>
      </c>
      <c r="H5" s="3402"/>
      <c r="I5" s="3406" t="s">
        <v>1676</v>
      </c>
      <c r="J5" s="3402"/>
      <c r="K5" s="537"/>
      <c r="L5" s="2485"/>
      <c r="M5" s="2486"/>
      <c r="N5" s="2486"/>
      <c r="O5" s="2486"/>
      <c r="P5" s="3389"/>
      <c r="Q5" s="3390"/>
      <c r="R5" s="3395"/>
      <c r="S5" s="3396"/>
      <c r="T5" s="3395"/>
      <c r="U5" s="3396"/>
      <c r="V5" s="3366"/>
      <c r="W5" s="3366"/>
      <c r="X5" s="1264"/>
      <c r="Y5" s="3395"/>
      <c r="Z5" s="3396"/>
      <c r="AA5" s="3381"/>
      <c r="AB5" s="3381"/>
      <c r="AC5" s="3381"/>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SUMIF(46:46,YEAR(E7)&amp;"-"&amp;MONTH(E7),47:47)</f>
        <v>0</v>
      </c>
      <c r="G7" s="1821"/>
      <c r="H7" s="355">
        <f>SUMIF(46:46,YEAR(G7)&amp;"-"&amp;MONTH(G7),47:47)</f>
        <v>0</v>
      </c>
      <c r="I7" s="356"/>
      <c r="J7" s="355">
        <f>SUMIF(46:46,YEAR(I7)&amp;"-"&amp;MONTH(I7),47:47)</f>
        <v>0</v>
      </c>
      <c r="K7" s="38"/>
      <c r="L7" s="2487"/>
      <c r="M7" s="2439"/>
      <c r="N7" s="2439"/>
      <c r="O7" s="2439"/>
      <c r="P7" s="3403" t="s">
        <v>1680</v>
      </c>
      <c r="Q7" s="3405"/>
      <c r="R7" s="663" t="s">
        <v>14</v>
      </c>
      <c r="S7" s="664">
        <f t="shared" ref="S7:S14" si="0">F7</f>
        <v>0</v>
      </c>
      <c r="T7" s="663" t="s">
        <v>14</v>
      </c>
      <c r="U7" s="664">
        <f t="shared" ref="U7:U14" si="1">H7</f>
        <v>0</v>
      </c>
      <c r="V7" s="663" t="s">
        <v>14</v>
      </c>
      <c r="W7" s="664">
        <f t="shared" ref="W7:W14" si="2">J7</f>
        <v>0</v>
      </c>
      <c r="X7" s="665"/>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3" t="s">
        <v>1683</v>
      </c>
      <c r="Q8" s="3404"/>
      <c r="R8" s="663" t="s">
        <v>14</v>
      </c>
      <c r="S8" s="664">
        <f t="shared" si="0"/>
        <v>100</v>
      </c>
      <c r="T8" s="663" t="s">
        <v>14</v>
      </c>
      <c r="U8" s="664">
        <f t="shared" si="1"/>
        <v>100</v>
      </c>
      <c r="V8" s="663" t="s">
        <v>14</v>
      </c>
      <c r="W8" s="664">
        <f t="shared" si="2"/>
        <v>100</v>
      </c>
      <c r="X8" s="665"/>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5" t="s">
        <v>1686</v>
      </c>
      <c r="Q9" s="530" t="str">
        <f t="shared" ref="Q9:Q14" si="6">B9</f>
        <v>用途</v>
      </c>
      <c r="R9" s="663" t="s">
        <v>14</v>
      </c>
      <c r="S9" s="664">
        <f t="shared" si="0"/>
        <v>100</v>
      </c>
      <c r="T9" s="663" t="s">
        <v>14</v>
      </c>
      <c r="U9" s="664">
        <f t="shared" si="1"/>
        <v>100</v>
      </c>
      <c r="V9" s="663" t="s">
        <v>14</v>
      </c>
      <c r="W9" s="664">
        <f t="shared" si="2"/>
        <v>100</v>
      </c>
      <c r="X9" s="665"/>
      <c r="Y9" s="326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5"/>
      <c r="Q10" s="530" t="str">
        <f t="shared" si="6"/>
        <v>土地使用年限（年）</v>
      </c>
      <c r="R10" s="663" t="s">
        <v>14</v>
      </c>
      <c r="S10" s="664">
        <f t="shared" si="0"/>
        <v>100</v>
      </c>
      <c r="T10" s="663" t="s">
        <v>14</v>
      </c>
      <c r="U10" s="664">
        <f t="shared" si="1"/>
        <v>100</v>
      </c>
      <c r="V10" s="663" t="s">
        <v>14</v>
      </c>
      <c r="W10" s="664">
        <f t="shared" si="2"/>
        <v>100</v>
      </c>
      <c r="X10" s="665"/>
      <c r="Y10" s="326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5"/>
      <c r="Q11" s="530">
        <f t="shared" si="6"/>
        <v>111</v>
      </c>
      <c r="R11" s="663" t="s">
        <v>14</v>
      </c>
      <c r="S11" s="664">
        <f t="shared" si="0"/>
        <v>100</v>
      </c>
      <c r="T11" s="663" t="s">
        <v>14</v>
      </c>
      <c r="U11" s="664">
        <f t="shared" si="1"/>
        <v>100</v>
      </c>
      <c r="V11" s="663" t="s">
        <v>14</v>
      </c>
      <c r="W11" s="664">
        <f t="shared" si="2"/>
        <v>100</v>
      </c>
      <c r="X11" s="665"/>
      <c r="Y11" s="326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5"/>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65"/>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2" t="s">
        <v>1691</v>
      </c>
      <c r="Q14" s="1262" t="str">
        <f t="shared" si="6"/>
        <v>交通便捷度</v>
      </c>
      <c r="R14" s="666" t="s">
        <v>14</v>
      </c>
      <c r="S14" s="667">
        <f t="shared" si="0"/>
        <v>100</v>
      </c>
      <c r="T14" s="666" t="s">
        <v>14</v>
      </c>
      <c r="U14" s="667">
        <f t="shared" si="1"/>
        <v>100</v>
      </c>
      <c r="V14" s="666" t="s">
        <v>14</v>
      </c>
      <c r="W14" s="667">
        <f t="shared" si="2"/>
        <v>100</v>
      </c>
      <c r="X14" s="1264"/>
      <c r="Y14" s="337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73"/>
      <c r="Q15" s="1262"/>
      <c r="R15" s="666"/>
      <c r="S15" s="667"/>
      <c r="T15" s="666"/>
      <c r="U15" s="667"/>
      <c r="V15" s="666"/>
      <c r="W15" s="667"/>
      <c r="X15" s="1264"/>
      <c r="Y15" s="3373"/>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73"/>
      <c r="Q17" s="1262"/>
      <c r="R17" s="666"/>
      <c r="S17" s="667"/>
      <c r="T17" s="666"/>
      <c r="U17" s="667"/>
      <c r="V17" s="666"/>
      <c r="W17" s="667"/>
      <c r="X17" s="1264"/>
      <c r="Y17" s="3373"/>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373"/>
      <c r="Q19" s="1262"/>
      <c r="R19" s="666"/>
      <c r="S19" s="667"/>
      <c r="T19" s="666"/>
      <c r="U19" s="667"/>
      <c r="V19" s="666"/>
      <c r="W19" s="667"/>
      <c r="X19" s="1264"/>
      <c r="Y19" s="3373"/>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73"/>
      <c r="Q21" s="1262"/>
      <c r="R21" s="666"/>
      <c r="S21" s="667"/>
      <c r="T21" s="666"/>
      <c r="U21" s="667"/>
      <c r="V21" s="666"/>
      <c r="W21" s="667"/>
      <c r="X21" s="1264"/>
      <c r="Y21" s="337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3"/>
      <c r="Q24" s="1262">
        <f t="shared" ref="Q24:Q34"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373"/>
      <c r="Q25" s="530">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4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7"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7"/>
      <c r="Q27" s="531" t="str">
        <f t="shared" si="11"/>
        <v>成新率</v>
      </c>
      <c r="R27" s="668" t="s">
        <v>14</v>
      </c>
      <c r="S27" s="669" t="e">
        <f t="shared" si="12"/>
        <v>#N/A</v>
      </c>
      <c r="T27" s="668" t="s">
        <v>14</v>
      </c>
      <c r="U27" s="669" t="e">
        <f t="shared" si="13"/>
        <v>#N/A</v>
      </c>
      <c r="V27" s="668" t="s">
        <v>14</v>
      </c>
      <c r="W27" s="669" t="e">
        <f t="shared" si="14"/>
        <v>#N/A</v>
      </c>
      <c r="X27" s="670"/>
      <c r="Y27" s="3377"/>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7"/>
      <c r="Q28" s="1262" t="str">
        <f t="shared" si="11"/>
        <v>物业等级</v>
      </c>
      <c r="R28" s="666" t="s">
        <v>14</v>
      </c>
      <c r="S28" s="667">
        <f t="shared" si="12"/>
        <v>100</v>
      </c>
      <c r="T28" s="666" t="s">
        <v>14</v>
      </c>
      <c r="U28" s="667">
        <f t="shared" si="13"/>
        <v>100</v>
      </c>
      <c r="V28" s="666" t="s">
        <v>14</v>
      </c>
      <c r="W28" s="667">
        <f t="shared" si="14"/>
        <v>100</v>
      </c>
      <c r="X28" s="1264"/>
      <c r="Y28" s="3377"/>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77"/>
      <c r="Q29" s="1262" t="str">
        <f t="shared" si="11"/>
        <v>有无电梯</v>
      </c>
      <c r="R29" s="666" t="s">
        <v>14</v>
      </c>
      <c r="S29" s="667">
        <f t="shared" si="12"/>
        <v>100</v>
      </c>
      <c r="T29" s="666" t="s">
        <v>14</v>
      </c>
      <c r="U29" s="667">
        <f t="shared" si="13"/>
        <v>100</v>
      </c>
      <c r="V29" s="666" t="s">
        <v>14</v>
      </c>
      <c r="W29" s="667">
        <f t="shared" si="14"/>
        <v>100</v>
      </c>
      <c r="X29" s="1264"/>
      <c r="Y29" s="3377"/>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7"/>
      <c r="Q30" s="1262" t="str">
        <f t="shared" si="11"/>
        <v>建筑面积</v>
      </c>
      <c r="R30" s="666" t="s">
        <v>14</v>
      </c>
      <c r="S30" s="667" t="e">
        <f t="shared" si="12"/>
        <v>#N/A</v>
      </c>
      <c r="T30" s="666" t="s">
        <v>14</v>
      </c>
      <c r="U30" s="667" t="e">
        <f t="shared" si="13"/>
        <v>#N/A</v>
      </c>
      <c r="V30" s="666" t="s">
        <v>14</v>
      </c>
      <c r="W30" s="667" t="e">
        <f t="shared" si="14"/>
        <v>#N/A</v>
      </c>
      <c r="X30" s="1264"/>
      <c r="Y30" s="3377"/>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377"/>
      <c r="Q31" s="530" t="str">
        <f t="shared" si="11"/>
        <v>是否封闭</v>
      </c>
      <c r="R31" s="663" t="s">
        <v>14</v>
      </c>
      <c r="S31" s="664">
        <f t="shared" si="12"/>
        <v>100</v>
      </c>
      <c r="T31" s="663" t="s">
        <v>14</v>
      </c>
      <c r="U31" s="664">
        <f t="shared" si="13"/>
        <v>100</v>
      </c>
      <c r="V31" s="663" t="s">
        <v>14</v>
      </c>
      <c r="W31" s="664">
        <f t="shared" si="14"/>
        <v>100</v>
      </c>
      <c r="X31" s="665"/>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7" t="s">
        <v>1696</v>
      </c>
      <c r="Q32" s="1262">
        <f t="shared" si="11"/>
        <v>111</v>
      </c>
      <c r="R32" s="666" t="s">
        <v>14</v>
      </c>
      <c r="S32" s="667">
        <f t="shared" si="12"/>
        <v>100</v>
      </c>
      <c r="T32" s="666" t="s">
        <v>14</v>
      </c>
      <c r="U32" s="667">
        <f t="shared" si="13"/>
        <v>100</v>
      </c>
      <c r="V32" s="666" t="s">
        <v>14</v>
      </c>
      <c r="W32" s="667">
        <f t="shared" si="14"/>
        <v>100</v>
      </c>
      <c r="X32" s="1264"/>
      <c r="Y32" s="3377"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7"/>
      <c r="Q33" s="1262">
        <f t="shared" si="11"/>
        <v>111</v>
      </c>
      <c r="R33" s="666" t="s">
        <v>14</v>
      </c>
      <c r="S33" s="667">
        <f t="shared" si="12"/>
        <v>100</v>
      </c>
      <c r="T33" s="666" t="s">
        <v>14</v>
      </c>
      <c r="U33" s="667">
        <f t="shared" si="13"/>
        <v>100</v>
      </c>
      <c r="V33" s="666" t="s">
        <v>14</v>
      </c>
      <c r="W33" s="667">
        <f t="shared" si="14"/>
        <v>100</v>
      </c>
      <c r="X33" s="1264"/>
      <c r="Y33" s="3377"/>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77"/>
      <c r="Q34" s="1262">
        <f t="shared" si="11"/>
        <v>111</v>
      </c>
      <c r="R34" s="666" t="s">
        <v>14</v>
      </c>
      <c r="S34" s="667">
        <f t="shared" si="12"/>
        <v>100</v>
      </c>
      <c r="T34" s="666" t="s">
        <v>14</v>
      </c>
      <c r="U34" s="667">
        <f t="shared" si="13"/>
        <v>100</v>
      </c>
      <c r="V34" s="666" t="s">
        <v>14</v>
      </c>
      <c r="W34" s="667">
        <f t="shared" si="14"/>
        <v>100</v>
      </c>
      <c r="X34" s="1264"/>
      <c r="Y34" s="3377"/>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365" t="str">
        <f>A35</f>
        <v>成交单价（元/平方米）</v>
      </c>
      <c r="Q35" s="3365"/>
      <c r="R35" s="3366">
        <f>E35</f>
        <v>0</v>
      </c>
      <c r="S35" s="3366"/>
      <c r="T35" s="3366">
        <f>G35</f>
        <v>0</v>
      </c>
      <c r="U35" s="3366"/>
      <c r="V35" s="3366">
        <f>I35</f>
        <v>0</v>
      </c>
      <c r="W35" s="3366"/>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67" t="str">
        <f>A37</f>
        <v>估价对象XX用房的比较价值（楼面单价，元/平方米）</v>
      </c>
      <c r="Q37" s="3368"/>
      <c r="R37" s="3449" t="e">
        <f>IF(F1="售价",ROUND(IF(D36="简单平均",AVERAGE(R36:W36),R36*F36+T36*H36+V36*J36),0),ROUND(IF(D36="简单平均",AVERAGE(R36:V36),R36*F36+T36*H36+V36*J36),1))</f>
        <v>#DIV/0!</v>
      </c>
      <c r="S37" s="3449"/>
      <c r="T37" s="3449"/>
      <c r="U37" s="3449"/>
      <c r="V37" s="3449"/>
      <c r="W37" s="344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2025-5</v>
      </c>
      <c r="D46" s="1103">
        <f>EDATE(C46,-1)</f>
        <v>45748</v>
      </c>
      <c r="E46" s="1103">
        <f t="shared" ref="E46:O46" si="16">EDATE(D46,-1)</f>
        <v>45717</v>
      </c>
      <c r="F46" s="1103">
        <f t="shared" si="16"/>
        <v>45689</v>
      </c>
      <c r="G46" s="1103">
        <f t="shared" si="16"/>
        <v>45658</v>
      </c>
      <c r="H46" s="1103">
        <f t="shared" si="16"/>
        <v>45627</v>
      </c>
      <c r="I46" s="1103">
        <f t="shared" si="16"/>
        <v>45597</v>
      </c>
      <c r="J46" s="1103">
        <f t="shared" si="16"/>
        <v>45566</v>
      </c>
      <c r="K46" s="1103">
        <f t="shared" si="16"/>
        <v>45536</v>
      </c>
      <c r="L46" s="1103">
        <f t="shared" si="16"/>
        <v>45505</v>
      </c>
      <c r="M46" s="1103">
        <f t="shared" si="16"/>
        <v>45474</v>
      </c>
      <c r="N46" s="1103">
        <f t="shared" si="16"/>
        <v>45444</v>
      </c>
      <c r="O46" s="1103">
        <f t="shared" si="16"/>
        <v>45413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81" t="s">
        <v>1772</v>
      </c>
      <c r="AC4" s="3380" t="s">
        <v>1773</v>
      </c>
    </row>
    <row r="5" spans="1:29" ht="15">
      <c r="A5" s="348"/>
      <c r="B5" s="349"/>
      <c r="C5" s="3406" t="s">
        <v>1673</v>
      </c>
      <c r="D5" s="3402"/>
      <c r="E5" s="3432" t="s">
        <v>1674</v>
      </c>
      <c r="F5" s="3410"/>
      <c r="G5" s="3406" t="s">
        <v>1675</v>
      </c>
      <c r="H5" s="3402"/>
      <c r="I5" s="3406" t="s">
        <v>1676</v>
      </c>
      <c r="J5" s="3402"/>
      <c r="K5" s="537"/>
      <c r="L5" s="2485"/>
      <c r="M5" s="2486"/>
      <c r="N5" s="2486"/>
      <c r="O5" s="2486"/>
      <c r="P5" s="3389"/>
      <c r="Q5" s="3390"/>
      <c r="R5" s="3395"/>
      <c r="S5" s="3396"/>
      <c r="T5" s="3395"/>
      <c r="U5" s="3396"/>
      <c r="V5" s="3366"/>
      <c r="W5" s="3366"/>
      <c r="X5" s="1264"/>
      <c r="Y5" s="3395"/>
      <c r="Z5" s="3396"/>
      <c r="AA5" s="3381"/>
      <c r="AB5" s="3381"/>
      <c r="AC5" s="3381"/>
    </row>
    <row r="6" spans="1:29" ht="15.75" thickBot="1">
      <c r="A6" s="350"/>
      <c r="B6" s="351"/>
      <c r="C6" s="3399" t="s">
        <v>1677</v>
      </c>
      <c r="D6" s="3400"/>
      <c r="E6" s="3407" t="s">
        <v>1677</v>
      </c>
      <c r="F6" s="3408"/>
      <c r="G6" s="3399" t="s">
        <v>1677</v>
      </c>
      <c r="H6" s="3400"/>
      <c r="I6" s="3399" t="s">
        <v>1677</v>
      </c>
      <c r="J6" s="3400"/>
      <c r="K6" s="537" t="s">
        <v>1678</v>
      </c>
      <c r="L6" s="2485"/>
      <c r="M6" s="2486"/>
      <c r="N6" s="2486"/>
      <c r="O6" s="2486"/>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403" t="s">
        <v>1680</v>
      </c>
      <c r="Q7" s="3405"/>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3" t="s">
        <v>1683</v>
      </c>
      <c r="Q8" s="3404"/>
      <c r="R8" s="663" t="s">
        <v>14</v>
      </c>
      <c r="S8" s="664">
        <f t="shared" si="0"/>
        <v>0</v>
      </c>
      <c r="T8" s="663" t="s">
        <v>14</v>
      </c>
      <c r="U8" s="664">
        <f t="shared" si="1"/>
        <v>0</v>
      </c>
      <c r="V8" s="663" t="s">
        <v>14</v>
      </c>
      <c r="W8" s="664">
        <f t="shared" si="2"/>
        <v>0</v>
      </c>
      <c r="X8" s="665"/>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65"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165</v>
      </c>
      <c r="G10" s="402"/>
      <c r="H10" s="119">
        <f>ROUND(100/'数据-取费表'!G16,0)</f>
        <v>165</v>
      </c>
      <c r="I10" s="402"/>
      <c r="J10" s="119">
        <f>ROUND(100/'数据-取费表'!G16,0)</f>
        <v>165</v>
      </c>
      <c r="K10" s="591"/>
      <c r="L10" s="2488"/>
      <c r="M10" s="2489"/>
      <c r="N10" s="2489"/>
      <c r="O10" s="2540"/>
      <c r="P10" s="3365"/>
      <c r="Q10" s="530" t="str">
        <f t="shared" si="6"/>
        <v>土地使用年限（年）</v>
      </c>
      <c r="R10" s="663" t="s">
        <v>14</v>
      </c>
      <c r="S10" s="664">
        <f t="shared" si="0"/>
        <v>165</v>
      </c>
      <c r="T10" s="663" t="s">
        <v>14</v>
      </c>
      <c r="U10" s="664">
        <f t="shared" si="1"/>
        <v>165</v>
      </c>
      <c r="V10" s="663" t="s">
        <v>14</v>
      </c>
      <c r="W10" s="664">
        <f t="shared" si="2"/>
        <v>165</v>
      </c>
      <c r="X10" s="665"/>
      <c r="Y10" s="3264"/>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65"/>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365"/>
      <c r="Q12" s="530" t="str">
        <f t="shared" si="6"/>
        <v>配建</v>
      </c>
      <c r="R12" s="663" t="s">
        <v>14</v>
      </c>
      <c r="S12" s="664">
        <f t="shared" si="0"/>
        <v>100</v>
      </c>
      <c r="T12" s="663" t="s">
        <v>14</v>
      </c>
      <c r="U12" s="664">
        <f t="shared" si="1"/>
        <v>100</v>
      </c>
      <c r="V12" s="663" t="s">
        <v>14</v>
      </c>
      <c r="W12" s="664">
        <f t="shared" si="2"/>
        <v>100</v>
      </c>
      <c r="X12" s="665"/>
      <c r="Y12" s="326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65"/>
      <c r="Q13" s="530">
        <f t="shared" si="6"/>
        <v>111</v>
      </c>
      <c r="R13" s="663" t="s">
        <v>14</v>
      </c>
      <c r="S13" s="664">
        <f t="shared" si="0"/>
        <v>100</v>
      </c>
      <c r="T13" s="663" t="s">
        <v>14</v>
      </c>
      <c r="U13" s="664">
        <f t="shared" si="1"/>
        <v>100</v>
      </c>
      <c r="V13" s="663" t="s">
        <v>14</v>
      </c>
      <c r="W13" s="664">
        <f t="shared" si="2"/>
        <v>100</v>
      </c>
      <c r="X13" s="665"/>
      <c r="Y13" s="326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65"/>
      <c r="Q14" s="530">
        <f t="shared" si="6"/>
        <v>111</v>
      </c>
      <c r="R14" s="663" t="s">
        <v>14</v>
      </c>
      <c r="S14" s="664">
        <f t="shared" si="0"/>
        <v>100</v>
      </c>
      <c r="T14" s="663" t="s">
        <v>14</v>
      </c>
      <c r="U14" s="664">
        <f t="shared" si="1"/>
        <v>100</v>
      </c>
      <c r="V14" s="663" t="s">
        <v>14</v>
      </c>
      <c r="W14" s="664">
        <f t="shared" si="2"/>
        <v>100</v>
      </c>
      <c r="X14" s="665"/>
      <c r="Y14" s="3264"/>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72" t="s">
        <v>1691</v>
      </c>
      <c r="Q15" s="1262" t="str">
        <f t="shared" si="6"/>
        <v>居住社区成熟度</v>
      </c>
      <c r="R15" s="666" t="s">
        <v>14</v>
      </c>
      <c r="S15" s="667">
        <f t="shared" si="0"/>
        <v>100</v>
      </c>
      <c r="T15" s="666" t="s">
        <v>14</v>
      </c>
      <c r="U15" s="667">
        <f t="shared" si="1"/>
        <v>100</v>
      </c>
      <c r="V15" s="666" t="s">
        <v>14</v>
      </c>
      <c r="W15" s="667">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373"/>
      <c r="Q16" s="1262"/>
      <c r="R16" s="666"/>
      <c r="S16" s="667"/>
      <c r="T16" s="666"/>
      <c r="U16" s="667"/>
      <c r="V16" s="666"/>
      <c r="W16" s="667"/>
      <c r="X16" s="1264"/>
      <c r="Y16" s="3373"/>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73"/>
      <c r="Q17" s="1262" t="str">
        <f>B17</f>
        <v>商业繁华度</v>
      </c>
      <c r="R17" s="666" t="s">
        <v>14</v>
      </c>
      <c r="S17" s="667">
        <f>F17</f>
        <v>100</v>
      </c>
      <c r="T17" s="666" t="s">
        <v>14</v>
      </c>
      <c r="U17" s="667">
        <f>H17</f>
        <v>100</v>
      </c>
      <c r="V17" s="666" t="s">
        <v>14</v>
      </c>
      <c r="W17" s="667">
        <f>J17</f>
        <v>100</v>
      </c>
      <c r="X17" s="1264"/>
      <c r="Y17" s="3373"/>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373"/>
      <c r="Q18" s="1262"/>
      <c r="R18" s="666"/>
      <c r="S18" s="667"/>
      <c r="T18" s="666"/>
      <c r="U18" s="667"/>
      <c r="V18" s="666"/>
      <c r="W18" s="667"/>
      <c r="X18" s="1264"/>
      <c r="Y18" s="3373"/>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73"/>
      <c r="Q19" s="1262" t="str">
        <f>B19</f>
        <v>办公集聚程度</v>
      </c>
      <c r="R19" s="666" t="s">
        <v>14</v>
      </c>
      <c r="S19" s="667">
        <f>F19</f>
        <v>100</v>
      </c>
      <c r="T19" s="666" t="s">
        <v>14</v>
      </c>
      <c r="U19" s="667">
        <f>H19</f>
        <v>100</v>
      </c>
      <c r="V19" s="666" t="s">
        <v>14</v>
      </c>
      <c r="W19" s="667">
        <f>J19</f>
        <v>100</v>
      </c>
      <c r="X19" s="1264"/>
      <c r="Y19" s="3373"/>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373"/>
      <c r="Q20" s="1262"/>
      <c r="R20" s="666"/>
      <c r="S20" s="667"/>
      <c r="T20" s="666"/>
      <c r="U20" s="667"/>
      <c r="V20" s="666"/>
      <c r="W20" s="667"/>
      <c r="X20" s="1264"/>
      <c r="Y20" s="3373"/>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73"/>
      <c r="Q21" s="1262" t="str">
        <f>B21</f>
        <v>交通便捷度</v>
      </c>
      <c r="R21" s="666" t="s">
        <v>14</v>
      </c>
      <c r="S21" s="667">
        <f>F21</f>
        <v>100</v>
      </c>
      <c r="T21" s="666" t="s">
        <v>14</v>
      </c>
      <c r="U21" s="667">
        <f>H21</f>
        <v>100</v>
      </c>
      <c r="V21" s="666" t="s">
        <v>14</v>
      </c>
      <c r="W21" s="667">
        <f>J21</f>
        <v>100</v>
      </c>
      <c r="X21" s="1264"/>
      <c r="Y21" s="3373"/>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373"/>
      <c r="Q22" s="1262"/>
      <c r="R22" s="666"/>
      <c r="S22" s="667"/>
      <c r="T22" s="666"/>
      <c r="U22" s="667"/>
      <c r="V22" s="666"/>
      <c r="W22" s="667"/>
      <c r="X22" s="1264"/>
      <c r="Y22" s="337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73"/>
      <c r="Q23" s="1262" t="str">
        <f t="shared" ref="Q23:Q37" si="8">B23</f>
        <v>区域土地利用方向</v>
      </c>
      <c r="R23" s="666" t="s">
        <v>14</v>
      </c>
      <c r="S23" s="667">
        <f>F23</f>
        <v>100</v>
      </c>
      <c r="T23" s="666" t="s">
        <v>14</v>
      </c>
      <c r="U23" s="667">
        <f>H23</f>
        <v>100</v>
      </c>
      <c r="V23" s="666" t="s">
        <v>14</v>
      </c>
      <c r="W23" s="667">
        <f>J23</f>
        <v>100</v>
      </c>
      <c r="X23" s="1264"/>
      <c r="Y23" s="3373"/>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1"/>
      <c r="M24" s="2486"/>
      <c r="N24" s="2486"/>
      <c r="O24" s="2541"/>
      <c r="P24" s="3373"/>
      <c r="Q24" s="1262"/>
      <c r="R24" s="666"/>
      <c r="S24" s="667"/>
      <c r="T24" s="666"/>
      <c r="U24" s="667"/>
      <c r="V24" s="666"/>
      <c r="W24" s="667"/>
      <c r="X24" s="1264"/>
      <c r="Y24" s="3373"/>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73"/>
      <c r="Q25" s="1262" t="str">
        <f t="shared" si="8"/>
        <v>自然及人文环境状况</v>
      </c>
      <c r="R25" s="666" t="s">
        <v>14</v>
      </c>
      <c r="S25" s="667">
        <f>F25</f>
        <v>100</v>
      </c>
      <c r="T25" s="666" t="s">
        <v>14</v>
      </c>
      <c r="U25" s="667">
        <f>H25</f>
        <v>100</v>
      </c>
      <c r="V25" s="666" t="s">
        <v>14</v>
      </c>
      <c r="W25" s="667">
        <f>J25</f>
        <v>100</v>
      </c>
      <c r="X25" s="1264"/>
      <c r="Y25" s="3373"/>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373"/>
      <c r="Q26" s="1262"/>
      <c r="R26" s="666"/>
      <c r="S26" s="667"/>
      <c r="T26" s="666"/>
      <c r="U26" s="667"/>
      <c r="V26" s="666"/>
      <c r="W26" s="667"/>
      <c r="X26" s="1264"/>
      <c r="Y26" s="3373"/>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373"/>
      <c r="Q27" s="530" t="str">
        <f t="shared" si="8"/>
        <v>公共配套设施</v>
      </c>
      <c r="R27" s="663" t="s">
        <v>14</v>
      </c>
      <c r="S27" s="664">
        <f>F27</f>
        <v>100</v>
      </c>
      <c r="T27" s="663" t="s">
        <v>14</v>
      </c>
      <c r="U27" s="664">
        <f>H27</f>
        <v>100</v>
      </c>
      <c r="V27" s="663" t="s">
        <v>14</v>
      </c>
      <c r="W27" s="664">
        <f>J27</f>
        <v>100</v>
      </c>
      <c r="X27" s="665"/>
      <c r="Y27" s="3373"/>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373"/>
      <c r="Q28" s="530"/>
      <c r="R28" s="663"/>
      <c r="S28" s="664"/>
      <c r="T28" s="663"/>
      <c r="U28" s="664"/>
      <c r="V28" s="663"/>
      <c r="W28" s="664"/>
      <c r="X28" s="665"/>
      <c r="Y28" s="3373"/>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373"/>
      <c r="Q29" s="530" t="str">
        <f t="shared" ref="Q29" si="9">B29</f>
        <v>基础设施水平</v>
      </c>
      <c r="R29" s="663" t="s">
        <v>14</v>
      </c>
      <c r="S29" s="664">
        <f>F29</f>
        <v>100</v>
      </c>
      <c r="T29" s="663" t="s">
        <v>14</v>
      </c>
      <c r="U29" s="664">
        <f>H29</f>
        <v>100</v>
      </c>
      <c r="V29" s="663" t="s">
        <v>14</v>
      </c>
      <c r="W29" s="664">
        <f>J29</f>
        <v>100</v>
      </c>
      <c r="X29" s="665"/>
      <c r="Y29" s="3373"/>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373"/>
      <c r="Q30" s="530"/>
      <c r="R30" s="663"/>
      <c r="S30" s="664"/>
      <c r="T30" s="663"/>
      <c r="U30" s="664"/>
      <c r="V30" s="663"/>
      <c r="W30" s="664"/>
      <c r="X30" s="665"/>
      <c r="Y30" s="3373"/>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7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3"/>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73"/>
      <c r="Q32" s="1262" t="str">
        <f t="shared" si="8"/>
        <v>毗邻道路的类型与等级</v>
      </c>
      <c r="R32" s="666" t="s">
        <v>14</v>
      </c>
      <c r="S32" s="667">
        <f t="shared" si="10"/>
        <v>100</v>
      </c>
      <c r="T32" s="666" t="s">
        <v>14</v>
      </c>
      <c r="U32" s="667">
        <f t="shared" si="11"/>
        <v>100</v>
      </c>
      <c r="V32" s="666" t="s">
        <v>14</v>
      </c>
      <c r="W32" s="667">
        <f t="shared" si="12"/>
        <v>100</v>
      </c>
      <c r="X32" s="1264"/>
      <c r="Y32" s="3373"/>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73"/>
      <c r="Q33" s="1262"/>
      <c r="R33" s="666"/>
      <c r="S33" s="667"/>
      <c r="T33" s="666"/>
      <c r="U33" s="667"/>
      <c r="V33" s="666"/>
      <c r="W33" s="667"/>
      <c r="X33" s="1264"/>
      <c r="Y33" s="3373"/>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73"/>
      <c r="Q34" s="1262" t="str">
        <f t="shared" si="8"/>
        <v>土地级别</v>
      </c>
      <c r="R34" s="666" t="s">
        <v>14</v>
      </c>
      <c r="S34" s="667">
        <f t="shared" si="10"/>
        <v>100</v>
      </c>
      <c r="T34" s="666" t="s">
        <v>14</v>
      </c>
      <c r="U34" s="667">
        <f t="shared" si="11"/>
        <v>100</v>
      </c>
      <c r="V34" s="666" t="s">
        <v>14</v>
      </c>
      <c r="W34" s="667">
        <f t="shared" si="12"/>
        <v>100</v>
      </c>
      <c r="X34" s="1264"/>
      <c r="Y34" s="3373"/>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73"/>
      <c r="Q35" s="1262">
        <f t="shared" si="8"/>
        <v>111</v>
      </c>
      <c r="R35" s="666" t="s">
        <v>14</v>
      </c>
      <c r="S35" s="667">
        <f t="shared" si="10"/>
        <v>100</v>
      </c>
      <c r="T35" s="666" t="s">
        <v>14</v>
      </c>
      <c r="U35" s="667">
        <f t="shared" si="11"/>
        <v>100</v>
      </c>
      <c r="V35" s="666" t="s">
        <v>14</v>
      </c>
      <c r="W35" s="667">
        <f t="shared" si="12"/>
        <v>100</v>
      </c>
      <c r="X35" s="1264"/>
      <c r="Y35" s="3373"/>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48" t="s">
        <v>1696</v>
      </c>
      <c r="Q36" s="1262">
        <f t="shared" si="8"/>
        <v>111</v>
      </c>
      <c r="R36" s="666" t="s">
        <v>14</v>
      </c>
      <c r="S36" s="667">
        <f t="shared" si="10"/>
        <v>100</v>
      </c>
      <c r="T36" s="666" t="s">
        <v>14</v>
      </c>
      <c r="U36" s="667">
        <f t="shared" si="11"/>
        <v>100</v>
      </c>
      <c r="V36" s="666" t="s">
        <v>14</v>
      </c>
      <c r="W36" s="667">
        <f t="shared" si="12"/>
        <v>100</v>
      </c>
      <c r="X36" s="1264"/>
      <c r="Y36" s="3377"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77"/>
      <c r="Q37" s="1262">
        <f t="shared" si="8"/>
        <v>111</v>
      </c>
      <c r="R37" s="668" t="s">
        <v>14</v>
      </c>
      <c r="S37" s="669">
        <f t="shared" si="10"/>
        <v>100</v>
      </c>
      <c r="T37" s="668" t="s">
        <v>14</v>
      </c>
      <c r="U37" s="669">
        <f t="shared" si="11"/>
        <v>100</v>
      </c>
      <c r="V37" s="668" t="s">
        <v>14</v>
      </c>
      <c r="W37" s="669">
        <f t="shared" si="12"/>
        <v>100</v>
      </c>
      <c r="X37" s="670"/>
      <c r="Y37" s="3377"/>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77"/>
      <c r="Q38" s="1262" t="str">
        <f>B38</f>
        <v>宗地面积</v>
      </c>
      <c r="R38" s="666" t="s">
        <v>14</v>
      </c>
      <c r="S38" s="667" t="e">
        <f t="shared" si="10"/>
        <v>#N/A</v>
      </c>
      <c r="T38" s="666" t="s">
        <v>14</v>
      </c>
      <c r="U38" s="667" t="e">
        <f t="shared" si="11"/>
        <v>#N/A</v>
      </c>
      <c r="V38" s="666" t="s">
        <v>14</v>
      </c>
      <c r="W38" s="667" t="e">
        <f t="shared" si="12"/>
        <v>#N/A</v>
      </c>
      <c r="X38" s="1264"/>
      <c r="Y38" s="3377"/>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77"/>
      <c r="Q39" s="1262" t="str">
        <f t="shared" ref="Q39:Q45" si="14">B39</f>
        <v>宗地形状</v>
      </c>
      <c r="R39" s="666" t="s">
        <v>14</v>
      </c>
      <c r="S39" s="667">
        <f t="shared" si="10"/>
        <v>100</v>
      </c>
      <c r="T39" s="666" t="s">
        <v>14</v>
      </c>
      <c r="U39" s="667">
        <f t="shared" si="11"/>
        <v>100</v>
      </c>
      <c r="V39" s="666" t="s">
        <v>14</v>
      </c>
      <c r="W39" s="667">
        <f t="shared" si="12"/>
        <v>100</v>
      </c>
      <c r="X39" s="1264"/>
      <c r="Y39" s="3377"/>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77"/>
      <c r="Q40" s="1262" t="str">
        <f t="shared" si="14"/>
        <v>临街宽度及深度</v>
      </c>
      <c r="R40" s="666" t="s">
        <v>14</v>
      </c>
      <c r="S40" s="667">
        <f t="shared" si="10"/>
        <v>100</v>
      </c>
      <c r="T40" s="666" t="s">
        <v>14</v>
      </c>
      <c r="U40" s="667">
        <f t="shared" si="11"/>
        <v>100</v>
      </c>
      <c r="V40" s="666" t="s">
        <v>14</v>
      </c>
      <c r="W40" s="667">
        <f t="shared" si="12"/>
        <v>100</v>
      </c>
      <c r="X40" s="1264"/>
      <c r="Y40" s="3377"/>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77"/>
      <c r="Q41" s="1262" t="str">
        <f t="shared" si="14"/>
        <v>宗地开发程度</v>
      </c>
      <c r="R41" s="663" t="s">
        <v>14</v>
      </c>
      <c r="S41" s="664">
        <f t="shared" si="10"/>
        <v>100</v>
      </c>
      <c r="T41" s="663" t="s">
        <v>14</v>
      </c>
      <c r="U41" s="664">
        <f t="shared" si="11"/>
        <v>100</v>
      </c>
      <c r="V41" s="663" t="s">
        <v>14</v>
      </c>
      <c r="W41" s="664">
        <f t="shared" si="12"/>
        <v>100</v>
      </c>
      <c r="X41" s="665"/>
      <c r="Y41" s="3377"/>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77" t="s">
        <v>1696</v>
      </c>
      <c r="Q42" s="1262" t="str">
        <f t="shared" si="14"/>
        <v>工程地质条件</v>
      </c>
      <c r="R42" s="666" t="s">
        <v>14</v>
      </c>
      <c r="S42" s="667">
        <f t="shared" si="10"/>
        <v>100</v>
      </c>
      <c r="T42" s="666" t="s">
        <v>14</v>
      </c>
      <c r="U42" s="667">
        <f t="shared" si="11"/>
        <v>100</v>
      </c>
      <c r="V42" s="666" t="s">
        <v>14</v>
      </c>
      <c r="W42" s="667">
        <f t="shared" si="12"/>
        <v>100</v>
      </c>
      <c r="X42" s="1264"/>
      <c r="Y42" s="3377"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77"/>
      <c r="Q43" s="1262">
        <f t="shared" si="14"/>
        <v>111</v>
      </c>
      <c r="R43" s="666" t="s">
        <v>14</v>
      </c>
      <c r="S43" s="667">
        <f t="shared" si="10"/>
        <v>100</v>
      </c>
      <c r="T43" s="666" t="s">
        <v>14</v>
      </c>
      <c r="U43" s="667">
        <f t="shared" si="11"/>
        <v>100</v>
      </c>
      <c r="V43" s="666" t="s">
        <v>14</v>
      </c>
      <c r="W43" s="667">
        <f t="shared" si="12"/>
        <v>100</v>
      </c>
      <c r="X43" s="1264"/>
      <c r="Y43" s="3377"/>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77"/>
      <c r="Q44" s="1262">
        <f t="shared" si="14"/>
        <v>111</v>
      </c>
      <c r="R44" s="666" t="s">
        <v>14</v>
      </c>
      <c r="S44" s="667">
        <f t="shared" si="10"/>
        <v>100</v>
      </c>
      <c r="T44" s="666" t="s">
        <v>14</v>
      </c>
      <c r="U44" s="667">
        <f t="shared" si="11"/>
        <v>100</v>
      </c>
      <c r="V44" s="666" t="s">
        <v>14</v>
      </c>
      <c r="W44" s="667">
        <f t="shared" si="12"/>
        <v>100</v>
      </c>
      <c r="X44" s="1264"/>
      <c r="Y44" s="3377"/>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77"/>
      <c r="Q45" s="1262">
        <f t="shared" si="14"/>
        <v>111</v>
      </c>
      <c r="R45" s="668" t="s">
        <v>14</v>
      </c>
      <c r="S45" s="669">
        <f t="shared" si="10"/>
        <v>100</v>
      </c>
      <c r="T45" s="668" t="s">
        <v>14</v>
      </c>
      <c r="U45" s="669">
        <f t="shared" si="11"/>
        <v>100</v>
      </c>
      <c r="V45" s="668" t="s">
        <v>14</v>
      </c>
      <c r="W45" s="669">
        <f t="shared" si="12"/>
        <v>100</v>
      </c>
      <c r="X45" s="670"/>
      <c r="Y45" s="3377"/>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3"/>
      <c r="M46" s="2486"/>
      <c r="N46" s="2486"/>
      <c r="O46" s="2486"/>
      <c r="P46" s="3365" t="str">
        <f>A46</f>
        <v>成交单价</v>
      </c>
      <c r="Q46" s="3365"/>
      <c r="R46" s="3366">
        <f>E46</f>
        <v>0</v>
      </c>
      <c r="S46" s="3366"/>
      <c r="T46" s="3366">
        <f>G46</f>
        <v>0</v>
      </c>
      <c r="U46" s="3366"/>
      <c r="V46" s="3366">
        <f>I46</f>
        <v>0</v>
      </c>
      <c r="W46" s="3366"/>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3"/>
      <c r="M47" s="2486"/>
      <c r="N47" s="2486"/>
      <c r="O47" s="2486"/>
      <c r="P47" s="3365" t="str">
        <f>A47</f>
        <v>比较价值（元/平方米）</v>
      </c>
      <c r="Q47" s="3365"/>
      <c r="R47" s="3450" t="e">
        <f>ROUND(PRODUCT(R46,AA7:AA45),0)</f>
        <v>#DIV/0!</v>
      </c>
      <c r="S47" s="3450"/>
      <c r="T47" s="3450" t="e">
        <f>ROUND(PRODUCT(T46,AB7:AB45),0)</f>
        <v>#DIV/0!</v>
      </c>
      <c r="U47" s="3450"/>
      <c r="V47" s="3450" t="e">
        <f>ROUND(PRODUCT(V46,AC7:AC45),0)</f>
        <v>#DIV/0!</v>
      </c>
      <c r="W47" s="3450"/>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67" t="str">
        <f>A48</f>
        <v>估价对象XX用房的比较价值（楼面单价，元/平方米）</v>
      </c>
      <c r="Q48" s="3368"/>
      <c r="R48" s="3451" t="e">
        <f>ROUND(IF(D47="简单平均",AVERAGE(R47:W47),R47*F47+T47*H47+V47*J47),0)</f>
        <v>#DIV/0!</v>
      </c>
      <c r="S48" s="3451"/>
      <c r="T48" s="3451"/>
      <c r="U48" s="3451"/>
      <c r="V48" s="3451"/>
      <c r="W48" s="345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383" t="s">
        <v>1887</v>
      </c>
      <c r="H55" s="3452"/>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456.55</v>
      </c>
      <c r="F56" s="832" t="e">
        <f t="shared" ref="F56:F64" si="15">ROUND(B56*E56/10000,0)</f>
        <v>#DIV/0!</v>
      </c>
      <c r="G56" s="3379"/>
      <c r="H56" s="3365"/>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v>
      </c>
      <c r="D57" s="890">
        <v>0.25</v>
      </c>
      <c r="E57" s="613"/>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456.55</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2025-5-1</v>
      </c>
      <c r="D67" s="655">
        <f>EDATE(C67,-3)</f>
        <v>45689</v>
      </c>
      <c r="E67" s="655">
        <f>EDATE(D67,-3)</f>
        <v>45597</v>
      </c>
      <c r="F67" s="655">
        <f t="shared" ref="F67:O67" si="18">EDATE(E67,-3)</f>
        <v>45505</v>
      </c>
      <c r="G67" s="655">
        <f t="shared" si="18"/>
        <v>45413</v>
      </c>
      <c r="H67" s="655">
        <f t="shared" si="18"/>
        <v>45323</v>
      </c>
      <c r="I67" s="655">
        <f t="shared" si="18"/>
        <v>45231</v>
      </c>
      <c r="J67" s="655">
        <f t="shared" si="18"/>
        <v>45139</v>
      </c>
      <c r="K67" s="655">
        <f t="shared" si="18"/>
        <v>45047</v>
      </c>
      <c r="L67" s="655">
        <f t="shared" si="18"/>
        <v>44958</v>
      </c>
      <c r="M67" s="655">
        <f t="shared" si="18"/>
        <v>44866</v>
      </c>
      <c r="N67" s="655">
        <f t="shared" si="18"/>
        <v>44774</v>
      </c>
      <c r="O67" s="655">
        <f t="shared" si="18"/>
        <v>44682</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83" t="s">
        <v>1770</v>
      </c>
      <c r="D4" s="3384"/>
      <c r="E4" s="3385" t="s">
        <v>1771</v>
      </c>
      <c r="F4" s="3386"/>
      <c r="G4" s="3383" t="s">
        <v>1772</v>
      </c>
      <c r="H4" s="3384"/>
      <c r="I4" s="3383" t="s">
        <v>1773</v>
      </c>
      <c r="J4" s="3384"/>
      <c r="K4" s="537" t="s">
        <v>1774</v>
      </c>
      <c r="L4" s="2485"/>
      <c r="M4" s="2486"/>
      <c r="N4" s="2486"/>
      <c r="O4" s="2486"/>
      <c r="P4" s="3387" t="s">
        <v>1775</v>
      </c>
      <c r="Q4" s="3388"/>
      <c r="R4" s="3393" t="s">
        <v>1771</v>
      </c>
      <c r="S4" s="3394"/>
      <c r="T4" s="3393" t="s">
        <v>1772</v>
      </c>
      <c r="U4" s="3394"/>
      <c r="V4" s="3366" t="s">
        <v>1773</v>
      </c>
      <c r="W4" s="3366"/>
      <c r="X4" s="1264"/>
      <c r="Y4" s="3393" t="s">
        <v>1775</v>
      </c>
      <c r="Z4" s="3394"/>
      <c r="AA4" s="3380" t="s">
        <v>1771</v>
      </c>
      <c r="AB4" s="3381" t="s">
        <v>1772</v>
      </c>
      <c r="AC4" s="3380" t="s">
        <v>1773</v>
      </c>
    </row>
    <row r="5" spans="1:29" ht="15">
      <c r="A5" s="348"/>
      <c r="B5" s="349"/>
      <c r="C5" s="3406" t="s">
        <v>1673</v>
      </c>
      <c r="D5" s="3402"/>
      <c r="E5" s="3432" t="s">
        <v>1674</v>
      </c>
      <c r="F5" s="3410"/>
      <c r="G5" s="3406" t="s">
        <v>1675</v>
      </c>
      <c r="H5" s="3402"/>
      <c r="I5" s="3406" t="s">
        <v>1676</v>
      </c>
      <c r="J5" s="3402"/>
      <c r="K5" s="537"/>
      <c r="L5" s="2485"/>
      <c r="M5" s="2486"/>
      <c r="N5" s="2486"/>
      <c r="O5" s="2486"/>
      <c r="P5" s="3389"/>
      <c r="Q5" s="3390"/>
      <c r="R5" s="3395"/>
      <c r="S5" s="3396"/>
      <c r="T5" s="3395"/>
      <c r="U5" s="3396"/>
      <c r="V5" s="3366"/>
      <c r="W5" s="3366"/>
      <c r="X5" s="1264"/>
      <c r="Y5" s="3395"/>
      <c r="Z5" s="3396"/>
      <c r="AA5" s="3381"/>
      <c r="AB5" s="3381"/>
      <c r="AC5" s="3381"/>
    </row>
    <row r="6" spans="1:29" ht="15.75" thickBot="1">
      <c r="A6" s="350"/>
      <c r="B6" s="351"/>
      <c r="C6" s="3453" t="s">
        <v>1919</v>
      </c>
      <c r="D6" s="3454"/>
      <c r="E6" s="3455" t="s">
        <v>1919</v>
      </c>
      <c r="F6" s="3456"/>
      <c r="G6" s="3453" t="s">
        <v>1919</v>
      </c>
      <c r="H6" s="3454"/>
      <c r="I6" s="3453" t="s">
        <v>1919</v>
      </c>
      <c r="J6" s="3454"/>
      <c r="K6" s="537" t="s">
        <v>1678</v>
      </c>
      <c r="L6" s="2485"/>
      <c r="M6" s="2486"/>
      <c r="N6" s="2486"/>
      <c r="O6" s="2486"/>
      <c r="P6" s="3391"/>
      <c r="Q6" s="3392"/>
      <c r="R6" s="3395"/>
      <c r="S6" s="3396"/>
      <c r="T6" s="3397"/>
      <c r="U6" s="3398"/>
      <c r="V6" s="3366"/>
      <c r="W6" s="3366"/>
      <c r="X6" s="1264"/>
      <c r="Y6" s="3397"/>
      <c r="Z6" s="3398"/>
      <c r="AA6" s="3382"/>
      <c r="AB6" s="3382"/>
      <c r="AC6" s="3382"/>
    </row>
    <row r="7" spans="1:29" s="102" customFormat="1" ht="15.75" thickBot="1">
      <c r="A7" s="352" t="s">
        <v>1679</v>
      </c>
      <c r="B7" s="353"/>
      <c r="C7" s="354">
        <f>'数据-取费表'!B2</f>
        <v>45793</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403" t="s">
        <v>1680</v>
      </c>
      <c r="Q7" s="3405"/>
      <c r="R7" s="663" t="s">
        <v>14</v>
      </c>
      <c r="S7" s="664">
        <f t="shared" ref="S7:S15" si="0">F7</f>
        <v>0</v>
      </c>
      <c r="T7" s="663" t="s">
        <v>14</v>
      </c>
      <c r="U7" s="664">
        <f t="shared" ref="U7:U15" si="1">H7</f>
        <v>0</v>
      </c>
      <c r="V7" s="663" t="s">
        <v>14</v>
      </c>
      <c r="W7" s="664">
        <f t="shared" ref="W7:W15" si="2">J7</f>
        <v>0</v>
      </c>
      <c r="X7" s="665"/>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3" t="s">
        <v>1683</v>
      </c>
      <c r="Q8" s="3404"/>
      <c r="R8" s="663" t="s">
        <v>14</v>
      </c>
      <c r="S8" s="664">
        <f t="shared" si="0"/>
        <v>0</v>
      </c>
      <c r="T8" s="663" t="s">
        <v>14</v>
      </c>
      <c r="U8" s="664">
        <f t="shared" si="1"/>
        <v>0</v>
      </c>
      <c r="V8" s="663" t="s">
        <v>14</v>
      </c>
      <c r="W8" s="664">
        <f t="shared" si="2"/>
        <v>0</v>
      </c>
      <c r="X8" s="665"/>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65" t="s">
        <v>1686</v>
      </c>
      <c r="Q9" s="530" t="str">
        <f t="shared" ref="Q9:Q15" si="6">B9</f>
        <v>用途</v>
      </c>
      <c r="R9" s="663" t="s">
        <v>14</v>
      </c>
      <c r="S9" s="664">
        <f t="shared" si="0"/>
        <v>100</v>
      </c>
      <c r="T9" s="663" t="s">
        <v>14</v>
      </c>
      <c r="U9" s="664">
        <f t="shared" si="1"/>
        <v>100</v>
      </c>
      <c r="V9" s="663" t="s">
        <v>14</v>
      </c>
      <c r="W9" s="664">
        <f t="shared" si="2"/>
        <v>100</v>
      </c>
      <c r="X9" s="665"/>
      <c r="Y9" s="326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165</v>
      </c>
      <c r="G10" s="371"/>
      <c r="H10" s="119">
        <f>ROUND(100/'数据-取费表'!G16,0)</f>
        <v>165</v>
      </c>
      <c r="I10" s="371"/>
      <c r="J10" s="119">
        <f>ROUND(100/'数据-取费表'!G16,0)</f>
        <v>165</v>
      </c>
      <c r="K10" s="591"/>
      <c r="L10" s="2488"/>
      <c r="M10" s="2489"/>
      <c r="N10" s="2489"/>
      <c r="O10" s="2540"/>
      <c r="P10" s="3365"/>
      <c r="Q10" s="530" t="str">
        <f t="shared" si="6"/>
        <v>土地使用年限（年）</v>
      </c>
      <c r="R10" s="663" t="s">
        <v>14</v>
      </c>
      <c r="S10" s="664">
        <f t="shared" si="0"/>
        <v>165</v>
      </c>
      <c r="T10" s="663" t="s">
        <v>14</v>
      </c>
      <c r="U10" s="664">
        <f t="shared" si="1"/>
        <v>165</v>
      </c>
      <c r="V10" s="663" t="s">
        <v>14</v>
      </c>
      <c r="W10" s="664">
        <f t="shared" si="2"/>
        <v>165</v>
      </c>
      <c r="X10" s="665"/>
      <c r="Y10" s="3264"/>
      <c r="Z10" s="50" t="str">
        <f t="shared" si="7"/>
        <v>土地使用年限（年）</v>
      </c>
      <c r="AA10" s="50">
        <f t="shared" si="3"/>
        <v>0.60606060606060608</v>
      </c>
      <c r="AB10" s="50">
        <f t="shared" si="4"/>
        <v>0.60606060606060608</v>
      </c>
      <c r="AC10" s="50">
        <f t="shared" si="5"/>
        <v>0.60606060606060608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65"/>
      <c r="Q11" s="530" t="str">
        <f t="shared" si="6"/>
        <v>容积率</v>
      </c>
      <c r="R11" s="663" t="s">
        <v>14</v>
      </c>
      <c r="S11" s="664" t="e">
        <f t="shared" si="0"/>
        <v>#N/A</v>
      </c>
      <c r="T11" s="663" t="s">
        <v>14</v>
      </c>
      <c r="U11" s="664" t="e">
        <f t="shared" si="1"/>
        <v>#N/A</v>
      </c>
      <c r="V11" s="663" t="s">
        <v>14</v>
      </c>
      <c r="W11" s="664" t="e">
        <f t="shared" si="2"/>
        <v>#N/A</v>
      </c>
      <c r="X11" s="665"/>
      <c r="Y11" s="326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365"/>
      <c r="Q12" s="530">
        <f t="shared" si="6"/>
        <v>111</v>
      </c>
      <c r="R12" s="663" t="s">
        <v>14</v>
      </c>
      <c r="S12" s="664">
        <f t="shared" si="0"/>
        <v>100</v>
      </c>
      <c r="T12" s="663" t="s">
        <v>14</v>
      </c>
      <c r="U12" s="664">
        <f t="shared" si="1"/>
        <v>100</v>
      </c>
      <c r="V12" s="663" t="s">
        <v>14</v>
      </c>
      <c r="W12" s="664">
        <f t="shared" si="2"/>
        <v>100</v>
      </c>
      <c r="X12" s="665"/>
      <c r="Y12" s="326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65"/>
      <c r="Q13" s="530">
        <f t="shared" si="6"/>
        <v>111</v>
      </c>
      <c r="R13" s="663" t="s">
        <v>14</v>
      </c>
      <c r="S13" s="664">
        <f t="shared" si="0"/>
        <v>100</v>
      </c>
      <c r="T13" s="663" t="s">
        <v>14</v>
      </c>
      <c r="U13" s="664">
        <f t="shared" si="1"/>
        <v>100</v>
      </c>
      <c r="V13" s="663" t="s">
        <v>14</v>
      </c>
      <c r="W13" s="664">
        <f t="shared" si="2"/>
        <v>100</v>
      </c>
      <c r="X13" s="665"/>
      <c r="Y13" s="326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65"/>
      <c r="Q14" s="530">
        <f t="shared" si="6"/>
        <v>111</v>
      </c>
      <c r="R14" s="663" t="s">
        <v>14</v>
      </c>
      <c r="S14" s="664">
        <f t="shared" si="0"/>
        <v>100</v>
      </c>
      <c r="T14" s="663" t="s">
        <v>14</v>
      </c>
      <c r="U14" s="664">
        <f t="shared" si="1"/>
        <v>100</v>
      </c>
      <c r="V14" s="663" t="s">
        <v>14</v>
      </c>
      <c r="W14" s="664">
        <f t="shared" si="2"/>
        <v>100</v>
      </c>
      <c r="X14" s="665"/>
      <c r="Y14" s="3264"/>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72" t="s">
        <v>1691</v>
      </c>
      <c r="Q15" s="1262" t="str">
        <f t="shared" si="6"/>
        <v>产业集聚程度</v>
      </c>
      <c r="R15" s="666" t="s">
        <v>14</v>
      </c>
      <c r="S15" s="667">
        <f t="shared" si="0"/>
        <v>100</v>
      </c>
      <c r="T15" s="666" t="s">
        <v>14</v>
      </c>
      <c r="U15" s="667">
        <f t="shared" si="1"/>
        <v>100</v>
      </c>
      <c r="V15" s="666" t="s">
        <v>14</v>
      </c>
      <c r="W15" s="667">
        <f t="shared" si="2"/>
        <v>100</v>
      </c>
      <c r="X15" s="1264"/>
      <c r="Y15" s="3372"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373"/>
      <c r="Q16" s="1262"/>
      <c r="R16" s="666"/>
      <c r="S16" s="667"/>
      <c r="T16" s="666"/>
      <c r="U16" s="667"/>
      <c r="V16" s="666"/>
      <c r="W16" s="667"/>
      <c r="X16" s="1264"/>
      <c r="Y16" s="3373"/>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373"/>
      <c r="Q18" s="1262"/>
      <c r="R18" s="666"/>
      <c r="S18" s="667"/>
      <c r="T18" s="666"/>
      <c r="U18" s="667"/>
      <c r="V18" s="666"/>
      <c r="W18" s="667"/>
      <c r="X18" s="1264"/>
      <c r="Y18" s="3373"/>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73"/>
      <c r="Q19" s="1262" t="str">
        <f t="shared" ref="Q19:Q33" si="8">B19</f>
        <v>区域土地利用方向</v>
      </c>
      <c r="R19" s="666" t="s">
        <v>14</v>
      </c>
      <c r="S19" s="667">
        <f>F19</f>
        <v>100</v>
      </c>
      <c r="T19" s="666" t="s">
        <v>14</v>
      </c>
      <c r="U19" s="667">
        <f>H19</f>
        <v>100</v>
      </c>
      <c r="V19" s="666" t="s">
        <v>14</v>
      </c>
      <c r="W19" s="667">
        <f>J19</f>
        <v>100</v>
      </c>
      <c r="X19" s="1264"/>
      <c r="Y19" s="3373"/>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1"/>
      <c r="M20" s="2486"/>
      <c r="N20" s="2486"/>
      <c r="O20" s="2541"/>
      <c r="P20" s="3373"/>
      <c r="Q20" s="1262"/>
      <c r="R20" s="666"/>
      <c r="S20" s="667"/>
      <c r="T20" s="666"/>
      <c r="U20" s="667"/>
      <c r="V20" s="666"/>
      <c r="W20" s="667"/>
      <c r="X20" s="1264"/>
      <c r="Y20" s="3373"/>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73"/>
      <c r="Q21" s="1262" t="str">
        <f t="shared" si="8"/>
        <v>环境状况</v>
      </c>
      <c r="R21" s="666" t="s">
        <v>14</v>
      </c>
      <c r="S21" s="667">
        <f>F21</f>
        <v>100</v>
      </c>
      <c r="T21" s="666" t="s">
        <v>14</v>
      </c>
      <c r="U21" s="667">
        <f>H21</f>
        <v>100</v>
      </c>
      <c r="V21" s="666" t="s">
        <v>14</v>
      </c>
      <c r="W21" s="667">
        <f>J21</f>
        <v>100</v>
      </c>
      <c r="X21" s="1264"/>
      <c r="Y21" s="3373"/>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373"/>
      <c r="Q22" s="1262"/>
      <c r="R22" s="666"/>
      <c r="S22" s="667"/>
      <c r="T22" s="666"/>
      <c r="U22" s="667"/>
      <c r="V22" s="666"/>
      <c r="W22" s="667"/>
      <c r="X22" s="1264"/>
      <c r="Y22" s="3373"/>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373"/>
      <c r="Q23" s="530" t="str">
        <f t="shared" si="8"/>
        <v>公共配套设施</v>
      </c>
      <c r="R23" s="663" t="s">
        <v>14</v>
      </c>
      <c r="S23" s="664">
        <f>F23</f>
        <v>100</v>
      </c>
      <c r="T23" s="663" t="s">
        <v>14</v>
      </c>
      <c r="U23" s="664">
        <f>H23</f>
        <v>100</v>
      </c>
      <c r="V23" s="663" t="s">
        <v>14</v>
      </c>
      <c r="W23" s="664">
        <f>J23</f>
        <v>100</v>
      </c>
      <c r="X23" s="665"/>
      <c r="Y23" s="3373"/>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373"/>
      <c r="Q24" s="530"/>
      <c r="R24" s="663"/>
      <c r="S24" s="664"/>
      <c r="T24" s="663"/>
      <c r="U24" s="664"/>
      <c r="V24" s="663"/>
      <c r="W24" s="664"/>
      <c r="X24" s="665"/>
      <c r="Y24" s="3373"/>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373"/>
      <c r="Q25" s="530" t="str">
        <f t="shared" ref="Q25" si="9">B25</f>
        <v>基础设施水平</v>
      </c>
      <c r="R25" s="663" t="s">
        <v>14</v>
      </c>
      <c r="S25" s="664">
        <f>F25</f>
        <v>100</v>
      </c>
      <c r="T25" s="663" t="s">
        <v>14</v>
      </c>
      <c r="U25" s="664">
        <f>H25</f>
        <v>100</v>
      </c>
      <c r="V25" s="663" t="s">
        <v>14</v>
      </c>
      <c r="W25" s="664">
        <f>J25</f>
        <v>100</v>
      </c>
      <c r="X25" s="665"/>
      <c r="Y25" s="3373"/>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373"/>
      <c r="Q26" s="530"/>
      <c r="R26" s="663"/>
      <c r="S26" s="664"/>
      <c r="T26" s="663"/>
      <c r="U26" s="664"/>
      <c r="V26" s="663"/>
      <c r="W26" s="664"/>
      <c r="X26" s="665"/>
      <c r="Y26" s="3373"/>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7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3"/>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73"/>
      <c r="Q28" s="1262" t="str">
        <f t="shared" si="8"/>
        <v>毗邻道路的类型与等级</v>
      </c>
      <c r="R28" s="666" t="s">
        <v>14</v>
      </c>
      <c r="S28" s="667">
        <f t="shared" si="10"/>
        <v>100</v>
      </c>
      <c r="T28" s="666" t="s">
        <v>14</v>
      </c>
      <c r="U28" s="667">
        <f t="shared" si="11"/>
        <v>100</v>
      </c>
      <c r="V28" s="666" t="s">
        <v>14</v>
      </c>
      <c r="W28" s="667">
        <f t="shared" si="12"/>
        <v>100</v>
      </c>
      <c r="X28" s="1264"/>
      <c r="Y28" s="3373"/>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73"/>
      <c r="Q29" s="1262"/>
      <c r="R29" s="666"/>
      <c r="S29" s="667"/>
      <c r="T29" s="666"/>
      <c r="U29" s="667"/>
      <c r="V29" s="666"/>
      <c r="W29" s="667"/>
      <c r="X29" s="1264"/>
      <c r="Y29" s="3373"/>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73"/>
      <c r="Q30" s="1262" t="str">
        <f t="shared" si="8"/>
        <v>土地级别</v>
      </c>
      <c r="R30" s="666" t="s">
        <v>14</v>
      </c>
      <c r="S30" s="667">
        <f t="shared" si="10"/>
        <v>100</v>
      </c>
      <c r="T30" s="666" t="s">
        <v>14</v>
      </c>
      <c r="U30" s="667">
        <f t="shared" si="11"/>
        <v>100</v>
      </c>
      <c r="V30" s="666" t="s">
        <v>14</v>
      </c>
      <c r="W30" s="667">
        <f t="shared" si="12"/>
        <v>100</v>
      </c>
      <c r="X30" s="1264"/>
      <c r="Y30" s="3373"/>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3"/>
      <c r="Q31" s="1262">
        <f t="shared" si="8"/>
        <v>111</v>
      </c>
      <c r="R31" s="666" t="s">
        <v>14</v>
      </c>
      <c r="S31" s="667">
        <f t="shared" si="10"/>
        <v>100</v>
      </c>
      <c r="T31" s="666" t="s">
        <v>14</v>
      </c>
      <c r="U31" s="667">
        <f t="shared" si="11"/>
        <v>100</v>
      </c>
      <c r="V31" s="666" t="s">
        <v>14</v>
      </c>
      <c r="W31" s="667">
        <f t="shared" si="12"/>
        <v>100</v>
      </c>
      <c r="X31" s="1264"/>
      <c r="Y31" s="3373"/>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48" t="s">
        <v>1696</v>
      </c>
      <c r="Q32" s="1262">
        <f t="shared" si="8"/>
        <v>111</v>
      </c>
      <c r="R32" s="666" t="s">
        <v>14</v>
      </c>
      <c r="S32" s="667">
        <f t="shared" si="10"/>
        <v>100</v>
      </c>
      <c r="T32" s="666" t="s">
        <v>14</v>
      </c>
      <c r="U32" s="667">
        <f t="shared" si="11"/>
        <v>100</v>
      </c>
      <c r="V32" s="666" t="s">
        <v>14</v>
      </c>
      <c r="W32" s="667">
        <f t="shared" si="12"/>
        <v>100</v>
      </c>
      <c r="X32" s="1264"/>
      <c r="Y32" s="3377"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77"/>
      <c r="Q33" s="1262">
        <f t="shared" si="8"/>
        <v>111</v>
      </c>
      <c r="R33" s="668" t="s">
        <v>14</v>
      </c>
      <c r="S33" s="669">
        <f t="shared" si="10"/>
        <v>100</v>
      </c>
      <c r="T33" s="668" t="s">
        <v>14</v>
      </c>
      <c r="U33" s="669">
        <f t="shared" si="11"/>
        <v>100</v>
      </c>
      <c r="V33" s="668" t="s">
        <v>14</v>
      </c>
      <c r="W33" s="669">
        <f t="shared" si="12"/>
        <v>100</v>
      </c>
      <c r="X33" s="670"/>
      <c r="Y33" s="3377"/>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77"/>
      <c r="Q34" s="1262" t="str">
        <f>B34</f>
        <v>宗地面积</v>
      </c>
      <c r="R34" s="666" t="s">
        <v>14</v>
      </c>
      <c r="S34" s="667" t="e">
        <f t="shared" si="10"/>
        <v>#N/A</v>
      </c>
      <c r="T34" s="666" t="s">
        <v>14</v>
      </c>
      <c r="U34" s="667" t="e">
        <f t="shared" si="11"/>
        <v>#N/A</v>
      </c>
      <c r="V34" s="666" t="s">
        <v>14</v>
      </c>
      <c r="W34" s="667" t="e">
        <f t="shared" si="12"/>
        <v>#N/A</v>
      </c>
      <c r="X34" s="1264"/>
      <c r="Y34" s="3377"/>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77"/>
      <c r="Q35" s="1262" t="str">
        <f t="shared" ref="Q35:Q40" si="14">B35</f>
        <v>宗地形状</v>
      </c>
      <c r="R35" s="666" t="s">
        <v>14</v>
      </c>
      <c r="S35" s="667">
        <f t="shared" si="10"/>
        <v>100</v>
      </c>
      <c r="T35" s="666" t="s">
        <v>14</v>
      </c>
      <c r="U35" s="667">
        <f t="shared" si="11"/>
        <v>100</v>
      </c>
      <c r="V35" s="666" t="s">
        <v>14</v>
      </c>
      <c r="W35" s="667">
        <f t="shared" si="12"/>
        <v>100</v>
      </c>
      <c r="X35" s="1264"/>
      <c r="Y35" s="3377"/>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77"/>
      <c r="Q36" s="1262" t="str">
        <f t="shared" si="14"/>
        <v>宗地开发程度</v>
      </c>
      <c r="R36" s="663" t="s">
        <v>14</v>
      </c>
      <c r="S36" s="664">
        <f t="shared" si="10"/>
        <v>100</v>
      </c>
      <c r="T36" s="663" t="s">
        <v>14</v>
      </c>
      <c r="U36" s="664">
        <f t="shared" si="11"/>
        <v>100</v>
      </c>
      <c r="V36" s="663" t="s">
        <v>14</v>
      </c>
      <c r="W36" s="664">
        <f t="shared" si="12"/>
        <v>100</v>
      </c>
      <c r="X36" s="665"/>
      <c r="Y36" s="3377"/>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77" t="s">
        <v>1696</v>
      </c>
      <c r="Q37" s="1262" t="str">
        <f t="shared" si="14"/>
        <v>工程地质条件</v>
      </c>
      <c r="R37" s="666" t="s">
        <v>14</v>
      </c>
      <c r="S37" s="667">
        <f t="shared" si="10"/>
        <v>100</v>
      </c>
      <c r="T37" s="666" t="s">
        <v>14</v>
      </c>
      <c r="U37" s="667">
        <f t="shared" si="11"/>
        <v>100</v>
      </c>
      <c r="V37" s="666" t="s">
        <v>14</v>
      </c>
      <c r="W37" s="667">
        <f t="shared" si="12"/>
        <v>100</v>
      </c>
      <c r="X37" s="1264"/>
      <c r="Y37" s="3377"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77"/>
      <c r="Q38" s="1262">
        <f t="shared" si="14"/>
        <v>111</v>
      </c>
      <c r="R38" s="666" t="s">
        <v>14</v>
      </c>
      <c r="S38" s="667">
        <f t="shared" si="10"/>
        <v>100</v>
      </c>
      <c r="T38" s="666" t="s">
        <v>14</v>
      </c>
      <c r="U38" s="667">
        <f t="shared" si="11"/>
        <v>100</v>
      </c>
      <c r="V38" s="666" t="s">
        <v>14</v>
      </c>
      <c r="W38" s="667">
        <f t="shared" si="12"/>
        <v>100</v>
      </c>
      <c r="X38" s="1264"/>
      <c r="Y38" s="3377"/>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77"/>
      <c r="Q39" s="1262">
        <f t="shared" si="14"/>
        <v>111</v>
      </c>
      <c r="R39" s="666" t="s">
        <v>14</v>
      </c>
      <c r="S39" s="667">
        <f t="shared" si="10"/>
        <v>100</v>
      </c>
      <c r="T39" s="666" t="s">
        <v>14</v>
      </c>
      <c r="U39" s="667">
        <f t="shared" si="11"/>
        <v>100</v>
      </c>
      <c r="V39" s="666" t="s">
        <v>14</v>
      </c>
      <c r="W39" s="667">
        <f t="shared" si="12"/>
        <v>100</v>
      </c>
      <c r="X39" s="1264"/>
      <c r="Y39" s="3377"/>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77"/>
      <c r="Q40" s="1262">
        <f t="shared" si="14"/>
        <v>111</v>
      </c>
      <c r="R40" s="668" t="s">
        <v>14</v>
      </c>
      <c r="S40" s="669">
        <f t="shared" si="10"/>
        <v>100</v>
      </c>
      <c r="T40" s="668" t="s">
        <v>14</v>
      </c>
      <c r="U40" s="669">
        <f t="shared" si="11"/>
        <v>100</v>
      </c>
      <c r="V40" s="668" t="s">
        <v>14</v>
      </c>
      <c r="W40" s="669">
        <f t="shared" si="12"/>
        <v>100</v>
      </c>
      <c r="X40" s="670"/>
      <c r="Y40" s="3377"/>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3"/>
      <c r="M41" s="2486"/>
      <c r="N41" s="2486"/>
      <c r="O41" s="2486"/>
      <c r="P41" s="3365" t="str">
        <f>A41</f>
        <v>成交单价</v>
      </c>
      <c r="Q41" s="3365"/>
      <c r="R41" s="3366">
        <f>E41</f>
        <v>0</v>
      </c>
      <c r="S41" s="3366"/>
      <c r="T41" s="3366">
        <f>G41</f>
        <v>0</v>
      </c>
      <c r="U41" s="3366"/>
      <c r="V41" s="3366">
        <f>I41</f>
        <v>0</v>
      </c>
      <c r="W41" s="3366"/>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3"/>
      <c r="M42" s="2486"/>
      <c r="N42" s="2486"/>
      <c r="O42" s="2486"/>
      <c r="P42" s="3365" t="str">
        <f>A42</f>
        <v>比较价值（元/平方米）</v>
      </c>
      <c r="Q42" s="3365"/>
      <c r="R42" s="3450" t="e">
        <f>ROUND(PRODUCT(R41,AA7:AA40),0)</f>
        <v>#DIV/0!</v>
      </c>
      <c r="S42" s="3450"/>
      <c r="T42" s="3450" t="e">
        <f>ROUND(PRODUCT(T41,AB7:AB40),0)</f>
        <v>#DIV/0!</v>
      </c>
      <c r="U42" s="3450"/>
      <c r="V42" s="3450" t="e">
        <f>ROUND(PRODUCT(V41,AC7:AC40),0)</f>
        <v>#DIV/0!</v>
      </c>
      <c r="W42" s="3450"/>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67" t="str">
        <f>A43</f>
        <v>估价对象XX用房的比较价值（楼面单价，元/平方米）</v>
      </c>
      <c r="Q43" s="3368"/>
      <c r="R43" s="3451" t="e">
        <f>ROUND(IF(D42="简单平均",AVERAGE(R42:W42),R42*F42+T42*H42+V42*J42),0)</f>
        <v>#DIV/0!</v>
      </c>
      <c r="S43" s="3451"/>
      <c r="T43" s="3451"/>
      <c r="U43" s="3451"/>
      <c r="V43" s="3451"/>
      <c r="W43" s="345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383" t="s">
        <v>1887</v>
      </c>
      <c r="H50" s="3452"/>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456.55</v>
      </c>
      <c r="F51" s="610" t="e">
        <f t="shared" ref="F51:F60" si="15">ROUND(B51*E51/10000,0)</f>
        <v>#DIV/0!</v>
      </c>
      <c r="G51" s="3379"/>
      <c r="H51" s="3365"/>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v>
      </c>
      <c r="D52" s="890">
        <v>0.25</v>
      </c>
      <c r="E52" s="613"/>
      <c r="F52" s="610"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2025-5-1</v>
      </c>
      <c r="D63" s="655">
        <f>EDATE(C63,-3)</f>
        <v>45689</v>
      </c>
      <c r="E63" s="655">
        <f>EDATE(D63,-3)</f>
        <v>45597</v>
      </c>
      <c r="F63" s="655">
        <f t="shared" ref="F63:O63" si="18">EDATE(E63,-3)</f>
        <v>45505</v>
      </c>
      <c r="G63" s="655">
        <f t="shared" si="18"/>
        <v>45413</v>
      </c>
      <c r="H63" s="655">
        <f t="shared" si="18"/>
        <v>45323</v>
      </c>
      <c r="I63" s="655">
        <f t="shared" si="18"/>
        <v>45231</v>
      </c>
      <c r="J63" s="655">
        <f t="shared" si="18"/>
        <v>45139</v>
      </c>
      <c r="K63" s="655">
        <f t="shared" si="18"/>
        <v>45047</v>
      </c>
      <c r="L63" s="655">
        <f t="shared" si="18"/>
        <v>44958</v>
      </c>
      <c r="M63" s="655">
        <f t="shared" si="18"/>
        <v>44866</v>
      </c>
      <c r="N63" s="655">
        <f t="shared" si="18"/>
        <v>44774</v>
      </c>
      <c r="O63" s="655">
        <f t="shared" si="18"/>
        <v>44682</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0" t="s">
        <v>2084</v>
      </c>
      <c r="D1" s="3461"/>
      <c r="E1" s="3461"/>
      <c r="F1" s="3461"/>
      <c r="G1" s="3461"/>
      <c r="H1" s="3461"/>
      <c r="I1" s="3461"/>
      <c r="J1" s="3461"/>
      <c r="K1" s="3461"/>
      <c r="L1" s="3461"/>
      <c r="M1" s="3461"/>
      <c r="N1" s="3461"/>
      <c r="O1" s="3461"/>
      <c r="P1" s="3461"/>
      <c r="Q1" s="3461"/>
      <c r="R1" s="3461"/>
      <c r="S1" s="3462"/>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467" t="s">
        <v>1960</v>
      </c>
      <c r="X8" s="346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46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46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3249</v>
      </c>
      <c r="E19" s="3042"/>
      <c r="F19" s="3043" t="s">
        <v>3252</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4" t="s">
        <v>3254</v>
      </c>
      <c r="B20" s="159" t="s">
        <v>1994</v>
      </c>
      <c r="C20" s="3030" t="e">
        <f>ROUND(IF(F21="与级别开发程度一致",0,(G21-E21)/C21),0)</f>
        <v>#DIV/0!</v>
      </c>
      <c r="D20" s="3045" t="s">
        <v>1998</v>
      </c>
      <c r="E20" s="3046"/>
      <c r="F20" s="3480" t="s">
        <v>1995</v>
      </c>
      <c r="G20" s="3481"/>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15" thickBot="1">
      <c r="A21" s="3475"/>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45793</v>
      </c>
      <c r="H23" s="3047" t="s">
        <v>3256</v>
      </c>
      <c r="I23" s="3048" t="str">
        <f>IF(H23="季度增幅（自定义）",SUMIF(N25:N28,E2,O25:O28),"")</f>
        <v/>
      </c>
      <c r="J23" s="3140" t="s">
        <v>3255</v>
      </c>
      <c r="K23" s="1060"/>
      <c r="L23" s="1896" t="s">
        <v>2004</v>
      </c>
      <c r="M23" s="1240">
        <f>ROUND(SUMIF(地价!B2:G2,E2,地价!B16:G16),0)</f>
        <v>0</v>
      </c>
      <c r="N23" s="1897" t="s">
        <v>2005</v>
      </c>
      <c r="O23" s="718">
        <f>ROUNDDOWN(DATEDIF(E23,G23,"M")/3,0)</f>
        <v>17</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3335</v>
      </c>
      <c r="C25" s="461">
        <f>IF(B25="容积率修正",IF(G3&lt;10,D26,J26),C27)</f>
        <v>0</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3258</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4" t="s">
        <v>1936</v>
      </c>
      <c r="M30" s="3055" t="s">
        <v>1990</v>
      </c>
      <c r="N30" s="3055" t="s">
        <v>1991</v>
      </c>
      <c r="O30" s="3055" t="s">
        <v>1992</v>
      </c>
      <c r="P30" s="3055" t="s">
        <v>1993</v>
      </c>
      <c r="Q30" s="3058"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49" t="s">
        <v>3260</v>
      </c>
      <c r="G33" s="1940"/>
      <c r="H33" s="1940"/>
      <c r="I33" s="1940"/>
      <c r="J33" s="1941"/>
      <c r="K33" s="1055"/>
      <c r="L33" s="3052" t="s">
        <v>3263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2" t="s">
        <v>3264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8"/>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9"/>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9"/>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1"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3269</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3269</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9" t="s">
        <v>3269</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36">
      <c r="A85" s="3069" t="s">
        <v>3270</v>
      </c>
      <c r="B85" s="1261">
        <f>估价对象房地状况!G17</f>
        <v>0</v>
      </c>
      <c r="C85" s="1886"/>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76" t="s">
        <v>3294</v>
      </c>
      <c r="B103" s="3476"/>
      <c r="C103" s="3476"/>
      <c r="D103" s="3476"/>
      <c r="E103" s="3476"/>
      <c r="F103" s="3476"/>
      <c r="G103" s="3476"/>
      <c r="H103" s="3476"/>
      <c r="I103" s="3476"/>
      <c r="J103" s="3476"/>
      <c r="K103" s="1666"/>
      <c r="L103" s="1666"/>
      <c r="M103" s="1666"/>
      <c r="N103" s="1666"/>
    </row>
    <row r="104" spans="1:14">
      <c r="A104" s="3477" t="s">
        <v>3295</v>
      </c>
      <c r="B104" s="3477" t="s">
        <v>3296</v>
      </c>
      <c r="C104" s="3089" t="s">
        <v>3297</v>
      </c>
      <c r="D104" s="3090"/>
      <c r="E104" s="3090"/>
      <c r="F104" s="3090"/>
      <c r="G104" s="3090"/>
      <c r="H104" s="3090"/>
      <c r="I104" s="3090"/>
      <c r="J104" s="3091"/>
      <c r="K104" s="3092"/>
      <c r="L104" s="3092"/>
      <c r="M104" s="3092"/>
      <c r="N104" s="3092"/>
    </row>
    <row r="105" spans="1:14">
      <c r="A105" s="3477"/>
      <c r="B105" s="347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6" t="s">
        <v>3311</v>
      </c>
      <c r="B113" s="3466"/>
      <c r="C113" s="3466"/>
      <c r="D113" s="3466"/>
      <c r="E113" s="3466"/>
      <c r="F113" s="3466"/>
      <c r="G113" s="3466"/>
      <c r="H113" s="3466"/>
      <c r="I113" s="3466"/>
      <c r="J113" s="346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1" t="s">
        <v>2607</v>
      </c>
      <c r="B20" s="3486" t="s">
        <v>2628</v>
      </c>
      <c r="C20" s="2841" t="s">
        <v>2439</v>
      </c>
      <c r="D20" s="2842"/>
      <c r="E20" s="2843">
        <v>1</v>
      </c>
      <c r="F20" s="2844" t="s">
        <v>2440</v>
      </c>
      <c r="G20" s="2844"/>
    </row>
    <row r="21" spans="1:13" ht="19.5" customHeight="1">
      <c r="A21" s="3492"/>
      <c r="B21" s="3485"/>
      <c r="C21" s="2845" t="s">
        <v>2441</v>
      </c>
      <c r="D21" s="2846"/>
      <c r="E21" s="2847">
        <v>1</v>
      </c>
      <c r="F21" s="2844" t="s">
        <v>2442</v>
      </c>
      <c r="G21" s="2844"/>
    </row>
    <row r="22" spans="1:13" ht="19.5" customHeight="1">
      <c r="A22" s="3492"/>
      <c r="B22" s="3485"/>
      <c r="C22" s="2845" t="s">
        <v>2443</v>
      </c>
      <c r="D22" s="2846"/>
      <c r="E22" s="2847">
        <v>0.9</v>
      </c>
      <c r="F22" s="2844" t="s">
        <v>2444</v>
      </c>
      <c r="G22" s="2844"/>
    </row>
    <row r="23" spans="1:13" ht="19.5" customHeight="1">
      <c r="A23" s="3492"/>
      <c r="B23" s="3485"/>
      <c r="C23" s="2845" t="s">
        <v>2445</v>
      </c>
      <c r="D23" s="2846"/>
      <c r="E23" s="2847">
        <v>0.9</v>
      </c>
      <c r="F23" s="2844" t="s">
        <v>2446</v>
      </c>
      <c r="G23" s="2844"/>
    </row>
    <row r="24" spans="1:13" ht="19.5" customHeight="1">
      <c r="A24" s="3492"/>
      <c r="B24" s="3485"/>
      <c r="C24" s="2845" t="s">
        <v>2447</v>
      </c>
      <c r="D24" s="2846"/>
      <c r="E24" s="2847">
        <v>0.8</v>
      </c>
      <c r="F24" s="2844" t="s">
        <v>2448</v>
      </c>
      <c r="G24" s="2844"/>
    </row>
    <row r="25" spans="1:13" ht="19.5" customHeight="1" thickBot="1">
      <c r="A25" s="3493"/>
      <c r="B25" s="348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8" t="s">
        <v>2631</v>
      </c>
      <c r="B27" s="3486" t="s">
        <v>2612</v>
      </c>
      <c r="C27" s="2841" t="s">
        <v>2452</v>
      </c>
      <c r="D27" s="2842"/>
      <c r="E27" s="2843">
        <v>1</v>
      </c>
      <c r="F27" s="2844" t="s">
        <v>2453</v>
      </c>
      <c r="G27" s="2844"/>
    </row>
    <row r="28" spans="1:13" ht="19.5" customHeight="1">
      <c r="A28" s="3489"/>
      <c r="B28" s="3485"/>
      <c r="C28" s="2845" t="s">
        <v>2454</v>
      </c>
      <c r="D28" s="2846"/>
      <c r="E28" s="2847">
        <v>1</v>
      </c>
      <c r="F28" s="2844" t="s">
        <v>2455</v>
      </c>
      <c r="G28" s="2844"/>
    </row>
    <row r="29" spans="1:13" ht="19.5" customHeight="1">
      <c r="A29" s="3489"/>
      <c r="B29" s="3485"/>
      <c r="C29" s="2845" t="s">
        <v>2456</v>
      </c>
      <c r="D29" s="2846"/>
      <c r="E29" s="2847">
        <v>0.8</v>
      </c>
      <c r="F29" s="2844" t="s">
        <v>2457</v>
      </c>
      <c r="G29" s="2844"/>
    </row>
    <row r="30" spans="1:13" ht="19.5" customHeight="1">
      <c r="A30" s="3489"/>
      <c r="B30" s="3485"/>
      <c r="C30" s="2845" t="s">
        <v>2458</v>
      </c>
      <c r="D30" s="2846"/>
      <c r="E30" s="2847">
        <v>0.8</v>
      </c>
      <c r="F30" s="2844" t="s">
        <v>2459</v>
      </c>
      <c r="G30" s="2844"/>
    </row>
    <row r="31" spans="1:13" ht="19.5" customHeight="1">
      <c r="A31" s="3489"/>
      <c r="B31" s="3485"/>
      <c r="C31" s="2845" t="s">
        <v>2460</v>
      </c>
      <c r="D31" s="2846"/>
      <c r="E31" s="2847">
        <v>0.8</v>
      </c>
      <c r="F31" s="2844" t="s">
        <v>2461</v>
      </c>
      <c r="G31" s="2844"/>
    </row>
    <row r="32" spans="1:13" ht="19.5" customHeight="1">
      <c r="A32" s="3489"/>
      <c r="B32" s="3485"/>
      <c r="C32" s="2845" t="s">
        <v>2462</v>
      </c>
      <c r="D32" s="2846"/>
      <c r="E32" s="2847">
        <v>0.7</v>
      </c>
      <c r="F32" s="2844" t="s">
        <v>2463</v>
      </c>
      <c r="G32" s="2844"/>
    </row>
    <row r="33" spans="1:7" ht="19.5" customHeight="1">
      <c r="A33" s="3489"/>
      <c r="B33" s="3485"/>
      <c r="C33" s="2845" t="s">
        <v>2464</v>
      </c>
      <c r="D33" s="2846"/>
      <c r="E33" s="2847">
        <v>0.8</v>
      </c>
      <c r="F33" s="2844" t="s">
        <v>2465</v>
      </c>
      <c r="G33" s="2844"/>
    </row>
    <row r="34" spans="1:7" ht="19.5" customHeight="1">
      <c r="A34" s="3489"/>
      <c r="B34" s="3485"/>
      <c r="C34" s="2845" t="s">
        <v>2466</v>
      </c>
      <c r="D34" s="2846"/>
      <c r="E34" s="2847">
        <v>0.6</v>
      </c>
      <c r="F34" s="2844" t="s">
        <v>2467</v>
      </c>
      <c r="G34" s="2844"/>
    </row>
    <row r="35" spans="1:7" ht="19.5" customHeight="1">
      <c r="A35" s="3489"/>
      <c r="B35" s="3485"/>
      <c r="C35" s="2845" t="s">
        <v>2468</v>
      </c>
      <c r="D35" s="2846"/>
      <c r="E35" s="2847">
        <v>0.2</v>
      </c>
      <c r="F35" s="2844" t="s">
        <v>2469</v>
      </c>
      <c r="G35" s="2844"/>
    </row>
    <row r="36" spans="1:7" ht="19.5" customHeight="1">
      <c r="A36" s="3489"/>
      <c r="B36" s="3485"/>
      <c r="C36" s="2845" t="s">
        <v>2470</v>
      </c>
      <c r="D36" s="2846"/>
      <c r="E36" s="2847">
        <v>0.2</v>
      </c>
      <c r="F36" s="2844" t="s">
        <v>2471</v>
      </c>
      <c r="G36" s="2844"/>
    </row>
    <row r="37" spans="1:7" ht="19.5" customHeight="1">
      <c r="A37" s="3489"/>
      <c r="B37" s="3483" t="s">
        <v>2632</v>
      </c>
      <c r="C37" s="2845" t="s">
        <v>2472</v>
      </c>
      <c r="D37" s="2846"/>
      <c r="E37" s="2847">
        <v>0.6</v>
      </c>
      <c r="F37" s="2844" t="s">
        <v>2473</v>
      </c>
      <c r="G37" s="2844"/>
    </row>
    <row r="38" spans="1:7" ht="19.5" customHeight="1">
      <c r="A38" s="3489"/>
      <c r="B38" s="3485"/>
      <c r="C38" s="2845" t="s">
        <v>2474</v>
      </c>
      <c r="D38" s="2846"/>
      <c r="E38" s="2847">
        <v>0.6</v>
      </c>
      <c r="F38" s="2844" t="s">
        <v>2475</v>
      </c>
      <c r="G38" s="2844"/>
    </row>
    <row r="39" spans="1:7" ht="19.5" customHeight="1" thickBot="1">
      <c r="A39" s="3490"/>
      <c r="B39" s="348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1" t="s">
        <v>2610</v>
      </c>
      <c r="B41" s="3486" t="s">
        <v>2634</v>
      </c>
      <c r="C41" s="2841" t="s">
        <v>2479</v>
      </c>
      <c r="D41" s="2842"/>
      <c r="E41" s="2843">
        <v>1</v>
      </c>
      <c r="F41" s="2844" t="s">
        <v>2480</v>
      </c>
      <c r="G41" s="2844"/>
    </row>
    <row r="42" spans="1:7" ht="19.5" customHeight="1">
      <c r="A42" s="3492"/>
      <c r="B42" s="3485"/>
      <c r="C42" s="2845" t="s">
        <v>2481</v>
      </c>
      <c r="D42" s="2846"/>
      <c r="E42" s="2847">
        <v>1</v>
      </c>
      <c r="F42" s="2844" t="s">
        <v>2482</v>
      </c>
      <c r="G42" s="2844"/>
    </row>
    <row r="43" spans="1:7" ht="19.5" customHeight="1">
      <c r="A43" s="3492"/>
      <c r="B43" s="3484"/>
      <c r="C43" s="2845" t="s">
        <v>2483</v>
      </c>
      <c r="D43" s="2846"/>
      <c r="E43" s="2847">
        <v>1.5</v>
      </c>
      <c r="F43" s="2844" t="s">
        <v>2484</v>
      </c>
      <c r="G43" s="2844"/>
    </row>
    <row r="44" spans="1:7" ht="19.5" customHeight="1">
      <c r="A44" s="3492"/>
      <c r="B44" s="2856" t="s">
        <v>2635</v>
      </c>
      <c r="C44" s="2845" t="s">
        <v>2636</v>
      </c>
      <c r="D44" s="2846"/>
      <c r="E44" s="2847">
        <v>2</v>
      </c>
      <c r="F44" s="2844" t="s">
        <v>2485</v>
      </c>
      <c r="G44" s="2844"/>
    </row>
    <row r="45" spans="1:7" ht="19.5" customHeight="1">
      <c r="A45" s="3492"/>
      <c r="B45" s="3483" t="s">
        <v>2637</v>
      </c>
      <c r="C45" s="2845" t="s">
        <v>2486</v>
      </c>
      <c r="D45" s="2846"/>
      <c r="E45" s="2847">
        <v>1</v>
      </c>
      <c r="F45" s="2844" t="s">
        <v>2487</v>
      </c>
      <c r="G45" s="2844"/>
    </row>
    <row r="46" spans="1:7" ht="19.5" customHeight="1">
      <c r="A46" s="3492"/>
      <c r="B46" s="3485"/>
      <c r="C46" s="2845" t="s">
        <v>2488</v>
      </c>
      <c r="D46" s="2846"/>
      <c r="E46" s="2847">
        <v>1</v>
      </c>
      <c r="F46" s="2844" t="s">
        <v>2489</v>
      </c>
      <c r="G46" s="2844"/>
    </row>
    <row r="47" spans="1:7" ht="19.5" customHeight="1">
      <c r="A47" s="3492"/>
      <c r="B47" s="3485"/>
      <c r="C47" s="2845" t="s">
        <v>2490</v>
      </c>
      <c r="D47" s="2846"/>
      <c r="E47" s="2847">
        <v>1</v>
      </c>
      <c r="F47" s="2844" t="s">
        <v>2491</v>
      </c>
      <c r="G47" s="2844"/>
    </row>
    <row r="48" spans="1:7" ht="19.5" customHeight="1">
      <c r="A48" s="3492"/>
      <c r="B48" s="3485"/>
      <c r="C48" s="2845" t="s">
        <v>2492</v>
      </c>
      <c r="D48" s="2846"/>
      <c r="E48" s="2847">
        <v>1</v>
      </c>
      <c r="F48" s="2844" t="s">
        <v>2493</v>
      </c>
      <c r="G48" s="2844"/>
    </row>
    <row r="49" spans="1:7" ht="19.5" customHeight="1">
      <c r="A49" s="3492"/>
      <c r="B49" s="3485"/>
      <c r="C49" s="2845" t="s">
        <v>2494</v>
      </c>
      <c r="D49" s="2846"/>
      <c r="E49" s="2847">
        <v>1</v>
      </c>
      <c r="F49" s="2844" t="s">
        <v>2495</v>
      </c>
      <c r="G49" s="2844"/>
    </row>
    <row r="50" spans="1:7" ht="19.5" customHeight="1">
      <c r="A50" s="3492"/>
      <c r="B50" s="3485"/>
      <c r="C50" s="2845" t="s">
        <v>2496</v>
      </c>
      <c r="D50" s="2846"/>
      <c r="E50" s="2847">
        <v>1</v>
      </c>
      <c r="F50" s="2844" t="s">
        <v>2497</v>
      </c>
      <c r="G50" s="2844"/>
    </row>
    <row r="51" spans="1:7" ht="19.5" customHeight="1" thickBot="1">
      <c r="A51" s="3493"/>
      <c r="B51" s="348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83" t="s">
        <v>2651</v>
      </c>
      <c r="C73" s="2830" t="s">
        <v>2652</v>
      </c>
      <c r="D73" s="2830" t="s">
        <v>2653</v>
      </c>
      <c r="E73" s="2856">
        <v>0.2</v>
      </c>
      <c r="F73" s="2856">
        <v>25</v>
      </c>
    </row>
    <row r="74" spans="1:7" ht="24">
      <c r="A74" s="2856">
        <v>2</v>
      </c>
      <c r="B74" s="3485"/>
      <c r="C74" s="2830" t="s">
        <v>2654</v>
      </c>
      <c r="D74" s="2830" t="s">
        <v>2655</v>
      </c>
      <c r="E74" s="2856">
        <v>0.2</v>
      </c>
      <c r="F74" s="2856">
        <v>25</v>
      </c>
    </row>
    <row r="75" spans="1:7" ht="24">
      <c r="A75" s="2856">
        <v>3</v>
      </c>
      <c r="B75" s="3485"/>
      <c r="C75" s="2830" t="s">
        <v>2656</v>
      </c>
      <c r="D75" s="2830" t="s">
        <v>2657</v>
      </c>
      <c r="E75" s="2856">
        <v>0.2</v>
      </c>
      <c r="F75" s="2856">
        <v>25</v>
      </c>
    </row>
    <row r="76" spans="1:7" ht="13.5">
      <c r="A76" s="2856">
        <v>4</v>
      </c>
      <c r="B76" s="3485"/>
      <c r="C76" s="2830" t="s">
        <v>2658</v>
      </c>
      <c r="D76" s="2830" t="s">
        <v>2659</v>
      </c>
      <c r="E76" s="2856">
        <v>0.15</v>
      </c>
      <c r="F76" s="2856">
        <v>20</v>
      </c>
    </row>
    <row r="77" spans="1:7" ht="24">
      <c r="A77" s="2856">
        <v>5</v>
      </c>
      <c r="B77" s="3485"/>
      <c r="C77" s="2830" t="s">
        <v>2660</v>
      </c>
      <c r="D77" s="2830" t="s">
        <v>2661</v>
      </c>
      <c r="E77" s="2856">
        <v>0.15</v>
      </c>
      <c r="F77" s="2856">
        <v>20</v>
      </c>
    </row>
    <row r="78" spans="1:7" ht="24">
      <c r="A78" s="2856">
        <v>6</v>
      </c>
      <c r="B78" s="3485"/>
      <c r="C78" s="2830" t="s">
        <v>2662</v>
      </c>
      <c r="D78" s="2830" t="s">
        <v>2663</v>
      </c>
      <c r="E78" s="2856">
        <v>0.15</v>
      </c>
      <c r="F78" s="2856">
        <v>20</v>
      </c>
    </row>
    <row r="79" spans="1:7" ht="24">
      <c r="A79" s="2856">
        <v>7</v>
      </c>
      <c r="B79" s="3485"/>
      <c r="C79" s="2830" t="s">
        <v>2664</v>
      </c>
      <c r="D79" s="2830" t="s">
        <v>2665</v>
      </c>
      <c r="E79" s="2856">
        <v>0.15</v>
      </c>
      <c r="F79" s="2856">
        <v>20</v>
      </c>
    </row>
    <row r="80" spans="1:7" ht="24">
      <c r="A80" s="2856">
        <v>8</v>
      </c>
      <c r="B80" s="3485"/>
      <c r="C80" s="2830" t="s">
        <v>2666</v>
      </c>
      <c r="D80" s="2830" t="s">
        <v>2667</v>
      </c>
      <c r="E80" s="2856">
        <v>0.1</v>
      </c>
      <c r="F80" s="2856">
        <v>15</v>
      </c>
    </row>
    <row r="81" spans="1:6" ht="24">
      <c r="A81" s="2856">
        <v>9</v>
      </c>
      <c r="B81" s="3485"/>
      <c r="C81" s="2830" t="s">
        <v>2668</v>
      </c>
      <c r="D81" s="2830" t="s">
        <v>2669</v>
      </c>
      <c r="E81" s="2856">
        <v>0.1</v>
      </c>
      <c r="F81" s="2856">
        <v>15</v>
      </c>
    </row>
    <row r="82" spans="1:6" ht="24">
      <c r="A82" s="2856">
        <v>10</v>
      </c>
      <c r="B82" s="3485"/>
      <c r="C82" s="2830" t="s">
        <v>2670</v>
      </c>
      <c r="D82" s="2830" t="s">
        <v>2671</v>
      </c>
      <c r="E82" s="2856">
        <v>0.1</v>
      </c>
      <c r="F82" s="2856">
        <v>15</v>
      </c>
    </row>
    <row r="83" spans="1:6" ht="24">
      <c r="A83" s="2856">
        <v>11</v>
      </c>
      <c r="B83" s="3485"/>
      <c r="C83" s="2830" t="s">
        <v>2672</v>
      </c>
      <c r="D83" s="2830" t="s">
        <v>2673</v>
      </c>
      <c r="E83" s="2856">
        <v>0.1</v>
      </c>
      <c r="F83" s="2856">
        <v>15</v>
      </c>
    </row>
    <row r="84" spans="1:6" ht="24">
      <c r="A84" s="2856">
        <v>12</v>
      </c>
      <c r="B84" s="3485"/>
      <c r="C84" s="2830" t="s">
        <v>2674</v>
      </c>
      <c r="D84" s="2830" t="s">
        <v>2675</v>
      </c>
      <c r="E84" s="2856">
        <v>0.1</v>
      </c>
      <c r="F84" s="2856">
        <v>15</v>
      </c>
    </row>
    <row r="85" spans="1:6" ht="13.5">
      <c r="A85" s="2856">
        <v>13</v>
      </c>
      <c r="B85" s="3485"/>
      <c r="C85" s="2830" t="s">
        <v>2676</v>
      </c>
      <c r="D85" s="2830" t="s">
        <v>2677</v>
      </c>
      <c r="E85" s="2856">
        <v>0.1</v>
      </c>
      <c r="F85" s="2856">
        <v>15</v>
      </c>
    </row>
    <row r="86" spans="1:6" ht="13.5">
      <c r="A86" s="2856">
        <v>14</v>
      </c>
      <c r="B86" s="3485"/>
      <c r="C86" s="2830" t="s">
        <v>2678</v>
      </c>
      <c r="D86" s="2830" t="s">
        <v>2679</v>
      </c>
      <c r="E86" s="2856">
        <v>0.1</v>
      </c>
      <c r="F86" s="2856">
        <v>15</v>
      </c>
    </row>
    <row r="87" spans="1:6" ht="13.5">
      <c r="A87" s="2856">
        <v>15</v>
      </c>
      <c r="B87" s="3485"/>
      <c r="C87" s="2830" t="s">
        <v>2680</v>
      </c>
      <c r="D87" s="2830" t="s">
        <v>2681</v>
      </c>
      <c r="E87" s="2856">
        <v>0.1</v>
      </c>
      <c r="F87" s="2856">
        <v>15</v>
      </c>
    </row>
    <row r="88" spans="1:6" ht="24">
      <c r="A88" s="2856">
        <v>16</v>
      </c>
      <c r="B88" s="3485"/>
      <c r="C88" s="2830" t="s">
        <v>2682</v>
      </c>
      <c r="D88" s="2830" t="s">
        <v>2683</v>
      </c>
      <c r="E88" s="2856">
        <v>0.1</v>
      </c>
      <c r="F88" s="2856">
        <v>15</v>
      </c>
    </row>
    <row r="89" spans="1:6" ht="24">
      <c r="A89" s="2856">
        <v>17</v>
      </c>
      <c r="B89" s="3484"/>
      <c r="C89" s="2830" t="s">
        <v>2684</v>
      </c>
      <c r="D89" s="2830" t="s">
        <v>2685</v>
      </c>
      <c r="E89" s="2856">
        <v>0.1</v>
      </c>
      <c r="F89" s="2856">
        <v>15</v>
      </c>
    </row>
    <row r="90" spans="1:6" ht="13.5">
      <c r="A90" s="2856">
        <v>18</v>
      </c>
      <c r="B90" s="3483" t="s">
        <v>2686</v>
      </c>
      <c r="C90" s="2830" t="s">
        <v>2687</v>
      </c>
      <c r="D90" s="2830" t="s">
        <v>2688</v>
      </c>
      <c r="E90" s="2856">
        <v>0.2</v>
      </c>
      <c r="F90" s="2856">
        <v>25</v>
      </c>
    </row>
    <row r="91" spans="1:6" ht="24">
      <c r="A91" s="2856">
        <v>19</v>
      </c>
      <c r="B91" s="3485"/>
      <c r="C91" s="2830" t="s">
        <v>2689</v>
      </c>
      <c r="D91" s="2830" t="s">
        <v>2690</v>
      </c>
      <c r="E91" s="2856">
        <v>0.2</v>
      </c>
      <c r="F91" s="2856">
        <v>25</v>
      </c>
    </row>
    <row r="92" spans="1:6" ht="13.5">
      <c r="A92" s="2856">
        <v>20</v>
      </c>
      <c r="B92" s="3485"/>
      <c r="C92" s="2830" t="s">
        <v>2691</v>
      </c>
      <c r="D92" s="2830" t="s">
        <v>2692</v>
      </c>
      <c r="E92" s="2856">
        <v>0.15</v>
      </c>
      <c r="F92" s="2856">
        <v>20</v>
      </c>
    </row>
    <row r="93" spans="1:6" ht="13.5">
      <c r="A93" s="2856">
        <v>21</v>
      </c>
      <c r="B93" s="3485"/>
      <c r="C93" s="2830" t="s">
        <v>2693</v>
      </c>
      <c r="D93" s="2830" t="s">
        <v>2694</v>
      </c>
      <c r="E93" s="2856">
        <v>0.15</v>
      </c>
      <c r="F93" s="2856">
        <v>20</v>
      </c>
    </row>
    <row r="94" spans="1:6" ht="13.5">
      <c r="A94" s="2856">
        <v>22</v>
      </c>
      <c r="B94" s="3485"/>
      <c r="C94" s="2830" t="s">
        <v>2695</v>
      </c>
      <c r="D94" s="2830" t="s">
        <v>2696</v>
      </c>
      <c r="E94" s="2856">
        <v>0.15</v>
      </c>
      <c r="F94" s="2856">
        <v>20</v>
      </c>
    </row>
    <row r="95" spans="1:6" ht="36">
      <c r="A95" s="2856">
        <v>23</v>
      </c>
      <c r="B95" s="3485"/>
      <c r="C95" s="2830" t="s">
        <v>2697</v>
      </c>
      <c r="D95" s="2830" t="s">
        <v>2698</v>
      </c>
      <c r="E95" s="2856">
        <v>0.15</v>
      </c>
      <c r="F95" s="2856">
        <v>20</v>
      </c>
    </row>
    <row r="96" spans="1:6" ht="13.5">
      <c r="A96" s="2856">
        <v>24</v>
      </c>
      <c r="B96" s="3485"/>
      <c r="C96" s="2830" t="s">
        <v>2699</v>
      </c>
      <c r="D96" s="2830" t="s">
        <v>2700</v>
      </c>
      <c r="E96" s="2856">
        <v>0.1</v>
      </c>
      <c r="F96" s="2856">
        <v>15</v>
      </c>
    </row>
    <row r="97" spans="1:6" ht="13.5">
      <c r="A97" s="2856">
        <v>25</v>
      </c>
      <c r="B97" s="3485"/>
      <c r="C97" s="2830" t="s">
        <v>2701</v>
      </c>
      <c r="D97" s="2830" t="s">
        <v>2702</v>
      </c>
      <c r="E97" s="2856">
        <v>0.1</v>
      </c>
      <c r="F97" s="2856">
        <v>15</v>
      </c>
    </row>
    <row r="98" spans="1:6" ht="24">
      <c r="A98" s="2856">
        <v>26</v>
      </c>
      <c r="B98" s="3485"/>
      <c r="C98" s="2830" t="s">
        <v>2703</v>
      </c>
      <c r="D98" s="2830" t="s">
        <v>2704</v>
      </c>
      <c r="E98" s="2856">
        <v>0.1</v>
      </c>
      <c r="F98" s="2856">
        <v>15</v>
      </c>
    </row>
    <row r="99" spans="1:6" ht="24">
      <c r="A99" s="2856">
        <v>27</v>
      </c>
      <c r="B99" s="3485"/>
      <c r="C99" s="2830" t="s">
        <v>2705</v>
      </c>
      <c r="D99" s="2830" t="s">
        <v>2706</v>
      </c>
      <c r="E99" s="2856">
        <v>0.1</v>
      </c>
      <c r="F99" s="2856">
        <v>15</v>
      </c>
    </row>
    <row r="100" spans="1:6" ht="13.5">
      <c r="A100" s="2856">
        <v>28</v>
      </c>
      <c r="B100" s="3485"/>
      <c r="C100" s="2830" t="s">
        <v>2707</v>
      </c>
      <c r="D100" s="2830" t="s">
        <v>2708</v>
      </c>
      <c r="E100" s="2856">
        <v>0.1</v>
      </c>
      <c r="F100" s="2856">
        <v>15</v>
      </c>
    </row>
    <row r="101" spans="1:6" ht="13.5">
      <c r="A101" s="2856">
        <v>29</v>
      </c>
      <c r="B101" s="3485"/>
      <c r="C101" s="2830" t="s">
        <v>2709</v>
      </c>
      <c r="D101" s="2830" t="s">
        <v>2710</v>
      </c>
      <c r="E101" s="2856">
        <v>0.1</v>
      </c>
      <c r="F101" s="2856">
        <v>15</v>
      </c>
    </row>
    <row r="102" spans="1:6" ht="13.5">
      <c r="A102" s="2856">
        <v>30</v>
      </c>
      <c r="B102" s="3485"/>
      <c r="C102" s="2830" t="s">
        <v>2711</v>
      </c>
      <c r="D102" s="2830" t="s">
        <v>2712</v>
      </c>
      <c r="E102" s="2856">
        <v>0.1</v>
      </c>
      <c r="F102" s="2856">
        <v>15</v>
      </c>
    </row>
    <row r="103" spans="1:6" ht="24">
      <c r="A103" s="2856">
        <v>31</v>
      </c>
      <c r="B103" s="3485"/>
      <c r="C103" s="2830" t="s">
        <v>2713</v>
      </c>
      <c r="D103" s="2830" t="s">
        <v>2714</v>
      </c>
      <c r="E103" s="2856">
        <v>0.1</v>
      </c>
      <c r="F103" s="2856">
        <v>15</v>
      </c>
    </row>
    <row r="104" spans="1:6" ht="24">
      <c r="A104" s="2856">
        <v>32</v>
      </c>
      <c r="B104" s="3485"/>
      <c r="C104" s="2830" t="s">
        <v>2715</v>
      </c>
      <c r="D104" s="2830" t="s">
        <v>2716</v>
      </c>
      <c r="E104" s="2856">
        <v>0.1</v>
      </c>
      <c r="F104" s="2856">
        <v>15</v>
      </c>
    </row>
    <row r="105" spans="1:6" ht="24">
      <c r="A105" s="2856">
        <v>33</v>
      </c>
      <c r="B105" s="3485"/>
      <c r="C105" s="2830" t="s">
        <v>2717</v>
      </c>
      <c r="D105" s="2830" t="s">
        <v>2718</v>
      </c>
      <c r="E105" s="2856">
        <v>0.1</v>
      </c>
      <c r="F105" s="2856">
        <v>15</v>
      </c>
    </row>
    <row r="106" spans="1:6" ht="24">
      <c r="A106" s="2856">
        <v>34</v>
      </c>
      <c r="B106" s="3484"/>
      <c r="C106" s="2830" t="s">
        <v>2719</v>
      </c>
      <c r="D106" s="2830" t="s">
        <v>2720</v>
      </c>
      <c r="E106" s="2856">
        <v>0.1</v>
      </c>
      <c r="F106" s="2856">
        <v>15</v>
      </c>
    </row>
    <row r="107" spans="1:6" ht="24">
      <c r="A107" s="2856">
        <v>35</v>
      </c>
      <c r="B107" s="3483" t="s">
        <v>2721</v>
      </c>
      <c r="C107" s="2856" t="s">
        <v>2722</v>
      </c>
      <c r="D107" s="2830" t="s">
        <v>2723</v>
      </c>
      <c r="E107" s="2856">
        <v>0.15</v>
      </c>
      <c r="F107" s="2856">
        <v>20</v>
      </c>
    </row>
    <row r="108" spans="1:6" ht="13.5">
      <c r="A108" s="2856">
        <v>36</v>
      </c>
      <c r="B108" s="3485"/>
      <c r="C108" s="2856" t="s">
        <v>2724</v>
      </c>
      <c r="D108" s="2830" t="s">
        <v>2725</v>
      </c>
      <c r="E108" s="2856">
        <v>0.15</v>
      </c>
      <c r="F108" s="2856">
        <v>20</v>
      </c>
    </row>
    <row r="109" spans="1:6" ht="13.5">
      <c r="A109" s="2856">
        <v>37</v>
      </c>
      <c r="B109" s="3485"/>
      <c r="C109" s="2856" t="s">
        <v>2726</v>
      </c>
      <c r="D109" s="2830" t="s">
        <v>2727</v>
      </c>
      <c r="E109" s="2856">
        <v>0.15</v>
      </c>
      <c r="F109" s="2856">
        <v>20</v>
      </c>
    </row>
    <row r="110" spans="1:6" ht="13.5">
      <c r="A110" s="2856">
        <v>38</v>
      </c>
      <c r="B110" s="3485"/>
      <c r="C110" s="2856" t="s">
        <v>2728</v>
      </c>
      <c r="D110" s="2830" t="s">
        <v>2729</v>
      </c>
      <c r="E110" s="2856">
        <v>0.1</v>
      </c>
      <c r="F110" s="2856">
        <v>15</v>
      </c>
    </row>
    <row r="111" spans="1:6" ht="24">
      <c r="A111" s="2856">
        <v>39</v>
      </c>
      <c r="B111" s="3485"/>
      <c r="C111" s="2856" t="s">
        <v>2730</v>
      </c>
      <c r="D111" s="2830" t="s">
        <v>2731</v>
      </c>
      <c r="E111" s="2856">
        <v>0.1</v>
      </c>
      <c r="F111" s="2856">
        <v>15</v>
      </c>
    </row>
    <row r="112" spans="1:6" ht="24">
      <c r="A112" s="2856">
        <v>40</v>
      </c>
      <c r="B112" s="3484"/>
      <c r="C112" s="2856" t="s">
        <v>2732</v>
      </c>
      <c r="D112" s="2830" t="s">
        <v>2733</v>
      </c>
      <c r="E112" s="2856">
        <v>0.1</v>
      </c>
      <c r="F112" s="2856">
        <v>15</v>
      </c>
    </row>
    <row r="113" spans="1:6" ht="13.5">
      <c r="A113" s="2856">
        <v>41</v>
      </c>
      <c r="B113" s="3482" t="s">
        <v>2734</v>
      </c>
      <c r="C113" s="2856" t="s">
        <v>2735</v>
      </c>
      <c r="D113" s="2830" t="s">
        <v>2736</v>
      </c>
      <c r="E113" s="2856">
        <v>0.1</v>
      </c>
      <c r="F113" s="2856">
        <v>15</v>
      </c>
    </row>
    <row r="114" spans="1:6" ht="13.5">
      <c r="A114" s="2856">
        <v>42</v>
      </c>
      <c r="B114" s="3482"/>
      <c r="C114" s="2856" t="s">
        <v>2737</v>
      </c>
      <c r="D114" s="2830" t="s">
        <v>2738</v>
      </c>
      <c r="E114" s="2856">
        <v>0.1</v>
      </c>
      <c r="F114" s="2856">
        <v>15</v>
      </c>
    </row>
    <row r="115" spans="1:6" ht="24">
      <c r="A115" s="2856">
        <v>43</v>
      </c>
      <c r="B115" s="3482"/>
      <c r="C115" s="2856" t="s">
        <v>2739</v>
      </c>
      <c r="D115" s="2830" t="s">
        <v>2740</v>
      </c>
      <c r="E115" s="2856">
        <v>0.1</v>
      </c>
      <c r="F115" s="2856">
        <v>15</v>
      </c>
    </row>
    <row r="116" spans="1:6" ht="13.5">
      <c r="A116" s="2856">
        <v>44</v>
      </c>
      <c r="B116" s="3483" t="s">
        <v>2741</v>
      </c>
      <c r="C116" s="2856" t="s">
        <v>2742</v>
      </c>
      <c r="D116" s="2830" t="s">
        <v>2743</v>
      </c>
      <c r="E116" s="2856">
        <v>0.1</v>
      </c>
      <c r="F116" s="2856">
        <v>15</v>
      </c>
    </row>
    <row r="117" spans="1:6" ht="24">
      <c r="A117" s="2856">
        <v>45</v>
      </c>
      <c r="B117" s="3484"/>
      <c r="C117" s="2830" t="s">
        <v>2744</v>
      </c>
      <c r="D117" s="2830" t="s">
        <v>2745</v>
      </c>
      <c r="E117" s="2856">
        <v>0.1</v>
      </c>
      <c r="F117" s="2856">
        <v>15</v>
      </c>
    </row>
    <row r="118" spans="1:6" ht="24">
      <c r="A118" s="2856">
        <v>46</v>
      </c>
      <c r="B118" s="3483" t="s">
        <v>2746</v>
      </c>
      <c r="C118" s="2856" t="s">
        <v>2747</v>
      </c>
      <c r="D118" s="2830" t="s">
        <v>2748</v>
      </c>
      <c r="E118" s="2856">
        <v>0.1</v>
      </c>
      <c r="F118" s="2856">
        <v>15</v>
      </c>
    </row>
    <row r="119" spans="1:6" ht="24">
      <c r="A119" s="2856">
        <v>47</v>
      </c>
      <c r="B119" s="3484"/>
      <c r="C119" s="2856" t="s">
        <v>2749</v>
      </c>
      <c r="D119" s="2830" t="s">
        <v>2750</v>
      </c>
      <c r="E119" s="2856">
        <v>0.1</v>
      </c>
      <c r="F119" s="2856">
        <v>15</v>
      </c>
    </row>
    <row r="120" spans="1:6" ht="13.5">
      <c r="A120" s="2856">
        <v>48</v>
      </c>
      <c r="B120" s="3483" t="s">
        <v>2751</v>
      </c>
      <c r="C120" s="2856" t="s">
        <v>2752</v>
      </c>
      <c r="D120" s="2830" t="s">
        <v>2753</v>
      </c>
      <c r="E120" s="2856">
        <v>0.1</v>
      </c>
      <c r="F120" s="2856">
        <v>15</v>
      </c>
    </row>
    <row r="121" spans="1:6" ht="13.5">
      <c r="A121" s="2856">
        <v>49</v>
      </c>
      <c r="B121" s="3484"/>
      <c r="C121" s="2856" t="s">
        <v>2754</v>
      </c>
      <c r="D121" s="2830" t="s">
        <v>2755</v>
      </c>
      <c r="E121" s="2856">
        <v>0.1</v>
      </c>
      <c r="F121" s="2856">
        <v>15</v>
      </c>
    </row>
    <row r="122" spans="1:6" ht="24">
      <c r="A122" s="2856">
        <v>50</v>
      </c>
      <c r="B122" s="3482" t="s">
        <v>2756</v>
      </c>
      <c r="C122" s="2856" t="s">
        <v>2757</v>
      </c>
      <c r="D122" s="2830" t="s">
        <v>2758</v>
      </c>
      <c r="E122" s="2856">
        <v>0.1</v>
      </c>
      <c r="F122" s="2856">
        <v>15</v>
      </c>
    </row>
    <row r="123" spans="1:6" ht="24">
      <c r="A123" s="2856">
        <v>51</v>
      </c>
      <c r="B123" s="3482"/>
      <c r="C123" s="2856" t="s">
        <v>2759</v>
      </c>
      <c r="D123" s="2830" t="s">
        <v>2760</v>
      </c>
      <c r="E123" s="2856">
        <v>0.1</v>
      </c>
      <c r="F123" s="2856">
        <v>15</v>
      </c>
    </row>
    <row r="124" spans="1:6" ht="24">
      <c r="A124" s="2856">
        <v>52</v>
      </c>
      <c r="B124" s="3482" t="s">
        <v>2761</v>
      </c>
      <c r="C124" s="2856" t="s">
        <v>2762</v>
      </c>
      <c r="D124" s="2830" t="s">
        <v>2763</v>
      </c>
      <c r="E124" s="2856">
        <v>0.1</v>
      </c>
      <c r="F124" s="2856">
        <v>15</v>
      </c>
    </row>
    <row r="125" spans="1:6" ht="24">
      <c r="A125" s="2856">
        <v>53</v>
      </c>
      <c r="B125" s="3482"/>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82" t="s">
        <v>2769</v>
      </c>
      <c r="C127" s="2856" t="s">
        <v>2770</v>
      </c>
      <c r="D127" s="2830" t="s">
        <v>2771</v>
      </c>
      <c r="E127" s="2856">
        <v>0.1</v>
      </c>
      <c r="F127" s="2856">
        <v>15</v>
      </c>
    </row>
    <row r="128" spans="1:6" ht="13.5">
      <c r="A128" s="2856">
        <v>56</v>
      </c>
      <c r="B128" s="3482"/>
      <c r="C128" s="2856" t="s">
        <v>2772</v>
      </c>
      <c r="D128" s="2830" t="s">
        <v>2773</v>
      </c>
      <c r="E128" s="2856">
        <v>0.1</v>
      </c>
      <c r="F128" s="2856">
        <v>15</v>
      </c>
    </row>
    <row r="129" spans="1:6" ht="24">
      <c r="A129" s="2856">
        <v>57</v>
      </c>
      <c r="B129" s="3482"/>
      <c r="C129" s="2856" t="s">
        <v>2774</v>
      </c>
      <c r="D129" s="2830" t="s">
        <v>2775</v>
      </c>
      <c r="E129" s="2856">
        <v>0.1</v>
      </c>
      <c r="F129" s="2856">
        <v>15</v>
      </c>
    </row>
    <row r="130" spans="1:6" ht="24">
      <c r="A130" s="2856">
        <v>58</v>
      </c>
      <c r="B130" s="3482" t="s">
        <v>2776</v>
      </c>
      <c r="C130" s="2856" t="s">
        <v>2777</v>
      </c>
      <c r="D130" s="2830" t="s">
        <v>2778</v>
      </c>
      <c r="E130" s="2856">
        <v>0.1</v>
      </c>
      <c r="F130" s="2856">
        <v>15</v>
      </c>
    </row>
    <row r="131" spans="1:6" ht="13.5">
      <c r="A131" s="2856">
        <v>59</v>
      </c>
      <c r="B131" s="3482"/>
      <c r="C131" s="2856" t="s">
        <v>2779</v>
      </c>
      <c r="D131" s="2830" t="s">
        <v>2780</v>
      </c>
      <c r="E131" s="2856">
        <v>0.1</v>
      </c>
      <c r="F131" s="2856">
        <v>15</v>
      </c>
    </row>
    <row r="132" spans="1:6" ht="13.5">
      <c r="A132" s="2856">
        <v>60</v>
      </c>
      <c r="B132" s="3483" t="s">
        <v>2781</v>
      </c>
      <c r="C132" s="2856" t="s">
        <v>2782</v>
      </c>
      <c r="D132" s="2830" t="s">
        <v>2783</v>
      </c>
      <c r="E132" s="2856">
        <v>0.1</v>
      </c>
      <c r="F132" s="2856">
        <v>15</v>
      </c>
    </row>
    <row r="133" spans="1:6" ht="13.5">
      <c r="A133" s="2856">
        <v>61</v>
      </c>
      <c r="B133" s="348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82" t="s">
        <v>2789</v>
      </c>
      <c r="C135" s="2856" t="s">
        <v>2790</v>
      </c>
      <c r="D135" s="2830" t="s">
        <v>2791</v>
      </c>
      <c r="E135" s="2856">
        <v>0.1</v>
      </c>
      <c r="F135" s="2856">
        <v>15</v>
      </c>
    </row>
    <row r="136" spans="1:6" ht="13.5">
      <c r="A136" s="2856">
        <v>64</v>
      </c>
      <c r="B136" s="3482"/>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6"/>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0"/>
      <c r="B4" s="3179" t="s">
        <v>917</v>
      </c>
      <c r="C4" s="3179"/>
      <c r="D4" s="3179"/>
      <c r="E4" s="1390"/>
    </row>
    <row r="5" spans="1:5" ht="16.5" thickTop="1">
      <c r="B5" s="3177" t="s">
        <v>909</v>
      </c>
      <c r="C5" s="1391" t="s">
        <v>910</v>
      </c>
      <c r="D5" s="796">
        <f ca="1">结果表!H101</f>
        <v>1435</v>
      </c>
    </row>
    <row r="6" spans="1:5" ht="15.75">
      <c r="B6" s="3177"/>
      <c r="C6" s="1391" t="s">
        <v>911</v>
      </c>
      <c r="D6" s="796" t="str">
        <f ca="1">NUMBERSTRING(INT(D5*10000),2)&amp;"元整"</f>
        <v>壹仟肆佰叁拾伍万元整</v>
      </c>
    </row>
    <row r="7" spans="1:5" ht="15.75">
      <c r="B7" s="3182"/>
      <c r="C7" s="1392" t="s">
        <v>912</v>
      </c>
      <c r="D7" s="797">
        <f ca="1">结果表!H102</f>
        <v>31438</v>
      </c>
    </row>
    <row r="8" spans="1:5" ht="15.75">
      <c r="B8" s="3183" t="str">
        <f>结果表!E103</f>
        <v>2.估价师知悉的法定优先受偿款</v>
      </c>
      <c r="C8" s="1393" t="s">
        <v>913</v>
      </c>
      <c r="D8" s="797">
        <f>结果表!H103</f>
        <v>0</v>
      </c>
    </row>
    <row r="9" spans="1:5" ht="15.75">
      <c r="B9" s="318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6" t="str">
        <f>结果表!E107</f>
        <v>3.房地产抵押价值</v>
      </c>
      <c r="C13" s="1396" t="s">
        <v>910</v>
      </c>
      <c r="D13" s="799">
        <f ca="1">结果表!H107</f>
        <v>1435</v>
      </c>
    </row>
    <row r="14" spans="1:5" ht="15.75">
      <c r="B14" s="3177"/>
      <c r="C14" s="1391" t="s">
        <v>911</v>
      </c>
      <c r="D14" s="796" t="str">
        <f ca="1">NUMBERSTRING(INT(D13*10000),2)&amp;"元整"</f>
        <v>壹仟肆佰叁拾伍万元整</v>
      </c>
    </row>
    <row r="15" spans="1:5" ht="15">
      <c r="B15" s="3182"/>
      <c r="C15" s="1392" t="s">
        <v>921</v>
      </c>
      <c r="D15" s="805">
        <f ca="1">结果表!H108</f>
        <v>31438</v>
      </c>
    </row>
    <row r="16" spans="1:5" ht="15">
      <c r="B16" s="3183" t="str">
        <f>结果表!E109</f>
        <v>——</v>
      </c>
      <c r="C16" s="1396" t="s">
        <v>922</v>
      </c>
      <c r="D16" s="1397" t="str">
        <f>结果表!H109</f>
        <v>——</v>
      </c>
    </row>
    <row r="17" spans="1:5" ht="15.75">
      <c r="B17" s="3184"/>
      <c r="C17" s="1391" t="s">
        <v>923</v>
      </c>
      <c r="D17" s="796" t="e">
        <f>NUMBERSTRING(INT(D16*10000),2)&amp;"元整"</f>
        <v>#VALUE!</v>
      </c>
    </row>
    <row r="18" spans="1:5" ht="15">
      <c r="B18" s="3185"/>
      <c r="C18" s="1392" t="s">
        <v>912</v>
      </c>
      <c r="D18" s="805" t="str">
        <f>结果表!H110</f>
        <v>——</v>
      </c>
    </row>
    <row r="19" spans="1:5" ht="15.75">
      <c r="B19" s="3176" t="str">
        <f>结果表!E111</f>
        <v>——</v>
      </c>
      <c r="C19" s="1396" t="s">
        <v>910</v>
      </c>
      <c r="D19" s="797" t="str">
        <f>结果表!H111</f>
        <v>——</v>
      </c>
    </row>
    <row r="20" spans="1:5" ht="15.75">
      <c r="B20" s="3177"/>
      <c r="C20" s="1391" t="s">
        <v>923</v>
      </c>
      <c r="D20" s="796" t="e">
        <f>NUMBERSTRING(INT(D19*10000),2)&amp;"元整"</f>
        <v>#VALUE!</v>
      </c>
    </row>
    <row r="21" spans="1:5" ht="15.75" thickBot="1">
      <c r="B21" s="317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28055</v>
      </c>
      <c r="C2" s="2" t="s">
        <v>106</v>
      </c>
      <c r="D2" s="191"/>
      <c r="E2" s="191"/>
      <c r="F2" s="191"/>
      <c r="G2" s="191"/>
    </row>
    <row r="3" spans="1:7" s="192" customFormat="1" ht="18" customHeight="1" thickBot="1">
      <c r="A3" s="195" t="s">
        <v>58</v>
      </c>
      <c r="B3" s="196">
        <f ca="1">ROUND(B2*10000/'数据-汇总表'!E3,0)</f>
        <v>614500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9</v>
      </c>
      <c r="D10" s="794">
        <f>'数据-汇总表'!E6</f>
        <v>456.55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9</v>
      </c>
      <c r="D19" s="204">
        <f>'数据-汇总表'!E3</f>
        <v>456.55</v>
      </c>
      <c r="E19" s="203">
        <f>'数据-取费表'!B31</f>
        <v>200</v>
      </c>
      <c r="F19" s="223"/>
      <c r="G19" s="1" t="s">
        <v>436</v>
      </c>
    </row>
    <row r="20" spans="1:7" s="206" customFormat="1" ht="13.5" customHeight="1">
      <c r="A20" s="730" t="s">
        <v>419</v>
      </c>
      <c r="B20" s="202" t="s">
        <v>77</v>
      </c>
      <c r="C20" s="224">
        <f>ROUND((C5+C19)*F20,0)</f>
        <v>619</v>
      </c>
      <c r="D20" s="224"/>
      <c r="E20" s="224"/>
      <c r="F20" s="225">
        <f>'数据-取费表'!B37</f>
        <v>0.03</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1318</v>
      </c>
      <c r="D22" s="227">
        <f ca="1">C26</f>
        <v>5.9999999999999995E-4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5.9999999999999995E-4</v>
      </c>
      <c r="D26" s="230"/>
      <c r="E26" s="233"/>
      <c r="F26" s="231"/>
      <c r="G26" s="235"/>
    </row>
    <row r="27" spans="1:7" s="206" customFormat="1" ht="24.75">
      <c r="A27" s="730" t="s">
        <v>342</v>
      </c>
      <c r="B27" s="236" t="s">
        <v>85</v>
      </c>
      <c r="C27" s="237">
        <f>C28</f>
        <v>3186</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3186</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27887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160</v>
      </c>
      <c r="D34" s="209"/>
      <c r="E34" s="212"/>
      <c r="F34" s="249">
        <f>IF('数据-取费表'!B24=0,1,'数据-取费表'!N16)</f>
        <v>1</v>
      </c>
      <c r="G34" s="211" t="s">
        <v>89</v>
      </c>
    </row>
    <row r="35" spans="1:7" ht="13.5" customHeight="1">
      <c r="A35" s="733" t="s">
        <v>351</v>
      </c>
      <c r="B35" s="207" t="s">
        <v>33</v>
      </c>
      <c r="C35" s="212">
        <f>ROUND(C34*F35,0)</f>
        <v>8</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9</v>
      </c>
      <c r="D37" s="209">
        <f>'数据-汇总表'!E3</f>
        <v>456.55</v>
      </c>
      <c r="E37" s="241">
        <f>'数据-取费表'!B35</f>
        <v>200</v>
      </c>
      <c r="F37" s="251"/>
      <c r="G37" s="253" t="s">
        <v>92</v>
      </c>
    </row>
    <row r="38" spans="1:7" ht="13.5" customHeight="1">
      <c r="A38" s="733" t="s">
        <v>354</v>
      </c>
      <c r="B38" s="207" t="s">
        <v>36</v>
      </c>
      <c r="C38" s="212">
        <f>ROUND(C34*F38,0)</f>
        <v>3</v>
      </c>
      <c r="D38" s="212"/>
      <c r="E38" s="212"/>
      <c r="F38" s="251">
        <f>'数据-取费表'!B36</f>
        <v>0.02</v>
      </c>
      <c r="G38" s="211" t="s">
        <v>90</v>
      </c>
    </row>
    <row r="39" spans="1:7" s="206" customFormat="1" ht="13.5" customHeight="1">
      <c r="A39" s="730" t="s">
        <v>338</v>
      </c>
      <c r="B39" s="202" t="s">
        <v>77</v>
      </c>
      <c r="C39" s="224">
        <f>ROUND(C33*F20,0)</f>
        <v>5</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6</v>
      </c>
      <c r="D41" s="227">
        <f ca="1">C44</f>
        <v>5.9999999999999995E-4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6</v>
      </c>
      <c r="D42" s="230"/>
      <c r="E42" s="230"/>
      <c r="F42" s="231"/>
      <c r="G42" s="3357" t="s">
        <v>94</v>
      </c>
    </row>
    <row r="43" spans="1:7" ht="13.5" customHeight="1">
      <c r="A43" s="733" t="s">
        <v>347</v>
      </c>
      <c r="B43" s="207" t="s">
        <v>426</v>
      </c>
      <c r="C43" s="230">
        <f ca="1">ROUND(IF('数据-取费表'!B22&lt;=1,C39*F22*'数据-取费表'!B21/2,C39*(POWER((1+F22),'数据-取费表'!B21/2)-1)),0)</f>
        <v>0</v>
      </c>
      <c r="D43" s="230"/>
      <c r="E43" s="230"/>
      <c r="F43" s="231"/>
      <c r="G43" s="3358"/>
    </row>
    <row r="44" spans="1:7" ht="13.5" customHeight="1">
      <c r="A44" s="733" t="s">
        <v>348</v>
      </c>
      <c r="B44" s="207" t="s">
        <v>428</v>
      </c>
      <c r="C44" s="230">
        <f ca="1">ROUND(IF('数据-取费表'!B22&lt;=1,C40*F22*'数据-取费表'!B21/2,C40*(POWER((1+F22),'数据-取费表'!B21/2)-1)),4)</f>
        <v>5.9999999999999995E-4</v>
      </c>
      <c r="D44" s="230"/>
      <c r="E44" s="230"/>
      <c r="F44" s="231"/>
      <c r="G44" s="3359"/>
    </row>
    <row r="45" spans="1:7" s="206" customFormat="1" ht="13.5" customHeight="1">
      <c r="A45" s="730" t="s">
        <v>341</v>
      </c>
      <c r="B45" s="236" t="s">
        <v>85</v>
      </c>
      <c r="C45" s="237">
        <f>C46</f>
        <v>28</v>
      </c>
      <c r="D45" s="227">
        <f>C47</f>
        <v>3.0000000000000001E-3</v>
      </c>
      <c r="E45" s="228" t="s">
        <v>102</v>
      </c>
      <c r="F45" s="238"/>
      <c r="G45" s="239" t="s">
        <v>434</v>
      </c>
    </row>
    <row r="46" spans="1:7" s="206" customFormat="1" ht="13.5" customHeight="1">
      <c r="A46" s="733" t="s">
        <v>349</v>
      </c>
      <c r="B46" s="240" t="s">
        <v>427</v>
      </c>
      <c r="C46" s="241">
        <f>ROUND((C33+C39)*F27,0)</f>
        <v>28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237</v>
      </c>
      <c r="D49" s="224"/>
      <c r="E49" s="224"/>
      <c r="F49" s="256"/>
      <c r="G49" s="226" t="s">
        <v>435</v>
      </c>
    </row>
    <row r="50" spans="1:7" s="250" customFormat="1" ht="24">
      <c r="A50" s="730" t="s">
        <v>344</v>
      </c>
      <c r="B50" s="202" t="s">
        <v>97</v>
      </c>
      <c r="C50" s="224"/>
      <c r="D50" s="224"/>
      <c r="E50" s="224"/>
      <c r="F50" s="256">
        <f>IF('数据-取费表'!B24=0,'数据-取费表'!N16,1)</f>
        <v>0.71</v>
      </c>
      <c r="G50" s="239" t="s">
        <v>98</v>
      </c>
    </row>
    <row r="51" spans="1:7" ht="16.5" customHeight="1">
      <c r="A51" s="730" t="s">
        <v>345</v>
      </c>
      <c r="B51" s="202" t="s">
        <v>105</v>
      </c>
      <c r="C51" s="224">
        <f ca="1">ROUND(C49*F50,0)</f>
        <v>168</v>
      </c>
      <c r="D51" s="224"/>
      <c r="E51" s="224"/>
      <c r="F51" s="256"/>
      <c r="G51" s="226" t="s">
        <v>37</v>
      </c>
    </row>
    <row r="52" spans="1:7" s="200" customFormat="1" ht="16.5" thickBot="1">
      <c r="A52" s="257" t="s">
        <v>38</v>
      </c>
      <c r="B52" s="258"/>
      <c r="C52" s="259">
        <f ca="1">C31+C51</f>
        <v>28055</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4" t="s">
        <v>3181</v>
      </c>
      <c r="B1" s="3494"/>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5" t="s">
        <v>3232</v>
      </c>
      <c r="B1" s="3495"/>
      <c r="C1" s="3495"/>
      <c r="D1" s="3495"/>
      <c r="E1" s="3495"/>
      <c r="F1" s="3496"/>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6">
        <f>基准地价修正!G23</f>
        <v>45793</v>
      </c>
      <c r="B1" s="2928" t="s">
        <v>3378</v>
      </c>
      <c r="C1" s="2929"/>
      <c r="D1" s="2929"/>
      <c r="E1" s="2929"/>
      <c r="F1" s="2929"/>
      <c r="G1" s="2929"/>
      <c r="H1" s="2929"/>
      <c r="I1" s="2929"/>
      <c r="J1" s="2895"/>
      <c r="K1" s="2929" t="s">
        <v>454</v>
      </c>
      <c r="L1" s="2929"/>
      <c r="M1" s="2929"/>
      <c r="N1" s="2929"/>
      <c r="O1" s="2929"/>
      <c r="P1" s="2929"/>
      <c r="Q1" s="2895"/>
      <c r="R1" s="3497" t="s">
        <v>456</v>
      </c>
      <c r="S1" s="3498"/>
      <c r="T1" s="3498"/>
      <c r="U1" s="3498"/>
      <c r="V1" s="3498"/>
      <c r="W1" s="3498"/>
      <c r="X1" s="2895"/>
      <c r="Y1" s="3497" t="s">
        <v>457</v>
      </c>
      <c r="Z1" s="3498"/>
      <c r="AA1" s="3498"/>
      <c r="AB1" s="3498"/>
      <c r="AC1" s="3498"/>
      <c r="AD1" s="3498"/>
    </row>
    <row r="2" spans="1:44"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5" customFormat="1" ht="12.75">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3404</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2.75">
      <c r="A6" s="2039" t="s">
        <v>3403</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2.75">
      <c r="A7" s="2906" t="s">
        <v>3402</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2.75">
      <c r="A11" s="2904" t="s">
        <v>3376</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2.75">
      <c r="A12" s="2904" t="s">
        <v>3375</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2.75">
      <c r="A13" s="2904" t="s">
        <v>3371</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2.75">
      <c r="A14" s="2904" t="s">
        <v>3370</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2.75">
      <c r="A15" s="2904" t="s">
        <v>3368</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2.75">
      <c r="A16" s="2904" t="s">
        <v>3367</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2.75">
      <c r="A17" s="2904" t="s">
        <v>3366</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2.75">
      <c r="A18" s="2904" t="s">
        <v>3364</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2.75">
      <c r="A19" s="2904" t="s">
        <v>3355</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2.75">
      <c r="A20" s="2904" t="s">
        <v>2820</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2.75">
      <c r="A21" s="2904" t="s">
        <v>2821</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2.75">
      <c r="A22" s="2904" t="s">
        <v>2822</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2.75">
      <c r="A23" s="2904" t="s">
        <v>2823</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4.25" thickTop="1"/>
    <row r="26" spans="1:44">
      <c r="A26" s="3142" t="s">
        <v>3381</v>
      </c>
    </row>
    <row r="27" spans="1:44">
      <c r="I27" s="1404" t="s">
        <v>2825</v>
      </c>
    </row>
    <row r="29" spans="1:44" s="2008" customFormat="1" ht="12.75">
      <c r="B29" s="2928" t="s">
        <v>3379</v>
      </c>
      <c r="C29" s="2929"/>
      <c r="D29" s="2929"/>
      <c r="E29" s="2929"/>
      <c r="F29" s="2929"/>
      <c r="G29" s="2929"/>
      <c r="H29" s="2929"/>
      <c r="I29" s="2929"/>
      <c r="J29" s="2895"/>
      <c r="K29" s="2929" t="s">
        <v>2826</v>
      </c>
      <c r="L29" s="2929"/>
      <c r="M29" s="2929"/>
      <c r="N29" s="2929"/>
      <c r="O29" s="2929"/>
      <c r="P29" s="2929"/>
      <c r="Q29" s="2895"/>
      <c r="R29" s="3497" t="s">
        <v>2827</v>
      </c>
      <c r="S29" s="3498"/>
      <c r="T29" s="3498"/>
      <c r="U29" s="3498"/>
      <c r="V29" s="3498"/>
      <c r="W29" s="3498"/>
      <c r="X29" s="2895"/>
      <c r="Y29" s="3497" t="s">
        <v>2828</v>
      </c>
      <c r="Z29" s="3498"/>
      <c r="AA29" s="3498"/>
      <c r="AB29" s="3498"/>
      <c r="AC29" s="3498"/>
      <c r="AD29" s="3498"/>
    </row>
    <row r="30" spans="1:44" s="2009" customFormat="1" ht="14.25" thickBot="1">
      <c r="B30" s="2880"/>
      <c r="C30" s="2881"/>
      <c r="D30" s="2010" t="s">
        <v>2829</v>
      </c>
      <c r="E30" s="2011" t="s">
        <v>2830</v>
      </c>
      <c r="F30" s="2011" t="s">
        <v>2831</v>
      </c>
      <c r="G30" s="2011" t="s">
        <v>2832</v>
      </c>
      <c r="H30" s="2011"/>
      <c r="I30" s="2011" t="s">
        <v>2833</v>
      </c>
      <c r="J30" s="2882"/>
      <c r="K30" s="2010" t="s">
        <v>2829</v>
      </c>
      <c r="L30" s="2011" t="s">
        <v>2830</v>
      </c>
      <c r="M30" s="2011" t="s">
        <v>2831</v>
      </c>
      <c r="N30" s="2011" t="s">
        <v>2832</v>
      </c>
      <c r="O30" s="2011"/>
      <c r="P30" s="2011" t="s">
        <v>2833</v>
      </c>
      <c r="Q30" s="2882"/>
      <c r="R30" s="2010" t="s">
        <v>2829</v>
      </c>
      <c r="S30" s="2011" t="s">
        <v>2830</v>
      </c>
      <c r="T30" s="2011" t="s">
        <v>2831</v>
      </c>
      <c r="U30" s="2011" t="s">
        <v>2832</v>
      </c>
      <c r="V30" s="2011"/>
      <c r="W30" s="2011" t="s">
        <v>2833</v>
      </c>
      <c r="X30" s="2882"/>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5" customFormat="1" ht="12.75">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2.75">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3404</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2.75">
      <c r="A34" s="2039" t="s">
        <v>3403</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2.75">
      <c r="A35" s="2906" t="s">
        <v>3411</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2.75">
      <c r="A39" s="2904" t="s">
        <v>3377</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2.75">
      <c r="A40" s="2904" t="s">
        <v>3374</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2.75">
      <c r="A41" s="2904" t="s">
        <v>3372</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2.75">
      <c r="A42" s="2904" t="s">
        <v>3370</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2.75">
      <c r="A43" s="2904" t="s">
        <v>3369</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2.75">
      <c r="A44" s="2904" t="s">
        <v>3367</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2.75">
      <c r="A45" s="2904" t="s">
        <v>3366</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2.75">
      <c r="A46" s="2904" t="s">
        <v>3365</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2.75">
      <c r="A47" s="2904" t="s">
        <v>3355</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2.75">
      <c r="A48" s="2904" t="s">
        <v>2835</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2.75">
      <c r="A49" s="2904" t="s">
        <v>2836</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2.75">
      <c r="A50" s="2904" t="s">
        <v>2837</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2.75">
      <c r="A51" s="2904" t="s">
        <v>2838</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4.25" thickTop="1"/>
    <row r="54" spans="1:44">
      <c r="A54" s="3142"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0" t="s">
        <v>2839</v>
      </c>
      <c r="B1" s="3510"/>
      <c r="C1" s="3510"/>
      <c r="D1" s="3510"/>
      <c r="E1" s="3510"/>
      <c r="F1" s="3510"/>
      <c r="G1" s="351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0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45793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workbookViewId="0">
      <selection activeCell="M21" sqref="M21"/>
    </sheetView>
  </sheetViews>
  <sheetFormatPr defaultColWidth="9" defaultRowHeight="13.5"/>
  <cols>
    <col min="1" max="2" width="9" style="3171"/>
    <col min="3" max="3" width="13.25" style="3171" customWidth="1"/>
    <col min="4" max="4" width="9" style="3171"/>
    <col min="5" max="5" width="14.875" style="3171" customWidth="1"/>
    <col min="6" max="6" width="14.25" style="3171" customWidth="1"/>
    <col min="7" max="7" width="11.875" style="3171" customWidth="1"/>
    <col min="8" max="8" width="12.375" style="3171" customWidth="1"/>
    <col min="9" max="9" width="9" style="3171"/>
    <col min="10" max="10" width="17" style="3171" customWidth="1"/>
    <col min="11" max="11" width="9" style="3171"/>
    <col min="12" max="12" width="11.875" style="3171" customWidth="1"/>
    <col min="13" max="16384" width="9" style="3171"/>
  </cols>
  <sheetData>
    <row r="2" spans="2:12">
      <c r="G2" s="1447" t="s">
        <v>3503</v>
      </c>
    </row>
    <row r="3" spans="2:12">
      <c r="B3" s="1447" t="s">
        <v>3495</v>
      </c>
      <c r="C3" s="1447" t="s">
        <v>3526</v>
      </c>
      <c r="D3" s="1447" t="s">
        <v>3496</v>
      </c>
      <c r="E3" s="1447" t="s">
        <v>3498</v>
      </c>
      <c r="F3" s="1447" t="s">
        <v>3499</v>
      </c>
      <c r="G3" s="1447" t="s">
        <v>3500</v>
      </c>
      <c r="H3" s="1447" t="s">
        <v>3501</v>
      </c>
      <c r="I3" s="1447" t="s">
        <v>3502</v>
      </c>
      <c r="J3" s="1447" t="s">
        <v>3504</v>
      </c>
    </row>
    <row r="4" spans="2:12">
      <c r="B4" s="1447">
        <f>266.92+189.63</f>
        <v>456.55</v>
      </c>
      <c r="C4" s="3171">
        <f>266.92+94.815</f>
        <v>361.73500000000001</v>
      </c>
      <c r="D4" s="1447" t="s">
        <v>3497</v>
      </c>
      <c r="E4" s="3172">
        <v>45703</v>
      </c>
      <c r="F4" s="3172">
        <v>47528</v>
      </c>
      <c r="G4" s="3171">
        <f>50000*12</f>
        <v>600000</v>
      </c>
      <c r="H4" s="3171">
        <f>ROUND(G4*(1+5%),0)</f>
        <v>630000</v>
      </c>
      <c r="I4" s="3171">
        <f>ROUND(H4/C4/365,1)</f>
        <v>4.8</v>
      </c>
      <c r="J4" s="3171">
        <f>I4*C5</f>
        <v>3.8031497097798708</v>
      </c>
      <c r="K4" s="1447" t="s">
        <v>3515</v>
      </c>
      <c r="L4" s="1447" t="s">
        <v>3516</v>
      </c>
    </row>
    <row r="5" spans="2:12">
      <c r="C5" s="3171">
        <f>C4/B4</f>
        <v>0.79232285620413978</v>
      </c>
    </row>
    <row r="7" spans="2:12">
      <c r="C7" s="1447" t="s">
        <v>3527</v>
      </c>
    </row>
    <row r="8" spans="2:12">
      <c r="C8" s="3171">
        <f>B4-C4</f>
        <v>94.814999999999998</v>
      </c>
      <c r="F8" s="1447"/>
    </row>
    <row r="12" spans="2:12">
      <c r="G12" s="1447" t="s">
        <v>3536</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0:K49"/>
  <sheetViews>
    <sheetView workbookViewId="0">
      <selection activeCell="L77" sqref="L77"/>
    </sheetView>
  </sheetViews>
  <sheetFormatPr defaultRowHeight="13.5"/>
  <sheetData>
    <row r="20" spans="11:11">
      <c r="K20" s="1404" t="s">
        <v>3517</v>
      </c>
    </row>
    <row r="49" spans="11:11">
      <c r="K49" s="1404" t="s">
        <v>3522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N69" sqref="N6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800" t="s">
        <v>925</v>
      </c>
      <c r="E3" s="800" t="s">
        <v>931</v>
      </c>
      <c r="F3" s="800" t="s">
        <v>925</v>
      </c>
      <c r="G3" s="800" t="s">
        <v>926</v>
      </c>
      <c r="H3" s="800" t="s">
        <v>925</v>
      </c>
      <c r="I3" s="800" t="s">
        <v>926</v>
      </c>
    </row>
    <row r="4" spans="1:9" ht="45">
      <c r="A4" s="1402" t="str">
        <f>项目基本情况!S2</f>
        <v>北京市大兴区黄村镇兴业大街76号楼1至2层1、2号商业用房房地产</v>
      </c>
      <c r="B4" s="800">
        <f>项目基本情况!C17</f>
        <v>456.55</v>
      </c>
      <c r="C4" s="800">
        <f>项目基本情况!C18</f>
        <v>0</v>
      </c>
      <c r="D4" s="800">
        <f ca="1">结果表!D118</f>
        <v>1130</v>
      </c>
      <c r="E4" s="800">
        <f ca="1">结果表!E118</f>
        <v>24742</v>
      </c>
      <c r="F4" s="800">
        <f ca="1">结果表!F118</f>
        <v>306</v>
      </c>
      <c r="G4" s="800">
        <f ca="1">结果表!G118</f>
        <v>6696</v>
      </c>
      <c r="H4" s="800">
        <f ca="1">结果表!H118</f>
        <v>1435</v>
      </c>
      <c r="I4" s="800">
        <f ca="1">结果表!I118</f>
        <v>31438</v>
      </c>
    </row>
    <row r="5" spans="1:9" ht="30" customHeight="1">
      <c r="A5" s="3189" t="s">
        <v>927</v>
      </c>
      <c r="B5" s="3189"/>
      <c r="C5" s="3189"/>
      <c r="D5" s="3189" t="str">
        <f ca="1">结果表!D119</f>
        <v>壹仟壹佰叁拾万元整</v>
      </c>
      <c r="E5" s="3189"/>
      <c r="F5" s="3189" t="str">
        <f ca="1">结果表!F119</f>
        <v>叁佰零陆万元整</v>
      </c>
      <c r="G5" s="3189"/>
      <c r="H5" s="3189" t="str">
        <f ca="1">结果表!H119</f>
        <v>壹仟肆佰叁拾伍万元整</v>
      </c>
      <c r="I5" s="3189"/>
    </row>
    <row r="6" spans="1:9" ht="15.75">
      <c r="A6" s="3188" t="str">
        <f>结果表!A120</f>
        <v>估价师知悉的法定优先受偿款</v>
      </c>
      <c r="B6" s="3188"/>
      <c r="C6" s="3188"/>
      <c r="D6" s="3188">
        <f>结果表!D120</f>
        <v>0</v>
      </c>
      <c r="E6" s="3188"/>
      <c r="F6" s="3188"/>
      <c r="G6" s="3188"/>
      <c r="H6" s="3188"/>
      <c r="I6" s="3188"/>
    </row>
    <row r="7" spans="1:9" ht="15">
      <c r="A7" s="3189" t="s">
        <v>927</v>
      </c>
      <c r="B7" s="3189"/>
      <c r="C7" s="3189"/>
      <c r="D7" s="3190" t="str">
        <f>结果表!D121</f>
        <v>零元整</v>
      </c>
      <c r="E7" s="3191"/>
      <c r="F7" s="3191"/>
      <c r="G7" s="3191"/>
      <c r="H7" s="3191"/>
      <c r="I7" s="3192"/>
    </row>
    <row r="8" spans="1:9" ht="15.75">
      <c r="A8" s="3188" t="str">
        <f>结果表!A122</f>
        <v>房地产抵押价值</v>
      </c>
      <c r="B8" s="3188"/>
      <c r="C8" s="3188"/>
      <c r="D8" s="3188">
        <f ca="1">结果表!D122</f>
        <v>1435</v>
      </c>
      <c r="E8" s="3188"/>
      <c r="F8" s="3188"/>
      <c r="G8" s="3188"/>
      <c r="H8" s="3188"/>
      <c r="I8" s="3188"/>
    </row>
    <row r="9" spans="1:9" ht="15">
      <c r="A9" s="3189" t="s">
        <v>927</v>
      </c>
      <c r="B9" s="3189"/>
      <c r="C9" s="3189"/>
      <c r="D9" s="3189" t="str">
        <f ca="1">结果表!D123</f>
        <v>壹仟肆佰叁拾伍万元整</v>
      </c>
      <c r="E9" s="3189"/>
      <c r="F9" s="3189"/>
      <c r="G9" s="3189"/>
      <c r="H9" s="3189"/>
      <c r="I9" s="3189"/>
    </row>
    <row r="10" spans="1:9" ht="15.75">
      <c r="A10" s="3188" t="str">
        <f>结果表!A124</f>
        <v/>
      </c>
      <c r="B10" s="3188"/>
      <c r="C10" s="3188"/>
      <c r="D10" s="3188" t="str">
        <f>结果表!D124</f>
        <v>——</v>
      </c>
      <c r="E10" s="3188"/>
      <c r="F10" s="3188"/>
      <c r="G10" s="3188"/>
      <c r="H10" s="3188"/>
      <c r="I10" s="3188"/>
    </row>
    <row r="11" spans="1:9" ht="15">
      <c r="A11" s="3189" t="s">
        <v>927</v>
      </c>
      <c r="B11" s="3189"/>
      <c r="C11" s="3189"/>
      <c r="D11" s="3189" t="e">
        <f>结果表!D125</f>
        <v>#VALUE!</v>
      </c>
      <c r="E11" s="3189"/>
      <c r="F11" s="3189"/>
      <c r="G11" s="3189"/>
      <c r="H11" s="3189"/>
      <c r="I11" s="3189"/>
    </row>
    <row r="12" spans="1:9" ht="15.75">
      <c r="A12" s="3188" t="str">
        <f>结果表!A126</f>
        <v/>
      </c>
      <c r="B12" s="3188"/>
      <c r="C12" s="3188"/>
      <c r="D12" s="3188" t="str">
        <f>结果表!D126</f>
        <v>——</v>
      </c>
      <c r="E12" s="3188"/>
      <c r="F12" s="3188"/>
      <c r="G12" s="3188"/>
      <c r="H12" s="3188"/>
      <c r="I12" s="3188"/>
    </row>
    <row r="13" spans="1:9" ht="15.75" thickBot="1">
      <c r="A13" s="3186" t="s">
        <v>927</v>
      </c>
      <c r="B13" s="3186"/>
      <c r="C13" s="3186"/>
      <c r="D13" s="3186" t="e">
        <f>结果表!D127</f>
        <v>#VALUE!</v>
      </c>
      <c r="E13" s="3186"/>
      <c r="F13" s="3186"/>
      <c r="G13" s="3186"/>
      <c r="H13" s="3186"/>
      <c r="I13" s="3186"/>
    </row>
    <row r="14" spans="1:9" ht="15" thickTop="1">
      <c r="A14" s="3187" t="s">
        <v>932</v>
      </c>
      <c r="B14" s="3187"/>
      <c r="C14" s="3187"/>
      <c r="D14" s="3187"/>
      <c r="E14" s="3187"/>
      <c r="F14" s="3187"/>
      <c r="G14" s="3187"/>
      <c r="H14" s="3187"/>
      <c r="I14" s="318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949</v>
      </c>
      <c r="B1" s="3201"/>
      <c r="C1" s="3201"/>
      <c r="D1" s="3201"/>
    </row>
    <row r="2" spans="1:4" ht="18">
      <c r="A2" s="3202" t="s">
        <v>933</v>
      </c>
      <c r="B2" s="3202"/>
      <c r="C2" s="3202"/>
      <c r="D2" s="3202"/>
    </row>
    <row r="3" spans="1:4" ht="18.75">
      <c r="A3" s="1406" t="s">
        <v>934</v>
      </c>
      <c r="B3" s="1406" t="s">
        <v>935</v>
      </c>
      <c r="C3" s="1406" t="s">
        <v>936</v>
      </c>
      <c r="D3" s="1406" t="s">
        <v>937</v>
      </c>
    </row>
    <row r="4" spans="1:4" ht="56.25" customHeight="1">
      <c r="A4" s="1407" t="str">
        <f>项目基本情况!B4</f>
        <v>吴薇</v>
      </c>
      <c r="B4" s="1408">
        <f ca="1">项目基本情况!C4</f>
        <v>1419970001</v>
      </c>
      <c r="C4" s="1409"/>
      <c r="D4" s="1410" t="s">
        <v>938</v>
      </c>
    </row>
    <row r="5" spans="1:4" ht="56.25" customHeight="1">
      <c r="A5" s="1407" t="str">
        <f>项目基本情况!D4</f>
        <v>郑燚</v>
      </c>
      <c r="B5" s="1408">
        <f ca="1">项目基本情况!E4</f>
        <v>1120070131</v>
      </c>
      <c r="C5" s="1411"/>
      <c r="D5" s="1410" t="s">
        <v>938</v>
      </c>
    </row>
    <row r="6" spans="1:4" ht="18">
      <c r="A6" s="3202" t="s">
        <v>939</v>
      </c>
      <c r="B6" s="3202"/>
      <c r="C6" s="3202"/>
      <c r="D6" s="320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3" t="s">
        <v>942</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5" t="str">
        <f>IF(项目基本情况!B8="抵押","4.本次评估估价师所知悉的法定优先受偿款情况说明如下：","——")</f>
        <v>4.本次评估估价师所知悉的法定优先受偿款情况说明如下：</v>
      </c>
      <c r="B14" s="3200"/>
      <c r="C14" s="3200"/>
      <c r="D14" s="3200"/>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7" t="s">
        <v>943</v>
      </c>
      <c r="B16" s="3197"/>
      <c r="C16" s="3197"/>
      <c r="D16" s="3197"/>
    </row>
    <row r="17" spans="1:4" ht="144" customHeight="1">
      <c r="A17" s="3197" t="s">
        <v>944</v>
      </c>
      <c r="B17" s="3197"/>
      <c r="C17" s="3197"/>
      <c r="D17" s="3197"/>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945</v>
      </c>
      <c r="B22" s="3199"/>
      <c r="C22" s="3199"/>
      <c r="D22" s="319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6">
        <v>42551</v>
      </c>
      <c r="D31" s="31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9" t="s">
        <v>956</v>
      </c>
      <c r="B15" s="3204" t="s">
        <v>109</v>
      </c>
      <c r="C15" s="3205"/>
    </row>
    <row r="16" spans="1:7" ht="13.5">
      <c r="A16" s="3210"/>
      <c r="B16" s="3204" t="s">
        <v>42</v>
      </c>
      <c r="C16" s="3205"/>
    </row>
    <row r="17" spans="1:3" ht="13.5">
      <c r="A17" s="3210"/>
      <c r="B17" s="3207" t="s">
        <v>957</v>
      </c>
      <c r="C17" s="1428" t="s">
        <v>956</v>
      </c>
    </row>
    <row r="18" spans="1:3" ht="13.5">
      <c r="A18" s="3210"/>
      <c r="B18" s="3207"/>
      <c r="C18" s="1428" t="s">
        <v>958</v>
      </c>
    </row>
    <row r="19" spans="1:3" ht="13.5">
      <c r="A19" s="3210"/>
      <c r="B19" s="3207"/>
      <c r="C19" s="1428" t="s">
        <v>959</v>
      </c>
    </row>
    <row r="20" spans="1:3" ht="13.5">
      <c r="A20" s="3211"/>
      <c r="B20" s="3206" t="s">
        <v>960</v>
      </c>
      <c r="C20" s="3205"/>
    </row>
    <row r="21" spans="1:3" ht="13.5">
      <c r="A21" s="1429" t="s">
        <v>961</v>
      </c>
      <c r="B21" s="1430"/>
      <c r="C21" s="1431"/>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8" t="s">
        <v>967</v>
      </c>
    </row>
    <row r="26" spans="1:3" ht="13.5">
      <c r="A26" s="3208"/>
      <c r="B26" s="3207"/>
      <c r="C26" s="1428" t="s">
        <v>968</v>
      </c>
    </row>
    <row r="27" spans="1:3" ht="13.5">
      <c r="A27" s="3208"/>
      <c r="B27" s="3207"/>
      <c r="C27" s="1428" t="s">
        <v>969</v>
      </c>
    </row>
    <row r="28" spans="1:3" ht="13.5">
      <c r="A28" s="3208"/>
      <c r="B28" s="3207"/>
      <c r="C28" s="1428" t="s">
        <v>970</v>
      </c>
    </row>
    <row r="29" spans="1:3" ht="13.5">
      <c r="A29" s="3208"/>
      <c r="B29" s="3207"/>
      <c r="C29" s="1428" t="s">
        <v>971</v>
      </c>
    </row>
    <row r="30" spans="1:3" ht="13.5">
      <c r="A30" s="3208"/>
      <c r="B30" s="3207"/>
      <c r="C30" s="1428" t="s">
        <v>972</v>
      </c>
    </row>
    <row r="31" spans="1:3" ht="13.5">
      <c r="A31" s="3208"/>
      <c r="B31" s="3207"/>
      <c r="C31" s="1428" t="s">
        <v>973</v>
      </c>
    </row>
    <row r="32" spans="1:3" ht="13.5">
      <c r="A32" s="3208"/>
      <c r="B32" s="3207"/>
      <c r="C32" s="1428" t="s">
        <v>974</v>
      </c>
    </row>
    <row r="33" spans="1:3" ht="13.5">
      <c r="A33" s="3208"/>
      <c r="B33" s="320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45797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9"/>
      <c r="E18" s="3214" t="s">
        <v>2162</v>
      </c>
      <c r="F18" s="3213"/>
      <c r="G18" s="321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cellIs" dxfId="162" priority="13" stopIfTrue="1" operator="lessThan">
      <formula>$B$2</formula>
    </cfRule>
    <cfRule type="expression" dxfId="161" priority="12">
      <formula>AND($C15-TODAY()&lt;30,TODAY()&lt;$C15)</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cellIs" dxfId="157" priority="2" stopIfTrue="1" operator="lessThan">
      <formula>$B$2</formula>
    </cfRule>
    <cfRule type="expression" dxfId="15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比较法-租金商业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租赁合同</vt:lpstr>
      <vt:lpstr>市调</vt:lpstr>
      <vt:lpstr>Sheet4</vt:lpstr>
      <vt:lpstr>'比较法-办公'!Print_Area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2025-05-20T07:37:35Z</dcterms:modified>
</cp:coreProperties>
</file>