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C20" i="43"/>
  <c r="J53" i="67"/>
  <c r="J53" i="15"/>
  <c r="D10" i="71"/>
  <c r="AH8" i="71"/>
  <c r="AG8" i="71"/>
  <c r="AE8" i="71"/>
  <c r="AF8" i="71"/>
  <c r="AD8" i="71"/>
  <c r="C14" i="74"/>
  <c r="B14" i="74"/>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s="1"/>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F34" i="68"/>
  <c r="C36" i="68"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C10" i="69" s="1"/>
  <c r="N63" i="40"/>
  <c r="M65" i="40"/>
  <c r="O70" i="39"/>
  <c r="N70" i="39"/>
  <c r="O63" i="40"/>
  <c r="O65" i="40"/>
  <c r="N65" i="40"/>
  <c r="F7" i="40"/>
  <c r="S7" i="40" s="1"/>
  <c r="H7" i="40"/>
  <c r="U7" i="40" s="1"/>
  <c r="J7" i="40"/>
  <c r="W7" i="40"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s="1"/>
  <c r="V47" i="39" s="1"/>
  <c r="I47" i="39" s="1"/>
  <c r="F7" i="39"/>
  <c r="S7" i="39" s="1"/>
  <c r="H7" i="39"/>
  <c r="AB7" i="39" s="1"/>
  <c r="T47" i="39" s="1"/>
  <c r="G47" i="39" s="1"/>
  <c r="H112" i="9"/>
  <c r="D21" i="53"/>
  <c r="B39" i="72"/>
  <c r="H111" i="9"/>
  <c r="D126" i="9"/>
  <c r="D19" i="53"/>
  <c r="D59" i="9"/>
  <c r="M55" i="9"/>
  <c r="B38" i="72"/>
  <c r="D20" i="53"/>
  <c r="B40" i="72"/>
  <c r="I14" i="74"/>
  <c r="B8" i="74"/>
  <c r="D127" i="9"/>
  <c r="D13" i="52"/>
  <c r="D12" i="52"/>
  <c r="D8" i="74"/>
  <c r="C8" i="74"/>
  <c r="AD3" i="71"/>
  <c r="B4" i="62"/>
  <c r="B71" i="72"/>
  <c r="M24" i="15"/>
  <c r="M21" i="15"/>
  <c r="C76" i="67"/>
  <c r="M29" i="15"/>
  <c r="M29" i="67"/>
  <c r="F3" i="73"/>
  <c r="E9" i="76"/>
  <c r="F20" i="31"/>
  <c r="F13" i="67"/>
  <c r="D7" i="73"/>
  <c r="F36" i="67"/>
  <c r="B12" i="76"/>
  <c r="F26" i="67"/>
  <c r="M28" i="67"/>
  <c r="F4" i="73"/>
  <c r="M6" i="67"/>
  <c r="C14" i="15"/>
  <c r="C19" i="9"/>
  <c r="D4" i="73"/>
  <c r="L47" i="15"/>
  <c r="E11" i="76"/>
  <c r="M23" i="15"/>
  <c r="L48" i="15"/>
  <c r="D2" i="33"/>
  <c r="D2" i="37"/>
  <c r="AO12" i="1"/>
  <c r="F8" i="15"/>
  <c r="B11" i="76"/>
  <c r="F42" i="15"/>
  <c r="F43" i="15"/>
  <c r="D20" i="9"/>
  <c r="E8" i="76"/>
  <c r="M6" i="15"/>
  <c r="F38" i="67"/>
  <c r="F7" i="73"/>
  <c r="J15" i="15"/>
  <c r="F42" i="67"/>
  <c r="M27" i="15"/>
  <c r="L48" i="67"/>
  <c r="M23" i="67"/>
  <c r="F7" i="67"/>
  <c r="AO7" i="1"/>
  <c r="F9" i="15"/>
  <c r="E10" i="76"/>
  <c r="F16" i="15"/>
  <c r="M21" i="67"/>
  <c r="F40" i="15"/>
  <c r="M9" i="15"/>
  <c r="D3" i="73"/>
  <c r="M8" i="67"/>
  <c r="F5" i="73"/>
  <c r="F6" i="15"/>
  <c r="AO10" i="1"/>
  <c r="D34" i="9"/>
  <c r="F36" i="15"/>
  <c r="M9" i="67"/>
  <c r="B10" i="76"/>
  <c r="M26" i="15"/>
  <c r="F38" i="15"/>
  <c r="D19" i="9"/>
  <c r="AO9" i="1"/>
  <c r="J15" i="67"/>
  <c r="E13" i="76"/>
  <c r="F8" i="67"/>
  <c r="F37" i="67"/>
  <c r="E2" i="68"/>
  <c r="E12" i="76"/>
  <c r="M26" i="67"/>
  <c r="F40" i="67"/>
  <c r="F6" i="73"/>
  <c r="F43" i="67"/>
  <c r="F35" i="15"/>
  <c r="D2" i="21"/>
  <c r="B9" i="76"/>
  <c r="M28" i="15"/>
  <c r="F9" i="67"/>
  <c r="AO11" i="1"/>
  <c r="F16" i="67"/>
  <c r="F41" i="67"/>
  <c r="F35" i="67"/>
  <c r="D6" i="73"/>
  <c r="F37" i="15"/>
  <c r="E7" i="76"/>
  <c r="F7" i="15"/>
  <c r="F31" i="15" s="1"/>
  <c r="M22" i="67"/>
  <c r="D2" i="36"/>
  <c r="M27" i="67"/>
  <c r="M24" i="67"/>
  <c r="F26" i="15"/>
  <c r="B7" i="76"/>
  <c r="C76" i="15"/>
  <c r="D2" i="35"/>
  <c r="B13" i="76"/>
  <c r="M8" i="15"/>
  <c r="D2" i="34"/>
  <c r="M22" i="15"/>
  <c r="D5" i="73"/>
  <c r="F13" i="15"/>
  <c r="E2" i="69"/>
  <c r="AO13" i="1"/>
  <c r="B8" i="76"/>
  <c r="F41" i="15"/>
  <c r="D35" i="9"/>
  <c r="L47" i="67"/>
  <c r="AO6" i="1"/>
  <c r="F6" i="67"/>
  <c r="AO8" i="1"/>
  <c r="C20" i="9"/>
  <c r="F6" i="71" l="1"/>
  <c r="F5" i="71" s="1"/>
  <c r="Y5" i="71"/>
  <c r="Z5" i="71" s="1"/>
  <c r="B7" i="49"/>
  <c r="E7" i="49"/>
  <c r="B15" i="49"/>
  <c r="AB3" i="71"/>
  <c r="X3" i="71"/>
  <c r="C6" i="71"/>
  <c r="AA7" i="40"/>
  <c r="R42" i="40" s="1"/>
  <c r="E42" i="40" s="1"/>
  <c r="E6" i="71"/>
  <c r="E5" i="71" s="1"/>
  <c r="E10" i="49"/>
  <c r="B6" i="49"/>
  <c r="E14" i="49"/>
  <c r="AC7" i="40"/>
  <c r="V42" i="40" s="1"/>
  <c r="I42" i="40" s="1"/>
  <c r="D19" i="69"/>
  <c r="C19" i="69" s="1"/>
  <c r="W7" i="39"/>
  <c r="AF3" i="71"/>
  <c r="P24" i="43" s="1"/>
  <c r="B66" i="40" s="1"/>
  <c r="P23" i="43"/>
  <c r="B71" i="39" s="1"/>
  <c r="P21" i="43"/>
  <c r="C12" i="12"/>
  <c r="P22" i="43"/>
  <c r="AA7" i="39"/>
  <c r="R47" i="39" s="1"/>
  <c r="E47" i="39" s="1"/>
  <c r="AB7" i="40"/>
  <c r="T42" i="40" s="1"/>
  <c r="G42" i="40" s="1"/>
  <c r="G46" i="40" s="1"/>
  <c r="H46" i="40" s="1"/>
  <c r="R48" i="39"/>
  <c r="C48" i="39" s="1"/>
  <c r="U7" i="39"/>
  <c r="G52" i="39"/>
  <c r="H52" i="39" s="1"/>
  <c r="G51" i="39"/>
  <c r="H51" i="39" s="1"/>
  <c r="C47" i="39"/>
  <c r="I51" i="39"/>
  <c r="J51" i="39" s="1"/>
  <c r="R43" i="40"/>
  <c r="I46" i="40"/>
  <c r="J46" i="40" s="1"/>
  <c r="C14" i="12"/>
  <c r="C23" i="12"/>
  <c r="C29" i="69"/>
  <c r="D27" i="69" s="1"/>
  <c r="R16" i="1"/>
  <c r="B13" i="49"/>
  <c r="B4" i="49"/>
  <c r="B9" i="49"/>
  <c r="E22" i="49"/>
  <c r="E16" i="49"/>
  <c r="E11" i="49"/>
  <c r="D19" i="68"/>
  <c r="C19" i="68" s="1"/>
  <c r="C20" i="68" s="1"/>
  <c r="C28" i="68" s="1"/>
  <c r="C27" i="68" s="1"/>
  <c r="B10" i="49"/>
  <c r="E6" i="49"/>
  <c r="E8" i="49"/>
  <c r="E5" i="49"/>
  <c r="B8" i="49"/>
  <c r="B5" i="49"/>
  <c r="E21" i="49"/>
  <c r="E4" i="49"/>
  <c r="B11" i="49"/>
  <c r="B14" i="49"/>
  <c r="B16" i="49"/>
  <c r="E13" i="49"/>
  <c r="E15" i="49"/>
  <c r="E9" i="49"/>
  <c r="B22" i="49"/>
  <c r="C16" i="12"/>
  <c r="D37" i="69"/>
  <c r="C37" i="69" s="1"/>
  <c r="C18" i="12"/>
  <c r="C8" i="69"/>
  <c r="C5" i="69" s="1"/>
  <c r="C20" i="69" s="1"/>
  <c r="C47" i="68"/>
  <c r="D45" i="68" s="1"/>
  <c r="C35" i="69"/>
  <c r="C34" i="68"/>
  <c r="C33" i="69"/>
  <c r="C39" i="69" s="1"/>
  <c r="C46" i="69" s="1"/>
  <c r="C45" i="69" s="1"/>
  <c r="B2" i="37"/>
  <c r="B3" i="37" s="1"/>
  <c r="B2" i="34"/>
  <c r="B3" i="34" s="1"/>
  <c r="G20" i="9"/>
  <c r="C103" i="9"/>
  <c r="B2" i="21"/>
  <c r="B3" i="21" s="1"/>
  <c r="D102" i="9"/>
  <c r="D21" i="9"/>
  <c r="B2" i="33"/>
  <c r="B3" i="33" s="1"/>
  <c r="B2" i="36"/>
  <c r="B3" i="36" s="1"/>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2" i="35"/>
  <c r="B3" i="35" s="1"/>
  <c r="B8" i="70"/>
  <c r="C34" i="67"/>
  <c r="F63" i="67"/>
  <c r="C62" i="67" s="1"/>
  <c r="C21" i="9"/>
  <c r="D22" i="9"/>
  <c r="C102" i="9"/>
  <c r="G19" i="9"/>
  <c r="J20" i="15"/>
  <c r="D103" i="9"/>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7" i="67"/>
  <c r="C16" i="67"/>
  <c r="C16" i="15"/>
  <c r="F59" i="67"/>
  <c r="F59" i="15"/>
  <c r="F31" i="67"/>
  <c r="M17" i="67"/>
  <c r="C14" i="67"/>
  <c r="M17" i="15"/>
  <c r="C17" i="15"/>
  <c r="G1" i="73"/>
  <c r="G47" i="40" l="1"/>
  <c r="H47" i="40" s="1"/>
  <c r="I47" i="40"/>
  <c r="J47" i="40" s="1"/>
  <c r="C5" i="71"/>
  <c r="D6" i="71"/>
  <c r="P25" i="43"/>
  <c r="E51" i="39"/>
  <c r="F51" i="39" s="1"/>
  <c r="E52" i="39"/>
  <c r="F52" i="39" s="1"/>
  <c r="I52" i="39"/>
  <c r="J52" i="39" s="1"/>
  <c r="E46" i="40"/>
  <c r="F46" i="40" s="1"/>
  <c r="E47" i="40"/>
  <c r="F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42" i="40"/>
  <c r="C43" i="40"/>
  <c r="C28" i="69"/>
  <c r="C27" i="69" s="1"/>
  <c r="D37" i="68"/>
  <c r="C37" i="68" s="1"/>
  <c r="C21" i="12"/>
  <c r="C22" i="12" s="1"/>
  <c r="C30" i="12" s="1"/>
  <c r="C28" i="12" s="1"/>
  <c r="C49" i="67"/>
  <c r="C49" i="15"/>
  <c r="C38" i="68"/>
  <c r="C35" i="68"/>
  <c r="B40" i="1"/>
  <c r="C19" i="15"/>
  <c r="C18" i="67"/>
  <c r="C15" i="67"/>
  <c r="M11" i="15"/>
  <c r="J10" i="15" s="1"/>
  <c r="J5" i="15" s="1"/>
  <c r="F11" i="67"/>
  <c r="F11" i="15"/>
  <c r="M11" i="67"/>
  <c r="J10" i="67" s="1"/>
  <c r="J5" i="67" s="1"/>
  <c r="C32" i="9"/>
  <c r="G21" i="9"/>
  <c r="Q73" i="67"/>
  <c r="Q60" i="67"/>
  <c r="B2" i="70"/>
  <c r="B3" i="70" s="1"/>
  <c r="P17" i="43"/>
  <c r="M17" i="43"/>
  <c r="N17" i="43"/>
  <c r="O17" i="43"/>
  <c r="Q60" i="15"/>
  <c r="Q73" i="15"/>
  <c r="Q74" i="15"/>
  <c r="Q61" i="15"/>
  <c r="Q61" i="67"/>
  <c r="Q74" i="67"/>
  <c r="D5" i="71" l="1"/>
  <c r="M20" i="43" s="1"/>
  <c r="C19" i="43"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19" i="67"/>
  <c r="C20" i="67" s="1"/>
  <c r="C26" i="67" s="1"/>
  <c r="C33" i="68"/>
  <c r="C39" i="68" s="1"/>
  <c r="J24" i="67"/>
  <c r="J26" i="67"/>
  <c r="J29" i="67" s="1"/>
  <c r="J18" i="67"/>
  <c r="C35" i="9"/>
  <c r="F118" i="9" s="1"/>
  <c r="H118" i="9"/>
  <c r="C53" i="67"/>
  <c r="C48" i="67" s="1"/>
  <c r="C10" i="67"/>
  <c r="C5" i="67" s="1"/>
  <c r="C20" i="15"/>
  <c r="C26" i="15" s="1"/>
  <c r="J24" i="15"/>
  <c r="J18" i="15"/>
  <c r="J26" i="15"/>
  <c r="J29" i="15" s="1"/>
  <c r="C53" i="15"/>
  <c r="C48" i="15" s="1"/>
  <c r="C10" i="15"/>
  <c r="C5" i="15" s="1"/>
  <c r="F24" i="67"/>
  <c r="C24" i="67" s="1"/>
  <c r="F22" i="68"/>
  <c r="F22" i="11"/>
  <c r="F22" i="69"/>
  <c r="F25" i="12"/>
  <c r="F24" i="15"/>
  <c r="C24" i="15" s="1"/>
  <c r="C37" i="43" l="1"/>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4" i="9"/>
  <c r="D118" i="9" s="1"/>
  <c r="D119" i="9" s="1"/>
  <c r="D5" i="52" s="1"/>
  <c r="B49" i="72" s="1"/>
  <c r="C46" i="68"/>
  <c r="C45" i="68" s="1"/>
  <c r="C23" i="68"/>
  <c r="C26" i="68"/>
  <c r="D22" i="68" s="1"/>
  <c r="C24" i="68"/>
  <c r="C44" i="68"/>
  <c r="D41" i="68" s="1"/>
  <c r="C25" i="68"/>
  <c r="C42" i="68"/>
  <c r="C38" i="15"/>
  <c r="C32" i="15"/>
  <c r="C26" i="12"/>
  <c r="D25" i="12" s="1"/>
  <c r="C27" i="12"/>
  <c r="C25" i="12" s="1"/>
  <c r="C42" i="11"/>
  <c r="C44" i="11"/>
  <c r="D41" i="11" s="1"/>
  <c r="C23" i="11"/>
  <c r="C43" i="11"/>
  <c r="C26" i="11"/>
  <c r="D22" i="11" s="1"/>
  <c r="C24" i="11"/>
  <c r="C25" i="11"/>
  <c r="C23" i="67"/>
  <c r="C29" i="67" s="1"/>
  <c r="C66" i="15"/>
  <c r="C60" i="15"/>
  <c r="C60" i="67"/>
  <c r="C66" i="67"/>
  <c r="I118" i="9"/>
  <c r="D14" i="74"/>
  <c r="H101" i="9"/>
  <c r="H119" i="9"/>
  <c r="H5" i="52" s="1"/>
  <c r="H4" i="52"/>
  <c r="C104" i="9"/>
  <c r="C44" i="69"/>
  <c r="D41" i="69" s="1"/>
  <c r="C23" i="69"/>
  <c r="C25" i="69"/>
  <c r="C26" i="69"/>
  <c r="D22" i="69" s="1"/>
  <c r="C24" i="69"/>
  <c r="C42" i="69"/>
  <c r="C43" i="69"/>
  <c r="C23" i="15"/>
  <c r="C29" i="15" s="1"/>
  <c r="C38" i="67"/>
  <c r="C32" i="67"/>
  <c r="D4" i="52"/>
  <c r="B47" i="72" s="1"/>
  <c r="F4" i="52"/>
  <c r="B51" i="72" s="1"/>
  <c r="F119" i="9"/>
  <c r="F5" i="52" s="1"/>
  <c r="B53" i="72" s="1"/>
  <c r="G118" i="9"/>
  <c r="G4" i="52" s="1"/>
  <c r="B52" i="72" s="1"/>
  <c r="C43" i="68"/>
  <c r="G33" i="43" l="1"/>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C32" i="12"/>
  <c r="B2" i="12" s="1"/>
  <c r="B3" i="12" s="1"/>
  <c r="J19" i="15"/>
  <c r="J17" i="15" s="1"/>
  <c r="Q49" i="15"/>
  <c r="C33" i="15"/>
  <c r="C36" i="15"/>
  <c r="C57" i="15"/>
  <c r="J14" i="15"/>
  <c r="C13" i="15"/>
  <c r="J59" i="15"/>
  <c r="J60" i="15" s="1"/>
  <c r="D45" i="9"/>
  <c r="H107" i="9"/>
  <c r="M48" i="9"/>
  <c r="D5" i="53"/>
  <c r="I4" i="52"/>
  <c r="C105" i="9"/>
  <c r="E118" i="9"/>
  <c r="E4" i="52" s="1"/>
  <c r="B48" i="72" s="1"/>
  <c r="H102" i="9"/>
  <c r="D7" i="53" s="1"/>
  <c r="B21" i="72" s="1"/>
  <c r="C22" i="11"/>
  <c r="C31" i="11" s="1"/>
  <c r="C41" i="11"/>
  <c r="C49" i="11" s="1"/>
  <c r="C51" i="11" s="1"/>
  <c r="C31" i="15"/>
  <c r="C41" i="68"/>
  <c r="C49" i="68" s="1"/>
  <c r="C51" i="68" s="1"/>
  <c r="E14" i="74"/>
  <c r="B5" i="74"/>
  <c r="F14" i="74"/>
  <c r="C33" i="67"/>
  <c r="C31" i="67" s="1"/>
  <c r="J14" i="67"/>
  <c r="C57" i="67"/>
  <c r="C13" i="67"/>
  <c r="J19" i="67"/>
  <c r="J17" i="67" s="1"/>
  <c r="Q49" i="67"/>
  <c r="C36" i="67"/>
  <c r="J59" i="67"/>
  <c r="J60" i="67" s="1"/>
  <c r="C22" i="68"/>
  <c r="C31" i="68" s="1"/>
  <c r="C26" i="43" l="1"/>
  <c r="B2" i="43" s="1"/>
  <c r="C27" i="43"/>
  <c r="C52" i="69"/>
  <c r="B2" i="69" s="1"/>
  <c r="B3" i="69" s="1"/>
  <c r="C52" i="68"/>
  <c r="B2" i="68" s="1"/>
  <c r="B3" i="68" s="1"/>
  <c r="C52" i="11"/>
  <c r="B2" i="11" s="1"/>
  <c r="B3" i="11" s="1"/>
  <c r="D5" i="74"/>
  <c r="C5" i="74"/>
  <c r="Q48" i="67"/>
  <c r="L46" i="67"/>
  <c r="C75" i="67"/>
  <c r="C37" i="67"/>
  <c r="C30" i="67" s="1"/>
  <c r="C39" i="67" s="1"/>
  <c r="Q70" i="67"/>
  <c r="C56" i="67"/>
  <c r="C65" i="67" s="1"/>
  <c r="J13" i="67"/>
  <c r="J23" i="67" s="1"/>
  <c r="J22" i="67"/>
  <c r="C57" i="68"/>
  <c r="C56" i="68" s="1"/>
  <c r="C56" i="11"/>
  <c r="C57" i="11" s="1"/>
  <c r="B20" i="72"/>
  <c r="D6" i="53"/>
  <c r="B22" i="72" s="1"/>
  <c r="H108" i="9"/>
  <c r="D15" i="53" s="1"/>
  <c r="B31" i="72" s="1"/>
  <c r="D13" i="53"/>
  <c r="D122" i="9"/>
  <c r="Q48" i="15"/>
  <c r="L46" i="15"/>
  <c r="J13" i="15"/>
  <c r="J23" i="15" s="1"/>
  <c r="J22" i="15"/>
  <c r="C61" i="67"/>
  <c r="C59" i="67" s="1"/>
  <c r="C64" i="67"/>
  <c r="D55" i="9"/>
  <c r="M53" i="9" s="1"/>
  <c r="C64" i="9"/>
  <c r="C63" i="9" s="1"/>
  <c r="C67" i="9" s="1"/>
  <c r="C68" i="9" s="1"/>
  <c r="D54" i="9" s="1"/>
  <c r="C93" i="9"/>
  <c r="C86" i="9" s="1"/>
  <c r="D52" i="9"/>
  <c r="C78" i="9"/>
  <c r="C73" i="9" s="1"/>
  <c r="C85" i="9"/>
  <c r="D53" i="9"/>
  <c r="C72" i="9"/>
  <c r="Q70" i="15"/>
  <c r="C56" i="15"/>
  <c r="C65" i="15" s="1"/>
  <c r="C37" i="15"/>
  <c r="C30" i="15" s="1"/>
  <c r="C39" i="15" s="1"/>
  <c r="C75" i="15"/>
  <c r="C61" i="15"/>
  <c r="C59" i="15" s="1"/>
  <c r="C64" i="15"/>
  <c r="B6" i="76"/>
  <c r="E6" i="76"/>
  <c r="E2" i="76" l="1"/>
  <c r="B2" i="76"/>
  <c r="B3" i="43"/>
  <c r="J16" i="67"/>
  <c r="J25" i="67" s="1"/>
  <c r="C57" i="69"/>
  <c r="C56" i="69" s="1"/>
  <c r="J16" i="15"/>
  <c r="J25" i="15" s="1"/>
  <c r="Q69" i="15"/>
  <c r="Q68" i="15" s="1"/>
  <c r="C40" i="15"/>
  <c r="C40" i="67"/>
  <c r="Q69" i="67"/>
  <c r="Q68" i="67" s="1"/>
  <c r="C58" i="15"/>
  <c r="C67" i="15" s="1"/>
  <c r="C68" i="15" s="1"/>
  <c r="C79" i="9"/>
  <c r="C95" i="9"/>
  <c r="C58" i="67"/>
  <c r="C67" i="67" s="1"/>
  <c r="C68" i="67" s="1"/>
  <c r="D14" i="53"/>
  <c r="B32" i="72" s="1"/>
  <c r="B30" i="72"/>
  <c r="C80" i="67"/>
  <c r="C79" i="67" s="1"/>
  <c r="C80" i="15"/>
  <c r="C79" i="15" s="1"/>
  <c r="G14" i="74"/>
  <c r="B6" i="74" s="1"/>
  <c r="D123" i="9"/>
  <c r="D9" i="52" s="1"/>
  <c r="D8" i="52"/>
  <c r="L51" i="67"/>
  <c r="L51" i="15"/>
  <c r="B3" i="76" l="1"/>
  <c r="Q67" i="67"/>
  <c r="L57" i="67"/>
  <c r="L60" i="67" s="1"/>
  <c r="Q67" i="15"/>
  <c r="L57" i="15"/>
  <c r="L60" i="15" s="1"/>
  <c r="C6" i="74"/>
  <c r="D6" i="74"/>
  <c r="C71" i="67"/>
  <c r="C45" i="67"/>
  <c r="C46" i="67" s="1"/>
  <c r="C81" i="9"/>
  <c r="C80" i="9"/>
  <c r="E80" i="9" s="1"/>
  <c r="E81" i="9" s="1"/>
  <c r="Q56" i="67"/>
  <c r="Q47" i="67"/>
  <c r="Q53" i="67" s="1"/>
  <c r="Q65" i="67"/>
  <c r="C43" i="67"/>
  <c r="D2" i="67"/>
  <c r="C83" i="67"/>
  <c r="C82" i="67" s="1"/>
  <c r="Q65" i="15"/>
  <c r="B2" i="15"/>
  <c r="B3" i="15" s="1"/>
  <c r="C43" i="15"/>
  <c r="Q47" i="15"/>
  <c r="Q53" i="15" s="1"/>
  <c r="Q56" i="15"/>
  <c r="C83" i="15"/>
  <c r="C82" i="15" s="1"/>
  <c r="C96" i="9"/>
  <c r="E96" i="9" s="1"/>
  <c r="E97" i="9" s="1"/>
  <c r="C97" i="9"/>
  <c r="D58" i="9" s="1"/>
  <c r="D56" i="9" s="1"/>
  <c r="M54" i="9" s="1"/>
  <c r="N57" i="9" s="1"/>
  <c r="C71" i="15"/>
  <c r="C46" i="15"/>
  <c r="N58" i="9" l="1"/>
  <c r="N59" i="9"/>
  <c r="P57" i="9"/>
  <c r="Q57" i="15"/>
  <c r="Q66" i="15"/>
  <c r="Q75" i="15" s="1"/>
  <c r="Q66" i="67"/>
  <c r="Q75" i="67" s="1"/>
  <c r="Q57" i="67"/>
  <c r="Q62" i="67" s="1"/>
  <c r="Q62" i="15"/>
  <c r="B2" i="67"/>
  <c r="B3" i="67"/>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<sst xmlns="http://schemas.openxmlformats.org/spreadsheetml/2006/main" count="7256" uniqueCount="3058">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</sst>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出让国有建设用地使用权及在建建筑物预评估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受贵公司委托，我公司对出让国有建设用地使用权及在建建筑物房地产抵押价值进行了预评估。</v>
      </c>
    </row>
    <row r="7" spans="1:2" s="1596" customFormat="1">
      <c r="A7" s="1594" t="s">
        <v>1260</v>
      </c>
      <c r="B7" s="1595" t="e">
        <f>'预评函-1'!A7</f>
        <v>#DIV/0!</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e">
        <f>'预评函-1'!A10</f>
        <v>#DIV/0!</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（评估专业人员实地查勘之日）</v>
      </c>
    </row>
    <row r="13" spans="1:2" s="1596" customFormat="1">
      <c r="A13" s="1594" t="s">
        <v>1223</v>
      </c>
      <c r="B13" s="1595" t="str">
        <f>'预评函-1'!A18</f>
        <v>本次估价的“房地产价值”是指在正常市场情况下，在价值时点，估价对象规划用途为，土地取得方式为，假定未设立法定优先受偿款下的房地产市场价值。</v>
      </c>
    </row>
    <row r="14" spans="1:2" s="1596" customFormat="1">
      <c r="A14" s="1594" t="s">
        <v>1224</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本次评估采用的主估价方法为基准地价系数修正法和基准地价系数修正法。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t="e">
        <f ca="1">'预评函-2'!D5</f>
        <v>#REF!</v>
      </c>
    </row>
    <row r="21" spans="1:2" s="1596" customFormat="1">
      <c r="A21" s="1594" t="s">
        <v>1231</v>
      </c>
      <c r="B21" s="1595" t="e">
        <f ca="1">'预评函-2'!D7</f>
        <v>#REF!</v>
      </c>
    </row>
    <row r="22" spans="1:2" s="1596" customFormat="1">
      <c r="A22" s="1594" t="s">
        <v>1232</v>
      </c>
      <c r="B22" s="1595" t="e">
        <f ca="1">'预评函-2'!D6</f>
        <v>#REF!</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t="e">
        <f ca="1">'预评函-2'!D13</f>
        <v>#REF!</v>
      </c>
    </row>
    <row r="31" spans="1:2" s="1596" customFormat="1">
      <c r="A31" s="1594" t="s">
        <v>1270</v>
      </c>
      <c r="B31" s="1595" t="e">
        <f ca="1">'预评函-2'!D15</f>
        <v>#REF!</v>
      </c>
    </row>
    <row r="32" spans="1:2" s="1596" customFormat="1">
      <c r="A32" s="1594" t="s">
        <v>1237</v>
      </c>
      <c r="B32" s="1595" t="e">
        <f ca="1">'预评函-2'!D14</f>
        <v>#REF!</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出让国有建设用地使用权及在建建筑物房地产</v>
      </c>
    </row>
    <row r="42" spans="1:2" s="1596" customFormat="1" ht="31.2">
      <c r="A42" s="1594" t="s">
        <v>1284</v>
      </c>
      <c r="B42" s="1595" t="str">
        <f>'预评函-3'!B2</f>
        <v>建筑面积</v>
      </c>
    </row>
    <row r="43" spans="1:2" s="1596" customFormat="1">
      <c r="A43" s="1594" t="s">
        <v>1285</v>
      </c>
      <c r="B43" s="1595">
        <f>'预评函-3'!B4</f>
        <v>0</v>
      </c>
    </row>
    <row r="44" spans="1:2" s="1596" customFormat="1" ht="31.2">
      <c r="A44" s="1594" t="s">
        <v>1269</v>
      </c>
      <c r="B44" s="1595" t="str">
        <f>'预评函-3'!C2</f>
        <v>(分摊)土地面积</v>
      </c>
    </row>
    <row r="45" spans="1:2" s="1596" customFormat="1">
      <c r="A45" s="1594" t="s">
        <v>1241</v>
      </c>
      <c r="B45" s="1595" t="e">
        <f>'预评函-3'!C4</f>
        <v>#DIV/0!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0"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0"/>
      <c r="B54" s="2025" t="s">
        <v>861</v>
      </c>
      <c r="C54" s="2022" t="s">
        <v>1277</v>
      </c>
    </row>
    <row r="55" spans="1:4">
      <c r="A55" s="2990"/>
      <c r="B55" s="2025" t="s">
        <v>862</v>
      </c>
      <c r="C55" s="2022" t="s">
        <v>1278</v>
      </c>
    </row>
    <row r="56" spans="1:4">
      <c r="A56" s="2990"/>
      <c r="B56" s="2025" t="s">
        <v>863</v>
      </c>
      <c r="C56" s="2022" t="s">
        <v>1282</v>
      </c>
    </row>
    <row r="57" spans="1:4">
      <c r="A57" s="2990"/>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B8" sqref="B8"/>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1" t="str">
        <f>IF(B10="北京市","北京市",C10)&amp;F10&amp;IF(结果表!G1="在建","出让国有建设用地使用权及在建建筑物",IF(结果表!G1="土地","出让国有建设用地使用权",))&amp;B9&amp;"预评估"</f>
        <v>出让国有建设用地使用权及在建建筑物预评估</v>
      </c>
      <c r="C1" s="2992"/>
      <c r="D1" s="2992"/>
      <c r="E1" s="2992"/>
      <c r="F1" s="2992"/>
      <c r="G1" s="2992"/>
      <c r="H1" s="2992"/>
      <c r="I1" s="299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1774</v>
      </c>
      <c r="B3" s="2039"/>
      <c r="C3" s="2040" t="s">
        <v>1775</v>
      </c>
      <c r="D3" s="2039"/>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c r="C8" s="2059"/>
      <c r="D8" s="2994"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2995"/>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6"/>
      <c r="L15" s="2087"/>
      <c r="M15" s="2087"/>
      <c r="N15" s="2088"/>
      <c r="O15" s="2087"/>
      <c r="P15" s="2088"/>
      <c r="Q15" s="2032"/>
      <c r="R15" s="2032"/>
    </row>
    <row r="16" spans="1:19" ht="30.75" customHeight="1">
      <c r="A16" s="2069" t="s">
        <v>1797</v>
      </c>
      <c r="B16" s="3001"/>
      <c r="C16" s="3002"/>
      <c r="D16" s="3003"/>
      <c r="E16" s="2089" t="s">
        <v>1798</v>
      </c>
      <c r="F16" s="3004"/>
      <c r="G16" s="3005"/>
      <c r="H16" s="3005"/>
      <c r="I16" s="3006"/>
      <c r="J16" s="2032"/>
      <c r="K16" s="2086"/>
      <c r="L16" s="2087"/>
      <c r="M16" s="2087"/>
      <c r="N16" s="2088"/>
      <c r="O16" s="2087"/>
      <c r="P16" s="2088"/>
      <c r="Q16" s="2032"/>
      <c r="R16" s="2032"/>
    </row>
    <row r="17" spans="1:22" ht="18" customHeight="1">
      <c r="A17" s="2090" t="s">
        <v>1799</v>
      </c>
      <c r="B17" s="2038" t="s">
        <v>1800</v>
      </c>
      <c r="C17" s="1057">
        <f>'数据-汇总表'!E3</f>
        <v>0</v>
      </c>
      <c r="D17" s="2091" t="s">
        <v>1801</v>
      </c>
      <c r="E17" s="3007" t="s">
        <v>1802</v>
      </c>
      <c r="F17" s="3008"/>
      <c r="G17" s="3008"/>
      <c r="H17" s="3008"/>
      <c r="I17" s="3009"/>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t="e">
        <f>'数据-汇总表'!D3</f>
        <v>#DIV/0!</v>
      </c>
      <c r="D18" s="2094" t="s">
        <v>1801</v>
      </c>
      <c r="E18" s="3010" t="s">
        <v>1805</v>
      </c>
      <c r="F18" s="3011"/>
      <c r="G18" s="3011"/>
      <c r="H18" s="3011"/>
      <c r="I18" s="3012"/>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2997" t="s">
        <v>1810</v>
      </c>
      <c r="C20" s="2998"/>
      <c r="D20" s="2999" t="s">
        <v>1811</v>
      </c>
      <c r="E20" s="3000"/>
      <c r="F20" s="2101" t="s">
        <v>1812</v>
      </c>
      <c r="G20" s="2045"/>
      <c r="H20" s="2045"/>
      <c r="I20" s="2045"/>
      <c r="J20" s="2045"/>
      <c r="K20" s="299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29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29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4"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4"/>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4"/>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5"/>
      <c r="B30" s="2038" t="s">
        <v>1829</v>
      </c>
      <c r="C30" s="3016"/>
      <c r="D30" s="301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8"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13" t="s">
        <v>1839</v>
      </c>
      <c r="T34" s="2138" t="str">
        <f>NUMBERSTRING(7-K34,1)&amp;"通"</f>
        <v>七通</v>
      </c>
      <c r="U34" s="2032"/>
      <c r="V34" s="2032"/>
    </row>
    <row r="35" spans="1:22" ht="18" customHeight="1">
      <c r="A35" s="2139"/>
      <c r="B35" s="3020" t="s">
        <v>1840</v>
      </c>
      <c r="C35" s="3020"/>
      <c r="D35" s="3020"/>
      <c r="E35" s="302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3"/>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63" customWidth="1"/>
    <col min="2" max="2" width="11" style="2163" customWidth="1"/>
    <col min="3" max="3" width="10.33203125" style="2163" customWidth="1"/>
    <col min="4" max="4" width="9.109375" style="2163" customWidth="1"/>
    <col min="5" max="6" width="10" style="2226" customWidth="1"/>
    <col min="7" max="8" width="10" style="2163" customWidth="1"/>
    <col min="9" max="9" width="10.6640625" style="2163" customWidth="1"/>
    <col min="10" max="10" width="9.44140625" style="2163" customWidth="1"/>
    <col min="11" max="11" width="11" style="2163" customWidth="1"/>
    <col min="12" max="14" width="9.44140625" style="2163" customWidth="1"/>
    <col min="15" max="15" width="9.88671875" style="2163" customWidth="1"/>
    <col min="16" max="16" width="9.77734375" style="2163" customWidth="1"/>
    <col min="17" max="17" width="9.33203125" style="2163" customWidth="1"/>
    <col min="18" max="18" width="9.21875" style="2163" customWidth="1"/>
    <col min="19" max="19" width="10.88671875" style="2163" customWidth="1"/>
    <col min="20" max="21" width="10.77734375" style="2163" customWidth="1"/>
    <col min="22" max="22" width="10.88671875" style="2163" customWidth="1"/>
    <col min="23" max="27" width="10.77734375" style="2163" customWidth="1"/>
    <col min="28" max="28" width="10.88671875" style="2163" customWidth="1"/>
    <col min="29" max="29" width="11" style="2163" bestFit="1" customWidth="1"/>
    <col min="30" max="30" width="10" style="2163" bestFit="1" customWidth="1"/>
    <col min="31" max="31" width="9.77734375" style="2163" customWidth="1"/>
    <col min="32" max="46" width="9.44140625" style="2163" customWidth="1"/>
    <col min="47" max="47" width="18.109375" style="2163" customWidth="1"/>
    <col min="48" max="50" width="9.77734375" style="2163" customWidth="1"/>
    <col min="51" max="55" width="10.44140625" style="2163" bestFit="1" customWidth="1"/>
    <col min="56" max="56" width="9.44140625" style="2163" bestFit="1" customWidth="1"/>
    <col min="57" max="63" width="9.109375" style="2163" bestFit="1" customWidth="1"/>
    <col min="64" max="64" width="9.44140625" style="2163" bestFit="1" customWidth="1"/>
    <col min="65" max="65" width="9.109375" style="2163" bestFit="1" customWidth="1"/>
    <col min="66" max="66" width="9.44140625" style="2163" bestFit="1" customWidth="1"/>
    <col min="67" max="69" width="9.109375" style="2163" bestFit="1" customWidth="1"/>
    <col min="70" max="70" width="9.44140625" style="2163" bestFit="1" customWidth="1"/>
    <col min="71" max="71" width="9" style="2163" customWidth="1"/>
    <col min="72" max="72" width="9.109375" style="2163" bestFit="1" customWidth="1"/>
    <col min="73" max="16384" width="8.88671875" style="2163"/>
  </cols>
  <sheetData>
    <row r="1" spans="1:72" ht="21">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3.2">
      <c r="A3" s="13"/>
      <c r="B3" s="14">
        <f>IF(C3="否",G5-AT5,G5)</f>
        <v>0</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3.2">
      <c r="A5" s="15" t="s">
        <v>1876</v>
      </c>
      <c r="B5" s="1806"/>
      <c r="C5" s="1806"/>
      <c r="D5" s="1809"/>
      <c r="E5" s="16" t="s">
        <v>1</v>
      </c>
      <c r="F5" s="16">
        <f>SUM(F13:F587)</f>
        <v>0</v>
      </c>
      <c r="G5" s="16">
        <f>SUM(G13:G587)</f>
        <v>0</v>
      </c>
      <c r="H5" s="16">
        <f t="shared" ref="H5:AT5" si="0">SUM(H13:H656)</f>
        <v>0</v>
      </c>
      <c r="I5" s="16">
        <f t="shared" si="0"/>
        <v>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3.2">
      <c r="A6" s="15" t="s">
        <v>1877</v>
      </c>
      <c r="B6" s="2178"/>
      <c r="C6" s="2178"/>
      <c r="D6" s="2179"/>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2180"/>
      <c r="AV6" s="15" t="s">
        <v>1877</v>
      </c>
      <c r="AW6" s="2178"/>
      <c r="AX6" s="2178"/>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2171" customFormat="1" ht="25.2">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3.2">
      <c r="A9" s="2186"/>
      <c r="B9" s="2186"/>
      <c r="C9" s="2186"/>
      <c r="D9" s="2186"/>
      <c r="E9" s="2186"/>
      <c r="F9" s="2186"/>
      <c r="G9" s="1295"/>
      <c r="H9" s="2194" t="s">
        <v>1896</v>
      </c>
      <c r="I9" s="2195"/>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3.2">
      <c r="A10" s="2186"/>
      <c r="B10" s="2186"/>
      <c r="C10" s="2186"/>
      <c r="D10" s="2186"/>
      <c r="E10" s="2186"/>
      <c r="F10" s="2186"/>
      <c r="G10" s="1295"/>
      <c r="H10" s="28"/>
      <c r="I10" s="2195"/>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f>I9</f>
        <v>0</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3.2">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f>I10</f>
        <v>0</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3.2">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3.2">
      <c r="A13" s="1275"/>
      <c r="B13" s="1275"/>
      <c r="C13" s="1275"/>
      <c r="D13" s="2217"/>
      <c r="E13" s="16" t="e">
        <f>IF($C$3="是",ROUND($A$3*G13/$B$3,2),ROUND($A$3*(G13-AT13)/$B$3,2))</f>
        <v>#DIV/0!</v>
      </c>
      <c r="F13" s="32"/>
      <c r="G13" s="33">
        <f>H13+AC13+AT13</f>
        <v>0</v>
      </c>
      <c r="H13" s="20">
        <f>SUMIF(I$12:AB$12,"总值",I13:AB13)</f>
        <v>0</v>
      </c>
      <c r="I13" s="2218"/>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3.2">
      <c r="A14" s="1275"/>
      <c r="B14" s="1275"/>
      <c r="C14" s="2157"/>
      <c r="D14" s="2217"/>
      <c r="E14" s="16" t="e">
        <f>IF($C$3="是",ROUND($A$3*G14/$B$3,2),ROUND($A$3*(G14-AT14)/$B$3,2))</f>
        <v>#DIV/0!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3.2">
      <c r="A15" s="1275"/>
      <c r="B15" s="1275"/>
      <c r="C15" s="2157"/>
      <c r="D15" s="2217"/>
      <c r="E15" s="16" t="e">
        <f>IF($C$3="是",ROUND($A$3*G15/$B$3,2),ROUND($A$3*(G15-AT15)/$B$3,2))</f>
        <v>#DIV/0!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3.2">
      <c r="A16" s="1275"/>
      <c r="B16" s="1275"/>
      <c r="C16" s="2157"/>
      <c r="D16" s="2217"/>
      <c r="E16" s="16" t="e">
        <f>IF($C$3="是",ROUND($A$3*G16/$B$3,2),ROUND($A$3*(G16-AT16)/$B$3,2))</f>
        <v>#DIV/0!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3.2">
      <c r="A17" s="1275"/>
      <c r="B17" s="1275"/>
      <c r="C17" s="2157"/>
      <c r="D17" s="2217"/>
      <c r="E17" s="16" t="e">
        <f>IF($C$3="是",ROUND($A$3*G17/$B$3,2),ROUND($A$3*(G17-AT17)/$B$3,2))</f>
        <v>#DIV/0!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46.8">
      <c r="A3" s="3021"/>
      <c r="B3" s="3021"/>
      <c r="C3" s="3021"/>
      <c r="D3" s="3022"/>
      <c r="E3" s="302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1875" defaultRowHeight="13.8"/>
  <cols>
    <col min="1" max="1" width="12.109375" style="2230" customWidth="1"/>
    <col min="2" max="2" width="10.21875" style="2230" customWidth="1"/>
    <col min="3" max="3" width="18.44140625" style="2230" customWidth="1"/>
    <col min="4" max="4" width="11.6640625" style="2230" customWidth="1"/>
    <col min="5" max="5" width="13.33203125" style="2230" customWidth="1"/>
    <col min="6" max="8" width="11.44140625" style="2230" customWidth="1"/>
    <col min="9" max="9" width="11.109375" style="2230" customWidth="1"/>
    <col min="10" max="10" width="3.109375" style="2230" customWidth="1"/>
    <col min="11" max="16" width="10" style="2230" customWidth="1"/>
    <col min="17" max="17" width="2.6640625" style="2230" customWidth="1"/>
    <col min="18" max="18" width="9.33203125" style="2230" bestFit="1" customWidth="1"/>
    <col min="19" max="19" width="10.44140625" style="2230" bestFit="1" customWidth="1"/>
    <col min="20" max="16384" width="9.21875" style="2230"/>
  </cols>
  <sheetData>
    <row r="1" spans="1:16" ht="17.399999999999999">
      <c r="A1" s="2229" t="s">
        <v>1935</v>
      </c>
      <c r="B1" s="1395"/>
      <c r="C1" s="1395"/>
      <c r="D1" s="1395"/>
      <c r="E1" s="1395"/>
      <c r="F1" s="1395"/>
      <c r="G1" s="1395"/>
      <c r="H1" s="1395"/>
      <c r="I1" s="1395"/>
      <c r="J1" s="1395"/>
      <c r="K1" s="1395"/>
      <c r="L1" s="1395"/>
      <c r="M1" s="1395"/>
      <c r="N1" s="1395"/>
      <c r="O1" s="1395"/>
      <c r="P1" s="1395"/>
    </row>
    <row r="2" spans="1:16" ht="14.4">
      <c r="A2" s="3032" t="s">
        <v>1936</v>
      </c>
      <c r="B2" s="3032"/>
      <c r="C2" s="3032"/>
      <c r="D2" s="970" t="s">
        <v>1912</v>
      </c>
      <c r="E2" s="2231" t="s">
        <v>1913</v>
      </c>
      <c r="F2" s="1395"/>
      <c r="G2" s="2232"/>
      <c r="H2" s="2233"/>
      <c r="I2" s="2234" t="s">
        <v>1937</v>
      </c>
      <c r="J2" s="1395"/>
      <c r="K2" s="1395"/>
      <c r="L2" s="1395"/>
      <c r="M2" s="1395"/>
      <c r="N2" s="1430"/>
      <c r="O2" s="1395"/>
      <c r="P2" s="1395"/>
    </row>
    <row r="3" spans="1:16" ht="15" thickBot="1">
      <c r="A3" s="3033" t="s">
        <v>1910</v>
      </c>
      <c r="B3" s="3033"/>
      <c r="C3" s="3033"/>
      <c r="D3" s="46" t="e">
        <f>'数据-基础表'!AY6</f>
        <v>#DIV/0!</v>
      </c>
      <c r="E3" s="46">
        <f>'数据-基础表'!AZ5</f>
        <v>0</v>
      </c>
      <c r="F3" s="1395"/>
      <c r="G3" s="1402"/>
      <c r="H3" s="1250" t="s">
        <v>1911</v>
      </c>
      <c r="I3" s="55" t="e">
        <f>ROUND('数据-基础表'!B3/'数据-基础表'!A3,2)</f>
        <v>#DIV/0!</v>
      </c>
      <c r="J3" s="1395"/>
      <c r="K3" s="1395"/>
      <c r="L3" s="1395"/>
      <c r="M3" s="1395"/>
      <c r="N3" s="1430"/>
      <c r="O3" s="1395"/>
      <c r="P3" s="1395"/>
    </row>
    <row r="4" spans="1:16" ht="14.4">
      <c r="A4" s="3034"/>
      <c r="B4" s="3035"/>
      <c r="C4" s="3036"/>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ht="14.4">
      <c r="A5" s="47" t="s">
        <v>1914</v>
      </c>
      <c r="B5" s="3037" t="s">
        <v>1915</v>
      </c>
      <c r="C5" s="3037"/>
      <c r="D5" s="48" t="e">
        <f>ROUND($D$3*E5/$E$3,2)</f>
        <v>#DIV/0!</v>
      </c>
      <c r="E5" s="49">
        <f>SUMIF('数据-基础表'!$11:$11,"住宅",'数据-基础表'!$5:$5)</f>
        <v>0</v>
      </c>
      <c r="F5" s="1395"/>
      <c r="G5" s="1402"/>
      <c r="H5" s="1250" t="s">
        <v>1911</v>
      </c>
      <c r="I5" s="55" t="e">
        <f>ROUND(E31/D31,2)</f>
        <v>#DIV/0!</v>
      </c>
      <c r="J5" s="1395"/>
      <c r="K5" s="1395"/>
      <c r="L5" s="1395"/>
      <c r="M5" s="1395"/>
      <c r="N5" s="1395"/>
      <c r="O5" s="1395"/>
      <c r="P5" s="1395"/>
    </row>
    <row r="6" spans="1:16" ht="15" thickBot="1">
      <c r="A6" s="2238"/>
      <c r="B6" s="3037" t="s">
        <v>1916</v>
      </c>
      <c r="C6" s="3037"/>
      <c r="D6" s="48" t="e">
        <f>ROUND($D$3*E6/$E$3,2)</f>
        <v>#DIV/0!</v>
      </c>
      <c r="E6" s="49">
        <f>E3-E5</f>
        <v>0</v>
      </c>
      <c r="F6" s="1395"/>
      <c r="G6" s="2239" t="s">
        <v>1917</v>
      </c>
      <c r="H6" s="1402" t="s">
        <v>1918</v>
      </c>
      <c r="I6" s="942" t="e">
        <f>ROUND(F31/D31,2)</f>
        <v>#DIV/0!</v>
      </c>
      <c r="J6" s="1395"/>
      <c r="K6" s="1395"/>
      <c r="L6" s="1395"/>
      <c r="M6" s="1395"/>
      <c r="N6" s="1395"/>
      <c r="O6" s="1395"/>
      <c r="P6" s="1395"/>
    </row>
    <row r="7" spans="1:16" ht="14.4">
      <c r="A7" s="3029"/>
      <c r="B7" s="3030"/>
      <c r="C7" s="3031"/>
      <c r="D7" s="2235" t="s">
        <v>1912</v>
      </c>
      <c r="E7" s="2240" t="s">
        <v>1919</v>
      </c>
      <c r="F7" s="1395"/>
      <c r="G7" s="2232" t="s">
        <v>1920</v>
      </c>
      <c r="H7" s="64"/>
      <c r="I7" s="420"/>
      <c r="J7" s="1395"/>
      <c r="K7" s="1395"/>
      <c r="L7" s="1395"/>
      <c r="M7" s="1395"/>
      <c r="N7" s="1395"/>
      <c r="O7" s="1395"/>
      <c r="P7" s="1395"/>
    </row>
    <row r="8" spans="1:16" ht="14.4">
      <c r="A8" s="47" t="s">
        <v>1921</v>
      </c>
      <c r="B8" s="50" t="s">
        <v>1922</v>
      </c>
      <c r="C8" s="48" t="s">
        <v>1923</v>
      </c>
      <c r="D8" s="48" t="e">
        <f t="shared" ref="D8:D15" si="0">ROUND($D$3*E8/$E$3,2)</f>
        <v>#DIV/0!</v>
      </c>
      <c r="E8" s="51">
        <f>SUMIF('数据-基础表'!BB10:BK10,"地上",'数据-基础表'!BB5:BK5)</f>
        <v>0</v>
      </c>
      <c r="F8" s="1395"/>
      <c r="G8" s="2241"/>
      <c r="H8" s="2241"/>
      <c r="I8" s="1395"/>
      <c r="J8" s="1395"/>
      <c r="K8" s="1395"/>
      <c r="L8" s="1395"/>
      <c r="M8" s="1395"/>
      <c r="N8" s="1395"/>
      <c r="O8" s="1395"/>
      <c r="P8" s="1395"/>
    </row>
    <row r="9" spans="1:16" ht="14.4">
      <c r="A9" s="2242"/>
      <c r="B9" s="2243"/>
      <c r="C9" s="48" t="s">
        <v>1924</v>
      </c>
      <c r="D9" s="48" t="e">
        <f t="shared" si="0"/>
        <v>#DIV/0!</v>
      </c>
      <c r="E9" s="52">
        <v>0</v>
      </c>
      <c r="F9" s="1395"/>
      <c r="G9" s="2241"/>
      <c r="H9" s="2241"/>
      <c r="I9" s="1395"/>
      <c r="J9" s="1395"/>
      <c r="K9" s="1395"/>
      <c r="L9" s="1395"/>
      <c r="M9" s="1395"/>
      <c r="N9" s="1395"/>
      <c r="O9" s="1395"/>
      <c r="P9" s="1395"/>
    </row>
    <row r="10" spans="1:16" ht="14.4">
      <c r="A10" s="2242"/>
      <c r="B10" s="2243"/>
      <c r="C10" s="48" t="s">
        <v>1933</v>
      </c>
      <c r="D10" s="48" t="e">
        <f t="shared" si="0"/>
        <v>#DIV/0!</v>
      </c>
      <c r="E10" s="51">
        <f>SUMPRODUCT(('数据-基础表'!BB10:BK10="地下")*('数据-基础表'!BB11:BK11="商业")*('数据-基础表'!BB5:BK5))</f>
        <v>0</v>
      </c>
      <c r="F10" s="1395"/>
      <c r="G10" s="2241"/>
      <c r="H10" s="2241"/>
      <c r="I10" s="1395"/>
      <c r="J10" s="1395"/>
      <c r="K10" s="1395"/>
      <c r="L10" s="1395"/>
      <c r="M10" s="1395"/>
      <c r="N10" s="1395"/>
      <c r="O10" s="1395"/>
      <c r="P10" s="1395"/>
    </row>
    <row r="11" spans="1:16" ht="14.4">
      <c r="A11" s="2242"/>
      <c r="B11" s="2243"/>
      <c r="C11" s="48" t="s">
        <v>1925</v>
      </c>
      <c r="D11" s="48" t="e">
        <f t="shared" si="0"/>
        <v>#DIV/0!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ht="14.4">
      <c r="A12" s="2242"/>
      <c r="B12" s="2243"/>
      <c r="C12" s="48" t="s">
        <v>1926</v>
      </c>
      <c r="D12" s="48" t="e">
        <f t="shared" si="0"/>
        <v>#DIV/0!</v>
      </c>
      <c r="E12" s="51">
        <f>SUMPRODUCT(('数据-基础表'!BB10:BK10="地下")*('数据-基础表'!BB11:BK11="仓储")*('数据-基础表'!BB5:BK5))</f>
        <v>0</v>
      </c>
      <c r="F12" s="1395"/>
      <c r="G12" s="2241"/>
      <c r="H12" s="2241"/>
      <c r="I12" s="1395"/>
      <c r="J12" s="1395"/>
      <c r="K12" s="1395"/>
      <c r="L12" s="1395"/>
      <c r="M12" s="1395"/>
      <c r="N12" s="1395"/>
      <c r="O12" s="1395"/>
      <c r="P12" s="1395"/>
    </row>
    <row r="13" spans="1:16" ht="14.4">
      <c r="A13" s="2242"/>
      <c r="B13" s="2243"/>
      <c r="C13" s="48" t="s">
        <v>1927</v>
      </c>
      <c r="D13" s="48" t="e">
        <f t="shared" si="0"/>
        <v>#DIV/0!</v>
      </c>
      <c r="E13" s="51">
        <f>SUMPRODUCT(('数据-基础表'!BB10:BK10="地下")*('数据-基础表'!BB11:BK11="车库")*('数据-基础表'!BB5:BK5))</f>
        <v>0</v>
      </c>
      <c r="F13" s="1395"/>
      <c r="G13" s="2241"/>
      <c r="H13" s="2241"/>
      <c r="I13" s="1395"/>
      <c r="J13" s="1395"/>
      <c r="K13" s="1395"/>
      <c r="L13" s="1395"/>
      <c r="M13" s="1395"/>
      <c r="N13" s="1395"/>
      <c r="O13" s="1395"/>
      <c r="P13" s="1395"/>
    </row>
    <row r="14" spans="1:16" ht="14.4">
      <c r="A14" s="2242"/>
      <c r="B14" s="2243"/>
      <c r="C14" s="48" t="s">
        <v>1939</v>
      </c>
      <c r="D14" s="48" t="e">
        <f t="shared" si="0"/>
        <v>#DIV/0!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t="e">
        <f t="shared" si="0"/>
        <v>#DIV/0!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 thickBot="1">
      <c r="A16" s="2238"/>
      <c r="B16" s="2243"/>
      <c r="C16" s="50" t="s">
        <v>1928</v>
      </c>
      <c r="D16" s="50" t="e">
        <f>SUM(D8:D15)</f>
        <v>#DIV/0!</v>
      </c>
      <c r="E16" s="53">
        <f>SUM(E8:E15)</f>
        <v>0</v>
      </c>
      <c r="F16" s="1395"/>
      <c r="G16" s="2241"/>
      <c r="H16" s="2244" t="s">
        <v>1940</v>
      </c>
      <c r="I16" s="2245"/>
      <c r="J16" s="1395"/>
      <c r="K16" s="3026" t="s">
        <v>1940</v>
      </c>
      <c r="L16" s="3027"/>
      <c r="M16" s="3027"/>
      <c r="N16" s="3027"/>
      <c r="O16" s="3027"/>
      <c r="P16" s="3028"/>
    </row>
    <row r="17" spans="1:19" ht="14.4">
      <c r="A17" s="2246" t="s">
        <v>1941</v>
      </c>
      <c r="B17" s="2247" t="s">
        <v>1942</v>
      </c>
      <c r="C17" s="2248" t="s">
        <v>1943</v>
      </c>
      <c r="D17" s="2249" t="s">
        <v>1931</v>
      </c>
      <c r="E17" s="2250" t="s">
        <v>1932</v>
      </c>
      <c r="F17" s="2251"/>
      <c r="G17" s="2252"/>
      <c r="H17" s="2253" t="s">
        <v>1944</v>
      </c>
      <c r="I17" s="2254" t="s">
        <v>1929</v>
      </c>
      <c r="J17" s="1395"/>
      <c r="K17" s="3023" t="s">
        <v>1945</v>
      </c>
      <c r="L17" s="3024"/>
      <c r="M17" s="3025"/>
      <c r="N17" s="3023" t="s">
        <v>1946</v>
      </c>
      <c r="O17" s="3024"/>
      <c r="P17" s="3025"/>
      <c r="R17" s="2232" t="s">
        <v>1947</v>
      </c>
      <c r="S17" s="64"/>
    </row>
    <row r="18" spans="1:19" ht="14.4">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ht="14.4">
      <c r="A19" s="2263"/>
      <c r="B19" s="50" t="s">
        <v>1930</v>
      </c>
      <c r="C19" s="2264"/>
      <c r="D19" s="48" t="e">
        <f>ROUND($D$3*E19/$E$3,2)</f>
        <v>#DIV/0!</v>
      </c>
      <c r="E19" s="56">
        <f t="shared" ref="E19:E26" si="1">SUM(F19:G19)</f>
        <v>0</v>
      </c>
      <c r="F19" s="57"/>
      <c r="G19" s="58"/>
      <c r="H19" s="723" t="e">
        <f>ROUND($D$3*I19/$E$3,2)</f>
        <v>#DIV/0!</v>
      </c>
      <c r="I19" s="51" t="e">
        <f t="shared" ref="I19:I26" si="2">IF($I$17="自定义",P19,M19)</f>
        <v>#DIV/0!</v>
      </c>
      <c r="J19" s="1395"/>
      <c r="K19" s="1394" t="e">
        <f t="shared" ref="K19:K26" si="3">ROUND(E$28*E19/E$27,2)</f>
        <v>#DIV/0!</v>
      </c>
      <c r="L19" s="1250">
        <f t="shared" ref="L19:L26" si="4">ROUND(IF(COUNTIF(C19,"*住宅*")&gt;0,E$29*E19/E$32,0),2)</f>
        <v>0</v>
      </c>
      <c r="M19" s="1406" t="e">
        <f>K19+L19</f>
        <v>#DIV/0!</v>
      </c>
      <c r="N19" s="2265"/>
      <c r="O19" s="2266"/>
      <c r="P19" s="1406">
        <f>N19+O19</f>
        <v>0</v>
      </c>
      <c r="R19" s="1250" t="e">
        <f t="shared" ref="R19:S26" si="5">D19+H19</f>
        <v>#DIV/0!</v>
      </c>
      <c r="S19" s="1251" t="e">
        <f t="shared" si="5"/>
        <v>#DIV/0!</v>
      </c>
    </row>
    <row r="20" spans="1:19" ht="14.4">
      <c r="A20" s="2267"/>
      <c r="B20" s="50" t="s">
        <v>1958</v>
      </c>
      <c r="C20" s="2264"/>
      <c r="D20" s="48" t="e">
        <f t="shared" ref="D20:D26" si="6">ROUND($D$3*E20/$E$3,2)</f>
        <v>#DIV/0!</v>
      </c>
      <c r="E20" s="56">
        <f t="shared" si="1"/>
        <v>0</v>
      </c>
      <c r="F20" s="57"/>
      <c r="G20" s="58"/>
      <c r="H20" s="723" t="e">
        <f t="shared" ref="H20:H26" si="7">ROUND($D$3*I20/$E$3,2)</f>
        <v>#DIV/0!</v>
      </c>
      <c r="I20" s="51" t="e">
        <f t="shared" si="2"/>
        <v>#DIV/0!</v>
      </c>
      <c r="J20" s="1395"/>
      <c r="K20" s="1394" t="e">
        <f t="shared" si="3"/>
        <v>#DIV/0!</v>
      </c>
      <c r="L20" s="1250">
        <f t="shared" si="4"/>
        <v>0</v>
      </c>
      <c r="M20" s="1406" t="e">
        <f t="shared" ref="M20:M26" si="8">K20+L20</f>
        <v>#DIV/0!</v>
      </c>
      <c r="N20" s="2265"/>
      <c r="O20" s="2266"/>
      <c r="P20" s="1406">
        <f t="shared" ref="P20:P26" si="9">N20+O20</f>
        <v>0</v>
      </c>
      <c r="R20" s="1250" t="e">
        <f t="shared" si="5"/>
        <v>#DIV/0!</v>
      </c>
      <c r="S20" s="1251" t="e">
        <f t="shared" si="5"/>
        <v>#DIV/0!</v>
      </c>
    </row>
    <row r="21" spans="1:19" ht="14.4">
      <c r="A21" s="2267"/>
      <c r="B21" s="50" t="s">
        <v>1958</v>
      </c>
      <c r="C21" s="2264"/>
      <c r="D21" s="48" t="e">
        <f t="shared" si="6"/>
        <v>#DIV/0!</v>
      </c>
      <c r="E21" s="56">
        <f t="shared" si="1"/>
        <v>0</v>
      </c>
      <c r="F21" s="57"/>
      <c r="G21" s="58"/>
      <c r="H21" s="723" t="e">
        <f t="shared" si="7"/>
        <v>#DIV/0!</v>
      </c>
      <c r="I21" s="51" t="e">
        <f t="shared" si="2"/>
        <v>#DIV/0!</v>
      </c>
      <c r="J21" s="1395"/>
      <c r="K21" s="1394" t="e">
        <f t="shared" si="3"/>
        <v>#DIV/0!</v>
      </c>
      <c r="L21" s="1250">
        <f t="shared" si="4"/>
        <v>0</v>
      </c>
      <c r="M21" s="1406" t="e">
        <f t="shared" si="8"/>
        <v>#DIV/0!</v>
      </c>
      <c r="N21" s="2265"/>
      <c r="O21" s="2266"/>
      <c r="P21" s="1406">
        <f t="shared" si="9"/>
        <v>0</v>
      </c>
      <c r="R21" s="1250" t="e">
        <f t="shared" si="5"/>
        <v>#DIV/0!</v>
      </c>
      <c r="S21" s="1251" t="e">
        <f t="shared" si="5"/>
        <v>#DIV/0!</v>
      </c>
    </row>
    <row r="22" spans="1:19" ht="14.4">
      <c r="A22" s="2267"/>
      <c r="B22" s="50" t="s">
        <v>1958</v>
      </c>
      <c r="C22" s="60"/>
      <c r="D22" s="48" t="e">
        <f t="shared" si="6"/>
        <v>#DIV/0!</v>
      </c>
      <c r="E22" s="56">
        <f t="shared" si="1"/>
        <v>0</v>
      </c>
      <c r="F22" s="61"/>
      <c r="G22" s="62"/>
      <c r="H22" s="723" t="e">
        <f t="shared" si="7"/>
        <v>#DIV/0!</v>
      </c>
      <c r="I22" s="51" t="e">
        <f t="shared" si="2"/>
        <v>#DIV/0!</v>
      </c>
      <c r="J22" s="1395"/>
      <c r="K22" s="1394" t="e">
        <f t="shared" si="3"/>
        <v>#DIV/0!</v>
      </c>
      <c r="L22" s="1250">
        <f t="shared" si="4"/>
        <v>0</v>
      </c>
      <c r="M22" s="1406" t="e">
        <f t="shared" si="8"/>
        <v>#DIV/0!</v>
      </c>
      <c r="N22" s="2265"/>
      <c r="O22" s="2266"/>
      <c r="P22" s="1406">
        <f t="shared" si="9"/>
        <v>0</v>
      </c>
      <c r="R22" s="1250" t="e">
        <f t="shared" si="5"/>
        <v>#DIV/0!</v>
      </c>
      <c r="S22" s="1251" t="e">
        <f t="shared" si="5"/>
        <v>#DIV/0!</v>
      </c>
    </row>
    <row r="23" spans="1:19" ht="14.4">
      <c r="A23" s="2267"/>
      <c r="B23" s="50" t="s">
        <v>1958</v>
      </c>
      <c r="C23" s="60"/>
      <c r="D23" s="48" t="e">
        <f>ROUND($D$3*E23/$E$3,2)</f>
        <v>#DIV/0!</v>
      </c>
      <c r="E23" s="56">
        <f>SUM(F23:G23)</f>
        <v>0</v>
      </c>
      <c r="F23" s="61"/>
      <c r="G23" s="62"/>
      <c r="H23" s="723" t="e">
        <f>ROUND($D$3*I23/$E$3,2)</f>
        <v>#DIV/0!</v>
      </c>
      <c r="I23" s="51" t="e">
        <f t="shared" si="2"/>
        <v>#DIV/0!</v>
      </c>
      <c r="J23" s="1395"/>
      <c r="K23" s="1394" t="e">
        <f t="shared" si="3"/>
        <v>#DIV/0!</v>
      </c>
      <c r="L23" s="1250">
        <f t="shared" si="4"/>
        <v>0</v>
      </c>
      <c r="M23" s="1406" t="e">
        <f t="shared" si="8"/>
        <v>#DIV/0!</v>
      </c>
      <c r="N23" s="2265"/>
      <c r="O23" s="2266"/>
      <c r="P23" s="1406">
        <f t="shared" si="9"/>
        <v>0</v>
      </c>
      <c r="R23" s="1250" t="e">
        <f t="shared" si="5"/>
        <v>#DIV/0!</v>
      </c>
      <c r="S23" s="1251" t="e">
        <f t="shared" si="5"/>
        <v>#DIV/0!</v>
      </c>
    </row>
    <row r="24" spans="1:19" ht="14.4">
      <c r="A24" s="2267"/>
      <c r="B24" s="50" t="s">
        <v>1958</v>
      </c>
      <c r="C24" s="60"/>
      <c r="D24" s="48" t="e">
        <f>ROUND($D$3*E24/$E$3,2)</f>
        <v>#DIV/0!</v>
      </c>
      <c r="E24" s="56">
        <f>SUM(F24:G24)</f>
        <v>0</v>
      </c>
      <c r="F24" s="61"/>
      <c r="G24" s="62"/>
      <c r="H24" s="723" t="e">
        <f>ROUND($D$3*I24/$E$3,2)</f>
        <v>#DIV/0!</v>
      </c>
      <c r="I24" s="51" t="e">
        <f t="shared" si="2"/>
        <v>#DIV/0!</v>
      </c>
      <c r="J24" s="1395"/>
      <c r="K24" s="1394" t="e">
        <f t="shared" si="3"/>
        <v>#DIV/0!</v>
      </c>
      <c r="L24" s="1250">
        <f t="shared" si="4"/>
        <v>0</v>
      </c>
      <c r="M24" s="1406" t="e">
        <f t="shared" si="8"/>
        <v>#DIV/0!</v>
      </c>
      <c r="N24" s="2265"/>
      <c r="O24" s="2266"/>
      <c r="P24" s="1406">
        <f t="shared" si="9"/>
        <v>0</v>
      </c>
      <c r="R24" s="1250" t="e">
        <f t="shared" si="5"/>
        <v>#DIV/0!</v>
      </c>
      <c r="S24" s="1251" t="e">
        <f t="shared" si="5"/>
        <v>#DIV/0!</v>
      </c>
    </row>
    <row r="25" spans="1:19" ht="14.4">
      <c r="A25" s="2267"/>
      <c r="B25" s="50" t="s">
        <v>1958</v>
      </c>
      <c r="C25" s="60"/>
      <c r="D25" s="48" t="e">
        <f t="shared" si="6"/>
        <v>#DIV/0!</v>
      </c>
      <c r="E25" s="56">
        <f t="shared" si="1"/>
        <v>0</v>
      </c>
      <c r="F25" s="61"/>
      <c r="G25" s="62"/>
      <c r="H25" s="47" t="e">
        <f t="shared" si="7"/>
        <v>#DIV/0!</v>
      </c>
      <c r="I25" s="51" t="e">
        <f t="shared" si="2"/>
        <v>#DIV/0!</v>
      </c>
      <c r="J25" s="1395"/>
      <c r="K25" s="1394" t="e">
        <f t="shared" si="3"/>
        <v>#DIV/0!</v>
      </c>
      <c r="L25" s="1250">
        <f t="shared" si="4"/>
        <v>0</v>
      </c>
      <c r="M25" s="1406" t="e">
        <f t="shared" si="8"/>
        <v>#DIV/0!</v>
      </c>
      <c r="N25" s="2265"/>
      <c r="O25" s="2266"/>
      <c r="P25" s="1406">
        <f t="shared" si="9"/>
        <v>0</v>
      </c>
      <c r="R25" s="1250" t="e">
        <f t="shared" si="5"/>
        <v>#DIV/0!</v>
      </c>
      <c r="S25" s="1251" t="e">
        <f t="shared" si="5"/>
        <v>#DIV/0!</v>
      </c>
    </row>
    <row r="26" spans="1:19" ht="14.4">
      <c r="A26" s="2267"/>
      <c r="B26" s="50" t="s">
        <v>1958</v>
      </c>
      <c r="C26" s="63"/>
      <c r="D26" s="48" t="e">
        <f t="shared" si="6"/>
        <v>#DIV/0!</v>
      </c>
      <c r="E26" s="56">
        <f t="shared" si="1"/>
        <v>0</v>
      </c>
      <c r="F26" s="61"/>
      <c r="G26" s="62"/>
      <c r="H26" s="47" t="e">
        <f t="shared" si="7"/>
        <v>#DIV/0!</v>
      </c>
      <c r="I26" s="51" t="e">
        <f t="shared" si="2"/>
        <v>#DIV/0!</v>
      </c>
      <c r="J26" s="1395"/>
      <c r="K26" s="1401" t="e">
        <f t="shared" si="3"/>
        <v>#DIV/0!</v>
      </c>
      <c r="L26" s="1402">
        <f t="shared" si="4"/>
        <v>0</v>
      </c>
      <c r="M26" s="67" t="e">
        <f t="shared" si="8"/>
        <v>#DIV/0!</v>
      </c>
      <c r="N26" s="2268"/>
      <c r="O26" s="2269"/>
      <c r="P26" s="67">
        <f t="shared" si="9"/>
        <v>0</v>
      </c>
      <c r="R26" s="1250" t="e">
        <f t="shared" si="5"/>
        <v>#DIV/0!</v>
      </c>
      <c r="S26" s="1251" t="e">
        <f t="shared" si="5"/>
        <v>#DIV/0!</v>
      </c>
    </row>
    <row r="27" spans="1:19" ht="15" thickBot="1">
      <c r="A27" s="2267"/>
      <c r="B27" s="48"/>
      <c r="C27" s="2270" t="s">
        <v>1959</v>
      </c>
      <c r="D27" s="1396" t="e">
        <f>SUM(D19:D26)</f>
        <v>#DIV/0!</v>
      </c>
      <c r="E27" s="1397">
        <f>IF(SUM(E19:E26)='数据-基础表'!BA5,SUM(E19:E26),IF(F27="地上面积有误","面积有误","地下面积有误"))</f>
        <v>0</v>
      </c>
      <c r="F27" s="1396">
        <f>IF(SUM(F19:F26)=E8,SUM(F19:F26),"地上面积有误")</f>
        <v>0</v>
      </c>
      <c r="G27" s="1398">
        <f>SUM(G19:G26)</f>
        <v>0</v>
      </c>
      <c r="H27" s="1399" t="e">
        <f>SUM(H19:H26)</f>
        <v>#DIV/0!</v>
      </c>
      <c r="I27" s="1400" t="e">
        <f>SUM(I19:I26)</f>
        <v>#DIV/0!</v>
      </c>
      <c r="J27" s="1395"/>
      <c r="K27" s="1403" t="e">
        <f>SUM(K19:K26)</f>
        <v>#DIV/0!</v>
      </c>
      <c r="L27" s="1404">
        <f>SUM(L19:L26)</f>
        <v>0</v>
      </c>
      <c r="M27" s="1407" t="e">
        <f>SUM(M19:M26)</f>
        <v>#DIV/0!</v>
      </c>
      <c r="N27" s="1403">
        <f t="shared" ref="N27:O27" si="10">SUM(N19:N26)</f>
        <v>0</v>
      </c>
      <c r="O27" s="1404">
        <f t="shared" si="10"/>
        <v>0</v>
      </c>
      <c r="P27" s="1405">
        <f>SUM(P19:P26)</f>
        <v>0</v>
      </c>
      <c r="R27" s="1252" t="e">
        <f>IF(SUM(R19:R26)=$D$3,SUM(R19:R26),SUM(R19:R26)&amp;"误差"&amp;ROUND(SUM(R19:R26)-$D$3,2))</f>
        <v>#DIV/0!</v>
      </c>
      <c r="S27" s="1250" t="e">
        <f>IF(SUM(S19:S26)=$E$3,SUM(S19:S26),SUM(S19:S26)&amp;"误差"&amp;ROUND(SUM(S19:S26)-E3,2))</f>
        <v>#DIV/0!</v>
      </c>
    </row>
    <row r="28" spans="1:19" ht="14.4">
      <c r="A28" s="2267"/>
      <c r="B28" s="50" t="s">
        <v>1960</v>
      </c>
      <c r="C28" s="1262" t="s">
        <v>1961</v>
      </c>
      <c r="D28" s="48" t="e">
        <f>ROUND($D$3*E28/$E$3,2)</f>
        <v>#DIV/0!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7"/>
      <c r="B29" s="50" t="s">
        <v>1960</v>
      </c>
      <c r="C29" s="2271" t="s">
        <v>1962</v>
      </c>
      <c r="D29" s="48" t="e">
        <f>ROUND($D$3*E29/$E$3,2)</f>
        <v>#DIV/0!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7"/>
      <c r="B30" s="50"/>
      <c r="C30" s="2272" t="s">
        <v>1959</v>
      </c>
      <c r="D30" s="1396" t="e">
        <f>SUM(D28:D29)</f>
        <v>#DIV/0!</v>
      </c>
      <c r="E30" s="1396">
        <f>SUM(E28:E29)</f>
        <v>0</v>
      </c>
      <c r="F30" s="1396">
        <f>SUM(F28:F29)</f>
        <v>0</v>
      </c>
      <c r="G30" s="1398">
        <f>SUM(G28:G29)</f>
        <v>0</v>
      </c>
      <c r="H30" s="1395"/>
      <c r="I30" s="1395"/>
      <c r="J30" s="1395"/>
      <c r="K30" s="1395"/>
      <c r="L30" s="1395"/>
      <c r="M30" s="1395"/>
      <c r="N30" s="1395"/>
      <c r="O30" s="1395"/>
      <c r="P30" s="1395"/>
    </row>
    <row r="31" spans="1:19" ht="15" thickBot="1">
      <c r="A31" s="2273"/>
      <c r="B31" s="2274"/>
      <c r="C31" s="1010" t="s">
        <v>1963</v>
      </c>
      <c r="D31" s="729" t="e">
        <f>D27+D30</f>
        <v>#DIV/0!</v>
      </c>
      <c r="E31" s="729">
        <f>E27+E30</f>
        <v>0</v>
      </c>
      <c r="F31" s="730">
        <f>F27+F30</f>
        <v>0</v>
      </c>
      <c r="G31" s="731">
        <f>G27+G30</f>
        <v>0</v>
      </c>
      <c r="H31" s="1395"/>
      <c r="I31" s="1395"/>
      <c r="J31" s="1395"/>
      <c r="K31" s="1395"/>
      <c r="L31" s="1395"/>
      <c r="M31" s="1395"/>
      <c r="N31" s="1395"/>
      <c r="O31" s="1395"/>
      <c r="P31" s="1395"/>
    </row>
    <row r="32" spans="1:19" ht="14.4">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B53" sqref="B53:B57"/>
    </sheetView>
  </sheetViews>
  <sheetFormatPr defaultColWidth="13.77734375" defaultRowHeight="13.2"/>
  <cols>
    <col min="1" max="1" width="20.88671875" style="2349" customWidth="1"/>
    <col min="2" max="2" width="12" style="2279" customWidth="1"/>
    <col min="3" max="3" width="10.77734375" style="2279" customWidth="1"/>
    <col min="4" max="4" width="9.109375" style="2350" customWidth="1"/>
    <col min="5" max="5" width="15" style="2279" bestFit="1" customWidth="1"/>
    <col min="6" max="10" width="8.88671875" style="2279" customWidth="1"/>
    <col min="11" max="12" width="12.33203125" style="2193" customWidth="1"/>
    <col min="13" max="13" width="8.6640625" style="2279" customWidth="1"/>
    <col min="14" max="14" width="11.88671875" style="2279" customWidth="1"/>
    <col min="15" max="15" width="8.44140625" style="2279" customWidth="1"/>
    <col min="16" max="17" width="10.88671875" style="2279" customWidth="1"/>
    <col min="18" max="19" width="12.44140625" style="2279" customWidth="1"/>
    <col min="20" max="20" width="12.109375" style="2279" customWidth="1"/>
    <col min="21" max="21" width="7.44140625" style="2279" customWidth="1"/>
    <col min="22" max="22" width="6.33203125" style="2279" customWidth="1"/>
    <col min="23" max="30" width="6.77734375" style="2279" customWidth="1"/>
    <col min="31" max="31" width="8" style="2279" customWidth="1"/>
    <col min="32" max="34" width="7.21875" style="2279" customWidth="1"/>
    <col min="35" max="39" width="8" style="2279" customWidth="1"/>
    <col min="40" max="40" width="13.77734375" style="2278"/>
    <col min="41" max="41" width="11.6640625" style="2278" customWidth="1"/>
    <col min="42" max="42" width="9.77734375" style="2278" customWidth="1"/>
    <col min="43" max="67" width="13.77734375" style="2278"/>
    <col min="68" max="16384" width="13.77734375" style="2279"/>
  </cols>
  <sheetData>
    <row r="1" spans="1:67" ht="18"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80" t="s">
        <v>1966</v>
      </c>
      <c r="B2" s="1269">
        <f>项目基本情况!D3</f>
        <v>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4.4"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57.6">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1986</v>
      </c>
      <c r="O5" s="2300" t="s">
        <v>1987</v>
      </c>
      <c r="P5" s="2303" t="s">
        <v>1988</v>
      </c>
      <c r="Q5" s="69" t="s">
        <v>1989</v>
      </c>
      <c r="R5" s="2304" t="s">
        <v>1990</v>
      </c>
      <c r="S5" s="2305" t="s">
        <v>1991</v>
      </c>
      <c r="T5" s="2306" t="s">
        <v>1992</v>
      </c>
      <c r="U5" s="1270" t="s">
        <v>1993</v>
      </c>
      <c r="V5" s="1271" t="s">
        <v>1994</v>
      </c>
      <c r="W5" s="1271" t="s">
        <v>1995</v>
      </c>
      <c r="X5" s="71"/>
      <c r="Y5" s="70" t="s">
        <v>1996</v>
      </c>
      <c r="Z5" s="2307" t="s">
        <v>1993</v>
      </c>
      <c r="AA5" s="1271" t="s">
        <v>1994</v>
      </c>
      <c r="AB5" s="1271" t="s">
        <v>1995</v>
      </c>
      <c r="AC5" s="71"/>
      <c r="AD5" s="71" t="s">
        <v>1996</v>
      </c>
      <c r="AE5" s="1270" t="s">
        <v>1997</v>
      </c>
      <c r="AF5" s="1271" t="s">
        <v>1998</v>
      </c>
      <c r="AG5" s="70" t="s">
        <v>1999</v>
      </c>
      <c r="AH5" s="1270" t="s">
        <v>2000</v>
      </c>
      <c r="AI5" s="2307" t="s">
        <v>2001</v>
      </c>
      <c r="AJ5" s="2307" t="s">
        <v>2002</v>
      </c>
      <c r="AK5" s="1271" t="s">
        <v>2003</v>
      </c>
      <c r="AL5" s="1271" t="s">
        <v>2004</v>
      </c>
      <c r="AM5" s="70" t="s">
        <v>2005</v>
      </c>
      <c r="AN5" s="2308" t="s">
        <v>2006</v>
      </c>
      <c r="AO5" s="2078" t="s">
        <v>2007</v>
      </c>
      <c r="AP5" s="1252" t="s">
        <v>2008</v>
      </c>
      <c r="AQ5" s="2309" t="s">
        <v>2009</v>
      </c>
      <c r="AR5" s="2309" t="s">
        <v>2010</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3.8">
      <c r="A6" s="2310">
        <f>'数据-汇总表'!C19</f>
        <v>0</v>
      </c>
      <c r="B6" s="2311" t="str">
        <f>IF(A6=0,"","经营性")</f>
        <v/>
      </c>
      <c r="C6" s="2312"/>
      <c r="D6" s="1054">
        <f>SUMIF(项目基本情况!D$12:I$12,C6,项目基本情况!D$14:I$14)</f>
        <v>0</v>
      </c>
      <c r="E6" s="1051" t="str">
        <f>IF(B6="","",SUMIF(项目基本情况!D$12:I$12,C6,项目基本情况!D$13:I$13))</f>
        <v/>
      </c>
      <c r="F6" s="72">
        <f>SUMIF(项目基本情况!D$12:I$12,C6,项目基本情况!D$15:I$15)</f>
        <v>0</v>
      </c>
      <c r="G6" s="73">
        <f>IF(ISERROR(ROUND(POWER(1+H6,D6-F6)*(POWER(1+H6,F6)-1)/(POWER(1+H6,D6)-1),3)),0,ROUND(POWER(1+H6,D6-F6)*(POWER(1+H6,F6)-1)/(POWER(1+H6,D6)-1),3))</f>
        <v>0</v>
      </c>
      <c r="H6" s="802"/>
      <c r="I6" s="802"/>
      <c r="J6" s="74"/>
      <c r="K6" s="1254">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3"/>
      <c r="AO6" s="55" t="e">
        <f ca="1">SUMIF(INDIRECT("'"&amp;AN6&amp;"'"&amp;"!A:A"),"总价",INDIRECT("'"&amp;AN6&amp;"'"&amp;"!B:B"))</f>
        <v>#REF!</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3.8">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3.8">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3.8">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3.8">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3.8">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3.8">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3.8">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4">
      <c r="A14" s="2315" t="s">
        <v>2011</v>
      </c>
      <c r="B14" s="2311" t="s">
        <v>2012</v>
      </c>
      <c r="C14" s="2316"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8.8">
      <c r="A15" s="2315" t="s">
        <v>2013</v>
      </c>
      <c r="B15" s="2311" t="s">
        <v>2012</v>
      </c>
      <c r="C15" s="2316"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 thickBot="1">
      <c r="A16" s="2317" t="s">
        <v>2015</v>
      </c>
      <c r="B16" s="97"/>
      <c r="C16" s="1008"/>
      <c r="D16" s="2318"/>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8"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20" t="s">
        <v>2017</v>
      </c>
      <c r="B19" s="112"/>
      <c r="C19" s="2281" t="s">
        <v>2018</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1" t="s">
        <v>2019</v>
      </c>
      <c r="B20" s="113"/>
      <c r="C20" s="2281" t="s">
        <v>2020</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2" t="s">
        <v>2021</v>
      </c>
      <c r="B21" s="113"/>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1" t="s">
        <v>2022</v>
      </c>
      <c r="B22" s="114">
        <f>B19+B20</f>
        <v>0</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2" t="s">
        <v>2023</v>
      </c>
      <c r="B23" s="114">
        <f>B19+B21</f>
        <v>0</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2024</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2025</v>
      </c>
      <c r="B26" s="2324" t="s">
        <v>2026</v>
      </c>
      <c r="C26" s="2325" t="s">
        <v>2027</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8.8">
      <c r="A27" s="2326" t="s">
        <v>2028</v>
      </c>
      <c r="B27" s="116"/>
      <c r="C27" s="1767" t="s">
        <v>2029</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8.8">
      <c r="A28" s="2329" t="s">
        <v>2030</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9.4" thickBot="1">
      <c r="A29" s="2331" t="s">
        <v>2031</v>
      </c>
      <c r="B29" s="121"/>
      <c r="C29" s="1767" t="s">
        <v>2032</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8.8">
      <c r="A30" s="2332" t="s">
        <v>2033</v>
      </c>
      <c r="B30" s="724"/>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8.8">
      <c r="A31" s="2329" t="s">
        <v>2034</v>
      </c>
      <c r="B31" s="120">
        <f>B30-B32</f>
        <v>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9.4" thickBot="1">
      <c r="A32" s="2333" t="s">
        <v>2035</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4">
      <c r="A33" s="2326" t="s">
        <v>2036</v>
      </c>
      <c r="B33" s="726"/>
      <c r="C33" s="1766" t="s">
        <v>2037</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4">
      <c r="A34" s="2329" t="s">
        <v>2038</v>
      </c>
      <c r="B34" s="122"/>
      <c r="C34" s="1766" t="s">
        <v>2039</v>
      </c>
      <c r="D34" s="2282" t="s">
        <v>2040</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4">
      <c r="A35" s="2329" t="s">
        <v>2041</v>
      </c>
      <c r="B35" s="119"/>
      <c r="C35" s="1766" t="s">
        <v>2042</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2043</v>
      </c>
      <c r="B36" s="123"/>
      <c r="C36" s="1766" t="s">
        <v>2044</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2" t="s">
        <v>2045</v>
      </c>
      <c r="B37" s="124"/>
      <c r="C37" s="1766" t="s">
        <v>2046</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9" t="s">
        <v>2047</v>
      </c>
      <c r="B38" s="122"/>
      <c r="C38" s="1766" t="s">
        <v>2046</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3" t="s">
        <v>2048</v>
      </c>
      <c r="B39" s="362">
        <f ca="1">存贷款利率!I1</f>
        <v>0</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2049</v>
      </c>
      <c r="B40" s="1303">
        <f ca="1">存贷款利率!G1</f>
        <v>0</v>
      </c>
      <c r="C40" s="1766" t="s">
        <v>2050</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6" t="s">
        <v>2051</v>
      </c>
      <c r="B41" s="125">
        <f>B42+B43</f>
        <v>0</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4" t="s">
        <v>2052</v>
      </c>
      <c r="B42" s="126"/>
      <c r="C42" s="2335">
        <f>IF(B2&lt;DATE(2016,5,1),0,B42)</f>
        <v>0</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4" t="s">
        <v>2053</v>
      </c>
      <c r="B43" s="127">
        <f>B42*(B44+B45+B46)+B47</f>
        <v>0</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6" t="s">
        <v>2054</v>
      </c>
      <c r="B44" s="128"/>
      <c r="C44" s="1766" t="s">
        <v>2055</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6" t="s">
        <v>2056</v>
      </c>
      <c r="B45" s="126"/>
      <c r="C45" s="1767" t="s">
        <v>2057</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6" t="s">
        <v>2058</v>
      </c>
      <c r="B46" s="126"/>
      <c r="C46" s="1767" t="s">
        <v>2059</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2060</v>
      </c>
      <c r="B47" s="129"/>
      <c r="C47" s="1767" t="s">
        <v>2061</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8" t="s">
        <v>2062</v>
      </c>
      <c r="B48" s="130"/>
      <c r="C48" s="1774" t="s">
        <v>2063</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2064</v>
      </c>
      <c r="B49" s="126"/>
      <c r="C49" s="1774" t="s">
        <v>2065</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9" t="s">
        <v>2066</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2067</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9" t="s">
        <v>2068</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9" t="s">
        <v>2069</v>
      </c>
      <c r="B53" s="2340"/>
      <c r="C53" s="1430" t="s">
        <v>2070</v>
      </c>
      <c r="D53" s="2341" t="s">
        <v>2071</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2" t="s">
        <v>2072</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2" t="s">
        <v>2073</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2" t="s">
        <v>2074</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2" t="s">
        <v>2075</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2" t="s">
        <v>2076</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2" t="s">
        <v>2077</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2" t="s">
        <v>2078</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2" t="s">
        <v>2079</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2" t="s">
        <v>2080</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2081</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3" customWidth="1"/>
    <col min="2" max="2" width="24.44140625" style="2421" customWidth="1"/>
    <col min="3" max="3" width="24.44140625" style="2420" customWidth="1"/>
    <col min="4" max="4" width="2.6640625" style="2420" customWidth="1"/>
    <col min="5" max="5" width="5.88671875" style="2420" customWidth="1"/>
    <col min="6" max="6" width="27" style="2421" customWidth="1"/>
    <col min="7" max="7" width="27" style="2422" customWidth="1"/>
    <col min="8" max="8" width="11.88671875" style="2400" customWidth="1"/>
    <col min="9" max="9" width="16.77734375" style="2401" customWidth="1"/>
    <col min="10" max="10" width="2.6640625" style="2400" customWidth="1"/>
    <col min="11" max="11" width="11.88671875" style="2400" customWidth="1"/>
    <col min="12" max="12" width="16.77734375" style="2401" customWidth="1"/>
    <col min="13" max="13" width="2.6640625" style="2400" customWidth="1"/>
    <col min="14" max="14" width="11.88671875" style="2400" customWidth="1"/>
    <col min="15" max="15" width="16.77734375" style="2401" customWidth="1"/>
    <col min="16" max="16" width="2.6640625" style="2400" customWidth="1"/>
    <col min="17" max="17" width="11.88671875" style="2400" customWidth="1"/>
    <col min="18" max="18" width="16.77734375" style="2402" customWidth="1"/>
    <col min="19" max="29" width="9" style="2372"/>
    <col min="30" max="16384" width="9" style="2373"/>
  </cols>
  <sheetData>
    <row r="1" spans="1:29" s="2366" customFormat="1" ht="18" thickBot="1">
      <c r="A1" s="3038" t="s">
        <v>2082</v>
      </c>
      <c r="B1" s="3039"/>
      <c r="C1" s="3039"/>
      <c r="D1" s="3039"/>
      <c r="E1" s="3039"/>
      <c r="F1" s="3039"/>
      <c r="G1" s="303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 thickBot="1">
      <c r="A2" s="2367"/>
      <c r="B2" s="2368"/>
      <c r="C2" s="2369" t="s">
        <v>2083</v>
      </c>
      <c r="D2" s="2370"/>
      <c r="E2" s="2371"/>
      <c r="F2" s="2290"/>
      <c r="G2" s="2369" t="s">
        <v>2084</v>
      </c>
      <c r="H2" s="2372"/>
      <c r="I2" s="2372"/>
      <c r="J2" s="2372"/>
      <c r="K2" s="2372"/>
      <c r="L2" s="2372"/>
      <c r="M2" s="2372"/>
      <c r="N2" s="2372"/>
      <c r="O2" s="2372"/>
      <c r="P2" s="2372"/>
      <c r="Q2" s="2372"/>
      <c r="R2" s="2372"/>
    </row>
    <row r="3" spans="1:29" ht="57.6">
      <c r="A3" s="415" t="s">
        <v>2085</v>
      </c>
      <c r="B3" s="1271" t="s">
        <v>2086</v>
      </c>
      <c r="C3" s="2374" t="s">
        <v>2087</v>
      </c>
      <c r="D3" s="2375"/>
      <c r="E3" s="431" t="s">
        <v>2085</v>
      </c>
      <c r="F3" s="2376" t="s">
        <v>2088</v>
      </c>
      <c r="G3" s="2377" t="s">
        <v>2089</v>
      </c>
      <c r="H3" s="2372"/>
      <c r="I3" s="2372"/>
      <c r="J3" s="2372"/>
      <c r="K3" s="2372"/>
      <c r="L3" s="2372"/>
      <c r="M3" s="2372"/>
      <c r="N3" s="2372"/>
      <c r="O3" s="2372"/>
      <c r="P3" s="2372"/>
      <c r="Q3" s="2372"/>
      <c r="R3" s="2372"/>
    </row>
    <row r="4" spans="1:29" ht="43.2">
      <c r="A4" s="431"/>
      <c r="B4" s="1798" t="s">
        <v>2090</v>
      </c>
      <c r="C4" s="2378" t="s">
        <v>2091</v>
      </c>
      <c r="D4" s="2375"/>
      <c r="E4" s="2379"/>
      <c r="F4" s="42" t="s">
        <v>2092</v>
      </c>
      <c r="G4" s="2380" t="s">
        <v>2093</v>
      </c>
      <c r="H4" s="2372"/>
      <c r="I4" s="2372"/>
      <c r="J4" s="2372"/>
      <c r="K4" s="2372"/>
      <c r="L4" s="2372"/>
      <c r="M4" s="2372"/>
      <c r="N4" s="2372"/>
      <c r="O4" s="2372"/>
      <c r="P4" s="2372"/>
      <c r="Q4" s="2372"/>
      <c r="R4" s="2372"/>
    </row>
    <row r="5" spans="1:29" ht="43.2">
      <c r="A5" s="431"/>
      <c r="B5" s="1798" t="s">
        <v>2094</v>
      </c>
      <c r="C5" s="2378" t="s">
        <v>2095</v>
      </c>
      <c r="D5" s="2375"/>
      <c r="E5" s="2379"/>
      <c r="F5" s="1798" t="s">
        <v>2096</v>
      </c>
      <c r="G5" s="2380" t="s">
        <v>2097</v>
      </c>
      <c r="H5" s="2372"/>
      <c r="I5" s="2372"/>
      <c r="J5" s="2372"/>
      <c r="K5" s="2372"/>
      <c r="L5" s="2372"/>
      <c r="M5" s="2372"/>
      <c r="N5" s="2372"/>
      <c r="O5" s="2372"/>
      <c r="P5" s="2372"/>
      <c r="Q5" s="2372"/>
      <c r="R5" s="2372"/>
    </row>
    <row r="6" spans="1:29" ht="57.6">
      <c r="A6" s="431"/>
      <c r="B6" s="1798" t="s">
        <v>2098</v>
      </c>
      <c r="C6" s="2380" t="s">
        <v>2093</v>
      </c>
      <c r="D6" s="2375"/>
      <c r="E6" s="2379"/>
      <c r="F6" s="1798" t="s">
        <v>2099</v>
      </c>
      <c r="G6" s="2380" t="s">
        <v>2100</v>
      </c>
      <c r="H6" s="2372"/>
      <c r="I6" s="2372"/>
      <c r="J6" s="2372"/>
      <c r="K6" s="2372"/>
      <c r="L6" s="2372"/>
      <c r="M6" s="2372"/>
      <c r="N6" s="2372"/>
      <c r="O6" s="2372"/>
      <c r="P6" s="2372"/>
      <c r="Q6" s="2372"/>
      <c r="R6" s="2372"/>
    </row>
    <row r="7" spans="1:29" ht="43.8" thickBot="1">
      <c r="A7" s="431"/>
      <c r="B7" s="1798" t="s">
        <v>2096</v>
      </c>
      <c r="C7" s="2380" t="s">
        <v>2097</v>
      </c>
      <c r="D7" s="2381"/>
      <c r="E7" s="2382"/>
      <c r="F7" s="2383" t="s">
        <v>2101</v>
      </c>
      <c r="G7" s="2384" t="s">
        <v>2102</v>
      </c>
      <c r="H7" s="2372"/>
      <c r="I7" s="2372"/>
      <c r="J7" s="2372"/>
      <c r="K7" s="2372"/>
      <c r="L7" s="2372"/>
      <c r="M7" s="2372"/>
      <c r="N7" s="2372"/>
      <c r="O7" s="2372"/>
      <c r="P7" s="2372"/>
      <c r="Q7" s="2372"/>
      <c r="R7" s="2372"/>
    </row>
    <row r="8" spans="1:29" ht="28.8">
      <c r="A8" s="431"/>
      <c r="B8" s="1798" t="s">
        <v>2099</v>
      </c>
      <c r="C8" s="2380" t="s">
        <v>2100</v>
      </c>
      <c r="D8" s="2381"/>
      <c r="E8" s="2381"/>
      <c r="F8" s="1136"/>
      <c r="G8" s="1136"/>
      <c r="H8" s="2372"/>
      <c r="I8" s="2372"/>
      <c r="J8" s="2372"/>
      <c r="K8" s="2372"/>
      <c r="L8" s="2372"/>
      <c r="M8" s="2372"/>
      <c r="N8" s="2372"/>
      <c r="O8" s="2372"/>
      <c r="P8" s="2372"/>
      <c r="Q8" s="2372"/>
      <c r="R8" s="2372"/>
    </row>
    <row r="9" spans="1:29" ht="43.2">
      <c r="A9" s="431"/>
      <c r="B9" s="1798" t="s">
        <v>2103</v>
      </c>
      <c r="C9" s="2378" t="s">
        <v>2104</v>
      </c>
      <c r="D9" s="2375"/>
      <c r="E9" s="2381"/>
      <c r="F9" s="1136"/>
      <c r="G9" s="1136"/>
      <c r="H9" s="2372"/>
      <c r="I9" s="2372"/>
      <c r="J9" s="2372"/>
      <c r="K9" s="2372"/>
      <c r="L9" s="2372"/>
      <c r="M9" s="2372"/>
      <c r="N9" s="2372"/>
      <c r="O9" s="2372"/>
      <c r="P9" s="2372"/>
      <c r="Q9" s="2372"/>
      <c r="R9" s="2372"/>
    </row>
    <row r="10" spans="1:29" s="117" customFormat="1" ht="15" thickBot="1">
      <c r="A10" s="2385"/>
      <c r="B10" s="2386" t="s">
        <v>2105</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7.399999999999999">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8" thickBot="1">
      <c r="A13" s="2398" t="s">
        <v>2106</v>
      </c>
      <c r="B13" s="2392"/>
      <c r="C13" s="2392"/>
      <c r="D13" s="2399"/>
      <c r="E13" s="2392"/>
      <c r="F13" s="2392"/>
      <c r="G13" s="2392"/>
    </row>
    <row r="14" spans="1:29" ht="15" thickBot="1">
      <c r="A14" s="2403"/>
      <c r="B14" s="2404"/>
      <c r="C14" s="2405" t="s">
        <v>2107</v>
      </c>
      <c r="D14" s="2375"/>
      <c r="E14" s="2406"/>
      <c r="F14" s="2406"/>
      <c r="G14" s="2369" t="s">
        <v>2108</v>
      </c>
    </row>
    <row r="15" spans="1:29" ht="55.2">
      <c r="A15" s="68" t="s">
        <v>2109</v>
      </c>
      <c r="B15" s="1270" t="s">
        <v>2086</v>
      </c>
      <c r="C15" s="2407" t="str">
        <f>C3</f>
        <v>估价对象周边居住用地比例、居住小区规模和社区发展完善程度，综合评价居住社区成熟度一般</v>
      </c>
      <c r="D15" s="2375"/>
      <c r="E15" s="2408" t="s">
        <v>2110</v>
      </c>
      <c r="F15" s="1270" t="s">
        <v>2111</v>
      </c>
      <c r="G15" s="135" t="str">
        <f>G3</f>
        <v>估价对象位于XX开发区，园区建设成熟度XX，产业集聚程度XX</v>
      </c>
    </row>
    <row r="16" spans="1:29" ht="41.4">
      <c r="A16" s="645"/>
      <c r="B16" s="2409" t="s">
        <v>2090</v>
      </c>
      <c r="C16" s="2410" t="str">
        <f>C4</f>
        <v>估价对象位于XX商圈，周边商业氛围成熟，人流量大，商业繁华度好</v>
      </c>
      <c r="D16" s="2375"/>
      <c r="E16" s="2411"/>
      <c r="F16" s="2412" t="s">
        <v>2092</v>
      </c>
      <c r="G16" s="136" t="str">
        <f>G4</f>
        <v>估价对象周边道路状况、公共交通通达情况、停车便捷程度，综合评价交通便捷度较好</v>
      </c>
    </row>
    <row r="17" spans="1:18" ht="41.4">
      <c r="A17" s="645"/>
      <c r="B17" s="2409" t="s">
        <v>2094</v>
      </c>
      <c r="C17" s="2410" t="str">
        <f>C5</f>
        <v>估价对象位于XX商圈，周边办公楼项目较多，入驻率高，办公集聚程度较好</v>
      </c>
      <c r="D17" s="2381"/>
      <c r="E17" s="2411"/>
      <c r="F17" s="2412" t="s">
        <v>2112</v>
      </c>
      <c r="G17" s="1572"/>
    </row>
    <row r="18" spans="1:18" ht="55.2">
      <c r="A18" s="645"/>
      <c r="B18" s="2412" t="s">
        <v>2098</v>
      </c>
      <c r="C18" s="136" t="str">
        <f>C6</f>
        <v>估价对象周边道路状况、公共交通通达情况、停车便捷程度，综合评价交通便捷度较好</v>
      </c>
      <c r="D18" s="2381"/>
      <c r="E18" s="2411"/>
      <c r="F18" s="2412" t="s">
        <v>2101</v>
      </c>
      <c r="G18" s="136" t="str">
        <f>G7</f>
        <v>该园区内是否有污染型企业，绿化情况，卫生条件，整体环境状况判断</v>
      </c>
    </row>
    <row r="19" spans="1:18" ht="27.6">
      <c r="A19" s="645"/>
      <c r="B19" s="2412" t="s">
        <v>2113</v>
      </c>
      <c r="C19" s="1572"/>
      <c r="D19" s="2375"/>
      <c r="E19" s="2411"/>
      <c r="F19" s="1798" t="s">
        <v>2096</v>
      </c>
      <c r="G19" s="136" t="str">
        <f>G5</f>
        <v>估价对象所在区域公共配套设施齐备情况</v>
      </c>
    </row>
    <row r="20" spans="1:18" ht="41.4">
      <c r="A20" s="645"/>
      <c r="B20" s="2412" t="s">
        <v>2114</v>
      </c>
      <c r="C20" s="2410" t="str">
        <f>C9</f>
        <v>区域自然环境：；人文环境；综合评价环境状况一般</v>
      </c>
      <c r="D20" s="2381"/>
      <c r="E20" s="2411"/>
      <c r="F20" s="1798" t="s">
        <v>2115</v>
      </c>
      <c r="G20" s="136" t="str">
        <f>G6</f>
        <v>估价对象所在区域基础设施水平</v>
      </c>
    </row>
    <row r="21" spans="1:18" ht="27.6">
      <c r="A21" s="645"/>
      <c r="B21" s="1798" t="s">
        <v>2096</v>
      </c>
      <c r="C21" s="136" t="str">
        <f>C7</f>
        <v>估价对象所在区域公共配套设施齐备情况</v>
      </c>
      <c r="D21" s="2375"/>
      <c r="E21" s="2411"/>
      <c r="F21" s="2412" t="s">
        <v>2116</v>
      </c>
      <c r="G21" s="2413"/>
    </row>
    <row r="22" spans="1:18" ht="13.5" customHeight="1">
      <c r="A22" s="645"/>
      <c r="B22" s="1798" t="s">
        <v>2099</v>
      </c>
      <c r="C22" s="136" t="str">
        <f>C8</f>
        <v>估价对象所在区域基础设施水平</v>
      </c>
      <c r="D22" s="2375"/>
      <c r="E22" s="2411"/>
      <c r="F22" s="2412" t="s">
        <v>2105</v>
      </c>
      <c r="G22" s="1572"/>
    </row>
    <row r="23" spans="1:18" s="2372" customFormat="1" ht="15" thickBot="1">
      <c r="A23" s="645"/>
      <c r="B23" s="2412" t="s">
        <v>2116</v>
      </c>
      <c r="C23" s="2413"/>
      <c r="D23" s="2400"/>
      <c r="E23" s="2414"/>
      <c r="F23" s="2415" t="s">
        <v>2117</v>
      </c>
      <c r="G23" s="2416"/>
      <c r="H23" s="2400"/>
      <c r="I23" s="2401"/>
      <c r="J23" s="2400"/>
      <c r="K23" s="2400"/>
      <c r="L23" s="2401"/>
      <c r="M23" s="2400"/>
      <c r="N23" s="2400"/>
      <c r="O23" s="2401"/>
      <c r="P23" s="2400"/>
      <c r="Q23" s="2400"/>
      <c r="R23" s="2402"/>
    </row>
    <row r="24" spans="1:18" s="2372" customFormat="1" ht="15" thickBot="1">
      <c r="A24" s="2417"/>
      <c r="B24" s="2415" t="s">
        <v>2118</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0</v>
      </c>
      <c r="C1" s="1745"/>
      <c r="D1" s="1745"/>
      <c r="E1" s="1745"/>
      <c r="F1" s="1745"/>
      <c r="G1" s="1743"/>
    </row>
    <row r="2" spans="1:10" ht="16.2">
      <c r="A2" s="1746" t="s">
        <v>1349</v>
      </c>
      <c r="B2" s="1746" t="e">
        <f>SUM(C14:C23)</f>
        <v>#DIV/0!</v>
      </c>
      <c r="C2" s="1745"/>
      <c r="D2" s="1745"/>
      <c r="E2" s="1745"/>
      <c r="F2" s="1745"/>
      <c r="G2" s="1743"/>
    </row>
    <row r="3" spans="1:10" ht="15.6">
      <c r="A3" s="1746" t="s">
        <v>1358</v>
      </c>
      <c r="B3" s="1747">
        <f>项目基本情况!D3</f>
        <v>0</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t="e">
        <f ca="1">SUM(D14:D23)</f>
        <v>#REF!</v>
      </c>
      <c r="C5" s="1746" t="e">
        <f ca="1">ROUND(B5*10000/$B$1,0)</f>
        <v>#REF!</v>
      </c>
      <c r="D5" s="1746" t="e">
        <f ca="1">ROUND(B5*10000/$B$2,0)</f>
        <v>#REF!</v>
      </c>
      <c r="E5" s="1745"/>
      <c r="F5" s="1743"/>
      <c r="G5" s="1743"/>
    </row>
    <row r="6" spans="1:10" ht="15.6">
      <c r="A6" s="1746" t="s">
        <v>1352</v>
      </c>
      <c r="B6" s="1746" t="e">
        <f ca="1">SUM(G14:G23)</f>
        <v>#REF!</v>
      </c>
      <c r="C6" s="1746" t="e">
        <f ca="1">ROUND(B6*10000/$B$1,0)</f>
        <v>#REF!</v>
      </c>
      <c r="D6" s="1746" t="e">
        <f ca="1">ROUND(B6*10000/$B$2,0)</f>
        <v>#REF!</v>
      </c>
      <c r="E6" s="1745"/>
      <c r="F6" s="1743"/>
      <c r="G6" s="1743"/>
    </row>
    <row r="7" spans="1:10" ht="15.6">
      <c r="A7" s="1746" t="s">
        <v>1360</v>
      </c>
      <c r="B7" s="1746">
        <f>SUM(H14:H23)</f>
        <v>0</v>
      </c>
      <c r="C7" s="1746" t="e">
        <f>ROUND(B7*10000/$B$1,0)</f>
        <v>#DIV/0!</v>
      </c>
      <c r="D7" s="1746" t="e">
        <f>ROUND(B7*10000/$B$2,0)</f>
        <v>#DIV/0!</v>
      </c>
      <c r="E7" s="1745"/>
      <c r="F7" s="1743"/>
      <c r="G7" s="1743"/>
    </row>
    <row r="8" spans="1:10" ht="15.6">
      <c r="A8" s="1746" t="s">
        <v>1281</v>
      </c>
      <c r="B8" s="1746">
        <f>SUM(I14:I23)</f>
        <v>0</v>
      </c>
      <c r="C8" s="1746" t="e">
        <f>ROUND(B8*10000/$B$1,0)</f>
        <v>#DIV/0!</v>
      </c>
      <c r="D8" s="1746" t="e">
        <f>ROUND(B8*10000/$B$2,0)</f>
        <v>#DIV/0!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0</v>
      </c>
      <c r="C14" s="1744" t="e">
        <f>结果表!C118</f>
        <v>#DIV/0!</v>
      </c>
      <c r="D14" s="1744" t="e">
        <f ca="1">结果表!H118</f>
        <v>#REF!</v>
      </c>
      <c r="E14" s="1744" t="e">
        <f ca="1">ROUND(D14*10000/B14,0)</f>
        <v>#REF!</v>
      </c>
      <c r="F14" s="1744" t="e">
        <f ca="1">ROUND(D14*10000/C14,0)</f>
        <v>#REF!</v>
      </c>
      <c r="G14" s="1744" t="e">
        <f ca="1">结果表!D122</f>
        <v>#REF!</v>
      </c>
      <c r="H14" s="1744" t="str">
        <f>结果表!D124</f>
        <v>——</v>
      </c>
      <c r="I14" s="1744" t="str">
        <f>结果表!D126</f>
        <v>——</v>
      </c>
      <c r="J14" s="1743"/>
    </row>
    <row r="15" spans="1:10" ht="15.6">
      <c r="A15" s="1742" t="s">
        <v>1345</v>
      </c>
      <c r="B15" s="1749"/>
      <c r="C15" s="1749"/>
      <c r="D15" s="1749"/>
      <c r="E15" s="1744" t="e">
        <f t="shared" ref="E15:E23" si="0">ROUND(D15*10000/B15,0)</f>
        <v>#DIV/0!</v>
      </c>
      <c r="F15" s="1744" t="e">
        <f t="shared" ref="F15:F23"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640625" defaultRowHeight="21.75" customHeight="1"/>
  <cols>
    <col min="1" max="2" width="12.6640625" style="2429"/>
    <col min="3" max="4" width="12.6640625" style="2429" customWidth="1"/>
    <col min="5" max="9" width="12.6640625" style="2429"/>
    <col min="10" max="11" width="12.6640625" style="795" customWidth="1"/>
    <col min="12" max="12" width="12.6640625" style="795"/>
    <col min="13" max="13" width="14.109375" style="795" bestFit="1" customWidth="1"/>
    <col min="14" max="26" width="12.6640625" style="795"/>
    <col min="27" max="35" width="12.6640625" style="2428"/>
    <col min="36" max="16384" width="12.6640625" style="2429"/>
  </cols>
  <sheetData>
    <row r="1" spans="1:12" ht="21.75" customHeight="1" thickBot="1">
      <c r="A1" s="2229" t="s">
        <v>2119</v>
      </c>
      <c r="B1" s="2423"/>
      <c r="C1" s="2424"/>
      <c r="D1" s="2423"/>
      <c r="E1" s="2423"/>
      <c r="F1" s="2425" t="s">
        <v>2120</v>
      </c>
      <c r="G1" s="2074" t="s">
        <v>2121</v>
      </c>
      <c r="H1" s="2426" t="str">
        <f>IF(G1="现房","——","估价对象范围")</f>
        <v>估价对象范围</v>
      </c>
      <c r="I1" s="2427"/>
    </row>
    <row r="2" spans="1:12" ht="21.75" customHeight="1" thickBot="1">
      <c r="A2" s="3112" t="str">
        <f>项目基本情况!S2</f>
        <v>出让国有建设用地使用权及在建建筑物房地产</v>
      </c>
      <c r="B2" s="3113"/>
      <c r="C2" s="3113"/>
      <c r="D2" s="3113"/>
      <c r="E2" s="3113"/>
      <c r="F2" s="3113"/>
      <c r="G2" s="3113"/>
      <c r="H2" s="3113"/>
      <c r="I2" s="3114"/>
    </row>
    <row r="3" spans="1:12" ht="13.2">
      <c r="A3" s="3115" t="s">
        <v>2122</v>
      </c>
      <c r="B3" s="3116"/>
      <c r="C3" s="3116"/>
      <c r="D3" s="3116"/>
      <c r="E3" s="3116"/>
      <c r="F3" s="3116"/>
      <c r="G3" s="3116"/>
      <c r="H3" s="3116"/>
      <c r="I3" s="3116"/>
    </row>
    <row r="4" spans="1:12" ht="14.4">
      <c r="A4" s="2430" t="s">
        <v>2123</v>
      </c>
      <c r="B4" s="2431" t="s">
        <v>2124</v>
      </c>
      <c r="C4" s="2432"/>
      <c r="D4" s="2432"/>
      <c r="E4" s="3096" t="s">
        <v>2125</v>
      </c>
      <c r="F4" s="3109"/>
      <c r="G4" s="3109"/>
      <c r="H4" s="3109"/>
      <c r="I4" s="3097"/>
      <c r="K4" s="2433" t="str">
        <f>IF(ISNUMBER(FIND("比较法",结果表!C4)),"比较法",IF(ISNUMBER(FIND("成本法",结果表!C4)),"成本法",IF(ISNUMBER(FIND("假设开发法",结果表!C4)),"假设开发法",IF(ISNUMBER(FIND("收益法",结果表!C4)),"收益法","基准地价系数修正法"))))</f>
        <v>基准地价系数修正法</v>
      </c>
      <c r="L4" s="243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087" t="s">
        <v>2126</v>
      </c>
      <c r="B5" s="3013">
        <v>25</v>
      </c>
      <c r="C5" s="3117"/>
      <c r="D5" s="3105"/>
      <c r="E5" s="140" t="s">
        <v>2127</v>
      </c>
      <c r="F5" s="2434"/>
      <c r="G5" s="2434"/>
      <c r="H5" s="2434"/>
      <c r="I5" s="1834"/>
    </row>
    <row r="6" spans="1:12" ht="13.2">
      <c r="A6" s="3087"/>
      <c r="B6" s="3013"/>
      <c r="C6" s="3119"/>
      <c r="D6" s="3105"/>
      <c r="E6" s="140" t="s">
        <v>2128</v>
      </c>
      <c r="F6" s="2434"/>
      <c r="G6" s="2434"/>
      <c r="H6" s="2434"/>
      <c r="I6" s="1834"/>
    </row>
    <row r="7" spans="1:12" ht="13.2">
      <c r="A7" s="3087"/>
      <c r="B7" s="3013"/>
      <c r="C7" s="3118"/>
      <c r="D7" s="3105"/>
      <c r="E7" s="140" t="s">
        <v>2129</v>
      </c>
      <c r="F7" s="2434"/>
      <c r="G7" s="2434"/>
      <c r="H7" s="2434"/>
      <c r="I7" s="1834"/>
    </row>
    <row r="8" spans="1:12" ht="13.2">
      <c r="A8" s="3087" t="s">
        <v>2130</v>
      </c>
      <c r="B8" s="3013">
        <v>15</v>
      </c>
      <c r="C8" s="3117"/>
      <c r="D8" s="3105"/>
      <c r="E8" s="140" t="s">
        <v>2131</v>
      </c>
      <c r="F8" s="2434"/>
      <c r="G8" s="2434"/>
      <c r="H8" s="2434"/>
      <c r="I8" s="1834"/>
    </row>
    <row r="9" spans="1:12" ht="13.2">
      <c r="A9" s="3087"/>
      <c r="B9" s="3013"/>
      <c r="C9" s="3118"/>
      <c r="D9" s="3105"/>
      <c r="E9" s="140" t="s">
        <v>2132</v>
      </c>
      <c r="F9" s="2434"/>
      <c r="G9" s="2434"/>
      <c r="H9" s="2434"/>
      <c r="I9" s="1834"/>
    </row>
    <row r="10" spans="1:12" ht="13.2">
      <c r="A10" s="3087" t="s">
        <v>2133</v>
      </c>
      <c r="B10" s="3013">
        <v>15</v>
      </c>
      <c r="C10" s="3117"/>
      <c r="D10" s="3105"/>
      <c r="E10" s="140" t="s">
        <v>2134</v>
      </c>
      <c r="F10" s="2434"/>
      <c r="G10" s="2434"/>
      <c r="H10" s="2434"/>
      <c r="I10" s="1834"/>
    </row>
    <row r="11" spans="1:12" ht="13.2">
      <c r="A11" s="3087"/>
      <c r="B11" s="3013"/>
      <c r="C11" s="3118"/>
      <c r="D11" s="3105"/>
      <c r="E11" s="140" t="s">
        <v>2135</v>
      </c>
      <c r="F11" s="2434"/>
      <c r="G11" s="2434"/>
      <c r="H11" s="2434"/>
      <c r="I11" s="1834"/>
    </row>
    <row r="12" spans="1:12" ht="13.2">
      <c r="A12" s="3087" t="s">
        <v>2136</v>
      </c>
      <c r="B12" s="3013">
        <v>15</v>
      </c>
      <c r="C12" s="3117"/>
      <c r="D12" s="3105"/>
      <c r="E12" s="140" t="s">
        <v>2137</v>
      </c>
      <c r="F12" s="2434"/>
      <c r="G12" s="2434"/>
      <c r="H12" s="2434"/>
      <c r="I12" s="1834"/>
    </row>
    <row r="13" spans="1:12" ht="13.2">
      <c r="A13" s="3087"/>
      <c r="B13" s="3013"/>
      <c r="C13" s="3118"/>
      <c r="D13" s="3105"/>
      <c r="E13" s="140" t="s">
        <v>2138</v>
      </c>
      <c r="F13" s="2434"/>
      <c r="G13" s="2434"/>
      <c r="H13" s="2434"/>
      <c r="I13" s="1834"/>
    </row>
    <row r="14" spans="1:12" ht="13.2">
      <c r="A14" s="3087" t="s">
        <v>2139</v>
      </c>
      <c r="B14" s="3013">
        <v>30</v>
      </c>
      <c r="C14" s="3117"/>
      <c r="D14" s="3105"/>
      <c r="E14" s="140" t="s">
        <v>2140</v>
      </c>
      <c r="F14" s="2434"/>
      <c r="G14" s="2434"/>
      <c r="H14" s="2434"/>
      <c r="I14" s="1834"/>
    </row>
    <row r="15" spans="1:12" ht="13.2">
      <c r="A15" s="3087"/>
      <c r="B15" s="3013"/>
      <c r="C15" s="3119"/>
      <c r="D15" s="3105"/>
      <c r="E15" s="140" t="s">
        <v>2141</v>
      </c>
      <c r="F15" s="2434"/>
      <c r="G15" s="2434"/>
      <c r="H15" s="2434"/>
      <c r="I15" s="1834"/>
    </row>
    <row r="16" spans="1:12" ht="13.2">
      <c r="A16" s="3087"/>
      <c r="B16" s="3013"/>
      <c r="C16" s="3118"/>
      <c r="D16" s="3105"/>
      <c r="E16" s="140" t="s">
        <v>2142</v>
      </c>
      <c r="F16" s="2434"/>
      <c r="G16" s="2434"/>
      <c r="H16" s="2434"/>
      <c r="I16" s="1834"/>
    </row>
    <row r="17" spans="1:35" ht="14.4">
      <c r="A17" s="2435" t="s">
        <v>2143</v>
      </c>
      <c r="B17" s="64"/>
      <c r="C17" s="141">
        <f>SUM(C5:C16)</f>
        <v>0</v>
      </c>
      <c r="D17" s="141">
        <f>SUM(D5:D16)</f>
        <v>0</v>
      </c>
      <c r="E17" s="138"/>
      <c r="F17" s="138"/>
      <c r="G17" s="138"/>
      <c r="H17" s="138"/>
      <c r="I17" s="138"/>
      <c r="K17" s="2433"/>
      <c r="L17" s="2436" t="s">
        <v>2144</v>
      </c>
      <c r="M17" s="2436" t="s">
        <v>2145</v>
      </c>
    </row>
    <row r="18" spans="1:35" ht="15" thickBot="1">
      <c r="A18" s="2437" t="s">
        <v>2146</v>
      </c>
      <c r="B18" s="2438"/>
      <c r="C18" s="142" t="e">
        <f>ROUND(C17/SUM(C17:D17),2)</f>
        <v>#DIV/0!</v>
      </c>
      <c r="D18" s="142" t="e">
        <f>1-C18</f>
        <v>#DIV/0!</v>
      </c>
      <c r="E18" s="138"/>
      <c r="F18" s="138"/>
      <c r="G18" s="138"/>
      <c r="H18" s="138"/>
      <c r="I18" s="138"/>
      <c r="K18" s="2433" t="s">
        <v>2147</v>
      </c>
      <c r="L18" s="2433">
        <f>IF(C1="",'数据-汇总表'!E3,SUMIF(项目类型,C1,'数据-汇总表'!E17:E26)+SUMIF(项目类型,C1,'数据-汇总表'!I17:I26))</f>
        <v>0</v>
      </c>
      <c r="M18" s="2433">
        <f>IF(C1="",'数据-汇总表'!E3,SUMIF(项目类型,C1,'数据-汇总表'!E17:E26))</f>
        <v>0</v>
      </c>
    </row>
    <row r="19" spans="1:35" ht="14.4">
      <c r="A19" s="2439" t="s">
        <v>2148</v>
      </c>
      <c r="B19" s="2440" t="s">
        <v>2149</v>
      </c>
      <c r="C19" s="143" t="e">
        <f ca="1">SUMIF(INDIRECT("'"&amp;C4&amp;"'"&amp;"!A:A"),结果表!B19,INDIRECT("'"&amp;C4&amp;"'"&amp;"!B:B"))</f>
        <v>#REF!</v>
      </c>
      <c r="D19" s="144" t="e">
        <f ca="1">SUMIF(INDIRECT("'"&amp;D4&amp;"'"&amp;"!A:A"),结果表!B19,INDIRECT("'"&amp;D4&amp;"'"&amp;"!B:B"))</f>
        <v>#REF!</v>
      </c>
      <c r="E19" s="2439" t="s">
        <v>2150</v>
      </c>
      <c r="F19" s="2440" t="s">
        <v>2149</v>
      </c>
      <c r="G19" s="145" t="e">
        <f ca="1">ROUND(C19*$C$18+D19*$D$18,0)</f>
        <v>#REF!</v>
      </c>
      <c r="H19" s="2441" t="s">
        <v>2151</v>
      </c>
      <c r="I19" s="138"/>
      <c r="K19" s="2433" t="s">
        <v>2152</v>
      </c>
      <c r="L19" s="2433" t="e">
        <f>IF(C1="",'数据-汇总表'!D3,SUMIF(项目类型,C1,'数据-汇总表'!D17:D26)+SUMIF(项目类型,C1,'数据-汇总表'!H17:H27))</f>
        <v>#DIV/0!</v>
      </c>
      <c r="M19" s="2433" t="e">
        <f>IF(C1="",'数据-汇总表'!D3,SUMIF(项目类型,C1,'数据-汇总表'!D17:D26))</f>
        <v>#DIV/0!</v>
      </c>
    </row>
    <row r="20" spans="1:35" ht="14.4">
      <c r="A20" s="2442"/>
      <c r="B20" s="1250" t="s">
        <v>2153</v>
      </c>
      <c r="C20" s="146" t="e">
        <f ca="1">SUMIF(INDIRECT("'"&amp;C4&amp;"'"&amp;"!A:A"),结果表!B20,INDIRECT("'"&amp;C4&amp;"'"&amp;"!B:B"))</f>
        <v>#REF!</v>
      </c>
      <c r="D20" s="147" t="e">
        <f ca="1">SUMIF(INDIRECT("'"&amp;D4&amp;"'"&amp;"!A:A"),结果表!B20,INDIRECT("'"&amp;D4&amp;"'"&amp;"!B:B"))</f>
        <v>#REF!</v>
      </c>
      <c r="E20" s="2442"/>
      <c r="F20" s="1250" t="s">
        <v>2153</v>
      </c>
      <c r="G20" s="148" t="e">
        <f ca="1">ROUND(C20*$C$18+D20*$D$18,0)</f>
        <v>#REF!</v>
      </c>
      <c r="H20" s="983" t="s">
        <v>2154</v>
      </c>
      <c r="I20" s="138"/>
    </row>
    <row r="21" spans="1:35" ht="15" customHeight="1" thickBot="1">
      <c r="A21" s="1003"/>
      <c r="B21" s="2443" t="s">
        <v>2155</v>
      </c>
      <c r="C21" s="789" t="e">
        <f ca="1">ROUND(C19*10000/L19,0)</f>
        <v>#REF!</v>
      </c>
      <c r="D21" s="790" t="e">
        <f ca="1">ROUND(D19*10000/L19,0)</f>
        <v>#REF!</v>
      </c>
      <c r="E21" s="1003"/>
      <c r="F21" s="2443" t="s">
        <v>2155</v>
      </c>
      <c r="G21" s="149" t="e">
        <f ca="1">ROUND(G19*10000/L19,0)</f>
        <v>#REF!</v>
      </c>
      <c r="H21" s="2444" t="s">
        <v>2154</v>
      </c>
      <c r="I21" s="138"/>
    </row>
    <row r="22" spans="1:35" ht="15" thickBot="1">
      <c r="A22" s="2285" t="s">
        <v>2156</v>
      </c>
      <c r="B22" s="2445"/>
      <c r="C22" s="2446"/>
      <c r="D22" s="791" t="e">
        <f ca="1">IF(C19&lt;D19,D19/C19-1,C19/D19-1)</f>
        <v>#REF!</v>
      </c>
      <c r="E22" s="138"/>
      <c r="F22" s="138"/>
      <c r="G22" s="138"/>
      <c r="H22" s="138"/>
      <c r="I22" s="138"/>
    </row>
    <row r="23" spans="1:35" ht="13.8" thickBot="1">
      <c r="A23" s="2423"/>
      <c r="B23" s="2423"/>
      <c r="C23" s="2423"/>
      <c r="D23" s="2423"/>
      <c r="E23" s="138"/>
      <c r="F23" s="138"/>
      <c r="G23" s="138"/>
      <c r="H23" s="138"/>
      <c r="I23" s="138"/>
    </row>
    <row r="24" spans="1:35" ht="14.4">
      <c r="A24" s="3126" t="s">
        <v>2157</v>
      </c>
      <c r="B24" s="2440" t="s">
        <v>2149</v>
      </c>
      <c r="C24" s="145">
        <f>IF(B30=0,0,D30)</f>
        <v>0</v>
      </c>
      <c r="D24" s="2447"/>
      <c r="E24" s="138"/>
      <c r="F24" s="138"/>
      <c r="G24" s="138"/>
      <c r="H24" s="138"/>
      <c r="I24" s="138"/>
    </row>
    <row r="25" spans="1:35" ht="14.4">
      <c r="A25" s="3127"/>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3.8">
      <c r="A27" s="2449"/>
      <c r="B27" s="151">
        <v>0</v>
      </c>
      <c r="C27" s="151">
        <v>0</v>
      </c>
      <c r="D27" s="152">
        <f>ROUND(C27*B27/10000,0)</f>
        <v>0</v>
      </c>
      <c r="E27" s="138"/>
      <c r="F27" s="138"/>
      <c r="G27" s="138"/>
      <c r="H27" s="138"/>
      <c r="I27" s="138"/>
    </row>
    <row r="28" spans="1:35" ht="13.8">
      <c r="A28" s="2449"/>
      <c r="B28" s="151"/>
      <c r="C28" s="151"/>
      <c r="D28" s="152"/>
      <c r="E28" s="138"/>
      <c r="F28" s="138"/>
      <c r="G28" s="138"/>
      <c r="H28" s="138"/>
      <c r="I28" s="138"/>
    </row>
    <row r="29" spans="1:35" ht="13.8">
      <c r="A29" s="2449"/>
      <c r="B29" s="151"/>
      <c r="C29" s="151"/>
      <c r="D29" s="152"/>
      <c r="E29" s="138"/>
      <c r="F29" s="138"/>
      <c r="G29" s="138"/>
      <c r="H29" s="138"/>
      <c r="I29" s="138"/>
    </row>
    <row r="30" spans="1:35" ht="14.4">
      <c r="A30" s="151" t="s">
        <v>2162</v>
      </c>
      <c r="B30" s="151"/>
      <c r="C30" s="151"/>
      <c r="D30" s="151"/>
      <c r="E30" s="2930" t="s">
        <v>3041</v>
      </c>
      <c r="F30" s="138"/>
      <c r="G30" s="138"/>
      <c r="H30" s="138"/>
      <c r="I30" s="138"/>
    </row>
    <row r="31" spans="1:35" s="2451" customFormat="1" ht="14.4"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 thickBot="1">
      <c r="A32" s="2452" t="s">
        <v>2163</v>
      </c>
      <c r="B32" s="2453"/>
      <c r="C32" s="153" t="e">
        <f ca="1">IF(D32="总价",G19-C24,G20-C25)</f>
        <v>#REF!</v>
      </c>
      <c r="D32" s="2454" t="s">
        <v>2164</v>
      </c>
      <c r="E32" s="138"/>
      <c r="F32" s="138"/>
      <c r="G32" s="138"/>
      <c r="H32" s="138"/>
      <c r="I32" s="138"/>
    </row>
    <row r="33" spans="1:15" ht="14.4">
      <c r="A33" s="960" t="s">
        <v>2165</v>
      </c>
      <c r="B33" s="2455"/>
      <c r="C33" s="2456"/>
      <c r="D33" s="2457"/>
      <c r="E33" s="2458" t="s">
        <v>2166</v>
      </c>
      <c r="F33" s="2459" t="str">
        <f>IF(D32="楼面单价","取值（单价）","取值（总价）")</f>
        <v>取值（总价）</v>
      </c>
      <c r="G33" s="138"/>
      <c r="H33" s="138"/>
      <c r="I33" s="138"/>
    </row>
    <row r="34" spans="1:15" ht="14.4">
      <c r="A34" s="2460"/>
      <c r="B34" s="2461"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2168</v>
      </c>
      <c r="F34" s="1739"/>
      <c r="G34" s="138"/>
      <c r="H34" s="138"/>
      <c r="I34" s="138"/>
    </row>
    <row r="35" spans="1:15" ht="15" thickBot="1">
      <c r="A35" s="2463"/>
      <c r="B35" s="2464"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2170</v>
      </c>
      <c r="F35" s="163"/>
      <c r="G35" s="138"/>
      <c r="H35" s="138"/>
      <c r="I35" s="138"/>
    </row>
    <row r="36" spans="1:15" ht="15" thickBot="1">
      <c r="A36" s="3106" t="s">
        <v>2171</v>
      </c>
      <c r="B36" s="2466" t="s">
        <v>2172</v>
      </c>
      <c r="C36" s="154"/>
      <c r="D36" s="2467"/>
      <c r="E36" s="2468"/>
      <c r="F36" s="2469"/>
      <c r="G36" s="138"/>
      <c r="H36" s="138"/>
      <c r="I36" s="138"/>
    </row>
    <row r="37" spans="1:15" ht="15" thickBot="1">
      <c r="A37" s="3107"/>
      <c r="B37" s="2271" t="s">
        <v>2173</v>
      </c>
      <c r="C37" s="156"/>
      <c r="D37" s="1395"/>
      <c r="E37" s="1395"/>
      <c r="F37" s="2469"/>
      <c r="G37" s="138"/>
      <c r="H37" s="138"/>
      <c r="I37" s="138"/>
    </row>
    <row r="38" spans="1:15" ht="15" thickBot="1">
      <c r="A38" s="3108"/>
      <c r="B38" s="2470" t="s">
        <v>2174</v>
      </c>
      <c r="C38" s="727"/>
      <c r="D38" s="2471" t="s">
        <v>2175</v>
      </c>
      <c r="E38" s="1395"/>
      <c r="F38" s="2469"/>
      <c r="G38" s="138"/>
      <c r="H38" s="138"/>
      <c r="I38" s="138"/>
    </row>
    <row r="39" spans="1:15" ht="14.4">
      <c r="A39" s="2442" t="s">
        <v>2176</v>
      </c>
      <c r="B39" s="2472" t="s">
        <v>2177</v>
      </c>
      <c r="C39" s="2473" t="s">
        <v>2178</v>
      </c>
      <c r="D39" s="2473" t="s">
        <v>2179</v>
      </c>
      <c r="E39" s="2474" t="s">
        <v>2180</v>
      </c>
      <c r="F39" s="2469"/>
      <c r="G39" s="138"/>
      <c r="H39" s="138"/>
      <c r="I39" s="138"/>
    </row>
    <row r="40" spans="1:15" ht="13.8">
      <c r="A40" s="2475" t="s">
        <v>2181</v>
      </c>
      <c r="B40" s="158"/>
      <c r="C40" s="159"/>
      <c r="D40" s="159"/>
      <c r="E40" s="160"/>
      <c r="F40" s="2469"/>
      <c r="G40" s="138"/>
      <c r="H40" s="138"/>
      <c r="I40" s="138"/>
    </row>
    <row r="41" spans="1:15" ht="13.8">
      <c r="A41" s="2475" t="s">
        <v>2182</v>
      </c>
      <c r="B41" s="158"/>
      <c r="C41" s="159"/>
      <c r="D41" s="159"/>
      <c r="E41" s="160"/>
      <c r="F41" s="2469"/>
      <c r="G41" s="138"/>
      <c r="H41" s="138"/>
      <c r="I41" s="138"/>
    </row>
    <row r="42" spans="1:15" ht="14.4" thickBot="1">
      <c r="A42" s="2476"/>
      <c r="B42" s="161"/>
      <c r="C42" s="162"/>
      <c r="D42" s="162"/>
      <c r="E42" s="163"/>
      <c r="F42" s="2469"/>
      <c r="G42" s="138"/>
      <c r="H42" s="138"/>
      <c r="I42" s="138"/>
    </row>
    <row r="43" spans="1:15" ht="13.2">
      <c r="A43" s="2169"/>
      <c r="B43" s="2169"/>
      <c r="C43" s="2169"/>
      <c r="D43" s="2169"/>
      <c r="E43" s="2169"/>
      <c r="F43" s="2477"/>
      <c r="G43" s="2477"/>
      <c r="H43" s="2477"/>
      <c r="I43" s="2478"/>
    </row>
    <row r="44" spans="1:15" ht="17.399999999999999">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23" t="s">
        <v>2185</v>
      </c>
      <c r="B45" s="3124"/>
      <c r="C45" s="3125"/>
      <c r="D45" s="164" t="e">
        <f ca="1">ROUND(H101*F45,0)</f>
        <v>#REF!</v>
      </c>
      <c r="E45" s="165" t="s">
        <v>2186</v>
      </c>
      <c r="F45" s="166">
        <v>1</v>
      </c>
      <c r="G45" s="167" t="s">
        <v>2187</v>
      </c>
      <c r="H45" s="138"/>
      <c r="I45" s="138"/>
      <c r="J45" s="3042" t="s">
        <v>2188</v>
      </c>
      <c r="K45" s="3042"/>
      <c r="L45" s="3042"/>
      <c r="M45" s="3042"/>
      <c r="N45" s="3042"/>
      <c r="O45" s="3042"/>
    </row>
    <row r="46" spans="1:15" ht="14.25" customHeight="1">
      <c r="A46" s="3120" t="s">
        <v>2189</v>
      </c>
      <c r="B46" s="3121"/>
      <c r="C46" s="3121"/>
      <c r="D46" s="3121"/>
      <c r="E46" s="3121"/>
      <c r="F46" s="3121"/>
      <c r="G46" s="3122"/>
      <c r="H46" s="2485"/>
      <c r="I46" s="168"/>
      <c r="J46" s="1812">
        <v>1</v>
      </c>
      <c r="K46" s="3042" t="s">
        <v>2190</v>
      </c>
      <c r="L46" s="3042"/>
      <c r="M46" s="3043"/>
      <c r="N46" s="3043"/>
      <c r="O46" s="3043"/>
    </row>
    <row r="47" spans="1:15" ht="12" customHeight="1">
      <c r="A47" s="169" t="s">
        <v>2191</v>
      </c>
      <c r="B47" s="170"/>
      <c r="C47" s="171"/>
      <c r="D47" s="172" t="s">
        <v>2192</v>
      </c>
      <c r="E47" s="24" t="s">
        <v>2193</v>
      </c>
      <c r="F47" s="173" t="s">
        <v>2194</v>
      </c>
      <c r="G47" s="174" t="s">
        <v>2195</v>
      </c>
      <c r="H47" s="2485"/>
      <c r="I47" s="168"/>
      <c r="J47" s="1812">
        <v>2</v>
      </c>
      <c r="K47" s="3042" t="s">
        <v>2196</v>
      </c>
      <c r="L47" s="3042"/>
      <c r="M47" s="3044">
        <f>'数据-取费表'!B2</f>
        <v>0</v>
      </c>
      <c r="N47" s="3044"/>
      <c r="O47" s="3044"/>
    </row>
    <row r="48" spans="1:15" ht="26.4">
      <c r="A48" s="3110" t="s">
        <v>2197</v>
      </c>
      <c r="B48" s="3111"/>
      <c r="C48" s="3111"/>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042" t="s">
        <v>2200</v>
      </c>
      <c r="L48" s="3042"/>
      <c r="M48" s="3045" t="e">
        <f ca="1">H101</f>
        <v>#REF!</v>
      </c>
      <c r="N48" s="3045"/>
      <c r="O48" s="3045"/>
    </row>
    <row r="49" spans="1:35" ht="25.5" customHeight="1">
      <c r="A49" s="176" t="s">
        <v>2201</v>
      </c>
      <c r="B49" s="3090" t="s">
        <v>2202</v>
      </c>
      <c r="C49" s="3090"/>
      <c r="D49" s="177">
        <v>0</v>
      </c>
      <c r="E49" s="23" t="s">
        <v>2203</v>
      </c>
      <c r="F49" s="28" t="s">
        <v>34</v>
      </c>
      <c r="G49" s="3071"/>
      <c r="H49" s="138"/>
      <c r="I49" s="2488"/>
      <c r="J49" s="1812">
        <v>4</v>
      </c>
      <c r="K49" s="3042" t="str">
        <f>IF(项目基本情况!E8="房地产抵押价值","房地产抵押价值","抵押担保权已注销时的房地产抵押价值")</f>
        <v>抵押担保权已注销时的房地产抵押价值</v>
      </c>
      <c r="L49" s="3042"/>
      <c r="M49" s="3045" t="str">
        <f>IF(项目基本情况!E8="房地产抵押价值",H107,H109)</f>
        <v>——</v>
      </c>
      <c r="N49" s="3045"/>
      <c r="O49" s="3045"/>
    </row>
    <row r="50" spans="1:35" ht="25.5" customHeight="1">
      <c r="A50" s="178"/>
      <c r="B50" s="3090" t="s">
        <v>2204</v>
      </c>
      <c r="C50" s="3090"/>
      <c r="D50" s="179"/>
      <c r="E50" s="31"/>
      <c r="F50" s="180"/>
      <c r="G50" s="3072"/>
      <c r="H50" s="138"/>
      <c r="I50" s="2488"/>
      <c r="J50" s="3042" t="s">
        <v>2205</v>
      </c>
      <c r="K50" s="3042"/>
      <c r="L50" s="3042"/>
      <c r="M50" s="3042"/>
      <c r="N50" s="3042"/>
      <c r="O50" s="3042"/>
    </row>
    <row r="51" spans="1:35" ht="12" customHeight="1">
      <c r="A51" s="181"/>
      <c r="B51" s="3090" t="s">
        <v>2206</v>
      </c>
      <c r="C51" s="3090"/>
      <c r="D51" s="182"/>
      <c r="E51" s="30"/>
      <c r="F51" s="180"/>
      <c r="G51" s="3073"/>
      <c r="H51" s="138"/>
      <c r="I51" s="2488"/>
      <c r="J51" s="2489" t="s">
        <v>2207</v>
      </c>
      <c r="K51" s="3042" t="s">
        <v>2208</v>
      </c>
      <c r="L51" s="3042"/>
      <c r="M51" s="2489" t="s">
        <v>2209</v>
      </c>
      <c r="N51" s="2489" t="s">
        <v>2210</v>
      </c>
      <c r="O51" s="2489" t="s">
        <v>2211</v>
      </c>
    </row>
    <row r="52" spans="1:35" ht="24" customHeight="1">
      <c r="A52" s="183" t="s">
        <v>2212</v>
      </c>
      <c r="B52" s="3090" t="s">
        <v>2213</v>
      </c>
      <c r="C52" s="3090"/>
      <c r="D52" s="182" t="e">
        <f ca="1">ROUND(D45*'数据-取费表'!B41/(1+'数据-取费表'!C42),0)</f>
        <v>#REF!</v>
      </c>
      <c r="E52" s="11" t="s">
        <v>2214</v>
      </c>
      <c r="F52" s="184">
        <f>'数据-取费表'!B41</f>
        <v>0</v>
      </c>
      <c r="G52" s="2490"/>
      <c r="H52" s="138"/>
      <c r="I52" s="2488"/>
      <c r="J52" s="1812">
        <v>1</v>
      </c>
      <c r="K52" s="3065" t="s">
        <v>2215</v>
      </c>
      <c r="L52" s="3065"/>
      <c r="M52" s="1754">
        <f>D48</f>
        <v>0</v>
      </c>
      <c r="N52" s="1812" t="str">
        <f>E48</f>
        <v>销售额×税（费）率</v>
      </c>
      <c r="O52" s="1755" t="str">
        <f>F48</f>
        <v>免征</v>
      </c>
    </row>
    <row r="53" spans="1:35" ht="12" customHeight="1">
      <c r="A53" s="183" t="s">
        <v>2216</v>
      </c>
      <c r="B53" s="3091" t="s">
        <v>2217</v>
      </c>
      <c r="C53" s="3092"/>
      <c r="D53" s="182" t="e">
        <f ca="1">ROUND(D45*'数据-取费表'!B41/(1+'数据-取费表'!C42),0)</f>
        <v>#REF!</v>
      </c>
      <c r="E53" s="11" t="s">
        <v>2214</v>
      </c>
      <c r="F53" s="184">
        <f>'数据-取费表'!B41</f>
        <v>0</v>
      </c>
      <c r="G53" s="2490"/>
      <c r="H53" s="138"/>
      <c r="I53" s="2488"/>
      <c r="J53" s="1812">
        <v>2</v>
      </c>
      <c r="K53" s="3065" t="s">
        <v>2218</v>
      </c>
      <c r="L53" s="3065"/>
      <c r="M53" s="1754" t="e">
        <f t="shared" ref="M53:O54" ca="1" si="0">D55</f>
        <v>#REF!</v>
      </c>
      <c r="N53" s="1812" t="str">
        <f t="shared" si="0"/>
        <v>销售额×税（费）率</v>
      </c>
      <c r="O53" s="1755">
        <f t="shared" si="0"/>
        <v>0</v>
      </c>
    </row>
    <row r="54" spans="1:35" ht="12" customHeight="1">
      <c r="A54" s="183" t="s">
        <v>2219</v>
      </c>
      <c r="B54" s="3091" t="s">
        <v>2220</v>
      </c>
      <c r="C54" s="3092"/>
      <c r="D54" s="182" t="e">
        <f ca="1">C68</f>
        <v>#REF!</v>
      </c>
      <c r="E54" s="30" t="s">
        <v>2221</v>
      </c>
      <c r="F54" s="184">
        <f>'数据-取费表'!B41</f>
        <v>0</v>
      </c>
      <c r="G54" s="2490"/>
      <c r="H54" s="2491"/>
      <c r="I54" s="2488"/>
      <c r="J54" s="1812">
        <v>3</v>
      </c>
      <c r="K54" s="3065" t="s">
        <v>2222</v>
      </c>
      <c r="L54" s="3065"/>
      <c r="M54" s="1754" t="e">
        <f t="shared" ca="1" si="0"/>
        <v>#REF!</v>
      </c>
      <c r="N54" s="1812" t="str">
        <f t="shared" si="0"/>
        <v>增值额×税（费）率</v>
      </c>
      <c r="O54" s="1756" t="str">
        <f t="shared" si="0"/>
        <v>——</v>
      </c>
    </row>
    <row r="55" spans="1:35" ht="24" customHeight="1">
      <c r="A55" s="3129" t="s">
        <v>2223</v>
      </c>
      <c r="B55" s="3111"/>
      <c r="C55" s="3111"/>
      <c r="D55" s="185" t="e">
        <f ca="1">IF(H55="个人住宅",0,ROUND(D45*I55,0))</f>
        <v>#REF!</v>
      </c>
      <c r="E55" s="11" t="s">
        <v>2224</v>
      </c>
      <c r="F55" s="184">
        <f>IF(H55="正常",I55,"免征")</f>
        <v>0</v>
      </c>
      <c r="G55" s="2490"/>
      <c r="H55" s="2487" t="s">
        <v>2225</v>
      </c>
      <c r="I55" s="186">
        <f>'数据-取费表'!B49</f>
        <v>0</v>
      </c>
      <c r="J55" s="1812" t="str">
        <f>IF(H59="非个人房产","",4)</f>
        <v/>
      </c>
      <c r="K55" s="3065" t="str">
        <f>IF(H59="非个人房产","——","个人所得税")</f>
        <v>——</v>
      </c>
      <c r="L55" s="3065"/>
      <c r="M55" s="1757" t="str">
        <f>D59</f>
        <v>——</v>
      </c>
      <c r="N55" s="1810" t="str">
        <f>E59</f>
        <v>——</v>
      </c>
      <c r="O55" s="1758" t="str">
        <f>F59</f>
        <v>——</v>
      </c>
    </row>
    <row r="56" spans="1:35" ht="25.2">
      <c r="A56" s="3129" t="s">
        <v>2226</v>
      </c>
      <c r="B56" s="3111"/>
      <c r="C56" s="3111"/>
      <c r="D56" s="185" t="e">
        <f ca="1">IF(H56="个人住宅",D57,D58)</f>
        <v>#REF!</v>
      </c>
      <c r="E56" s="11" t="s">
        <v>2227</v>
      </c>
      <c r="F56" s="184" t="str">
        <f>IF(H56="正常",F58,"免征")</f>
        <v>——</v>
      </c>
      <c r="G56" s="2492" t="s">
        <v>2228</v>
      </c>
      <c r="H56" s="2493" t="s">
        <v>2225</v>
      </c>
      <c r="I56" s="2494"/>
      <c r="J56" s="1812" t="str">
        <f>IF(项目基本情况!K6="上海银行",IF(J55="",4,J55+1),"")</f>
        <v/>
      </c>
      <c r="K56" s="3048" t="str">
        <f>IF(项目基本情况!K6="上海银行","其他处置费用","")</f>
        <v/>
      </c>
      <c r="L56" s="3049"/>
      <c r="M56" s="1754" t="str">
        <f>IF(项目基本情况!K6="上海银行",M69,"")</f>
        <v/>
      </c>
      <c r="N56" s="3051" t="str">
        <f>IF(项目基本情况!K6="上海银行","包含处置中涉及的律师、诉讼、拍卖、评估等费用","")</f>
        <v/>
      </c>
      <c r="O56" s="3052"/>
    </row>
    <row r="57" spans="1:35" ht="13.2">
      <c r="A57" s="183" t="s">
        <v>2201</v>
      </c>
      <c r="B57" s="3096" t="s">
        <v>2229</v>
      </c>
      <c r="C57" s="3097"/>
      <c r="D57" s="187">
        <v>0</v>
      </c>
      <c r="E57" s="23" t="s">
        <v>2203</v>
      </c>
      <c r="F57" s="155"/>
      <c r="G57" s="2490"/>
      <c r="H57" s="2494"/>
      <c r="I57" s="2494"/>
      <c r="J57" s="3065">
        <f>IF(AND(J55="",J56=""),4,IF(项目基本情况!K6="上海银行",结果表!J56+1,结果表!J55+1))</f>
        <v>4</v>
      </c>
      <c r="K57" s="3065" t="s">
        <v>2230</v>
      </c>
      <c r="L57" s="2495" t="s">
        <v>2231</v>
      </c>
      <c r="M57" s="1759"/>
      <c r="N57" s="1760">
        <f ca="1">SUMIF(M52:M56,"&lt;9e307")</f>
        <v>0</v>
      </c>
      <c r="O57" s="2496"/>
      <c r="P57" s="1753" t="e">
        <f ca="1">N57/M49</f>
        <v>#VALUE!</v>
      </c>
    </row>
    <row r="58" spans="1:35" ht="25.2">
      <c r="A58" s="183" t="s">
        <v>2212</v>
      </c>
      <c r="B58" s="3096" t="s">
        <v>2232</v>
      </c>
      <c r="C58" s="3109"/>
      <c r="D58" s="185" t="e">
        <f ca="1">IF(H58="转让取得",C81,C97)</f>
        <v>#REF!</v>
      </c>
      <c r="E58" s="11" t="s">
        <v>2227</v>
      </c>
      <c r="F58" s="24" t="s">
        <v>34</v>
      </c>
      <c r="G58" s="2490"/>
      <c r="H58" s="2493" t="s">
        <v>2233</v>
      </c>
      <c r="I58" s="2494"/>
      <c r="J58" s="3065"/>
      <c r="K58" s="3065"/>
      <c r="L58" s="2495" t="s">
        <v>2234</v>
      </c>
      <c r="M58" s="1761"/>
      <c r="N58" s="2497" t="str">
        <f ca="1">NUMBERSTRING(INT(N57*10000),2)&amp;"元整"</f>
        <v>零元整</v>
      </c>
      <c r="O58" s="2498"/>
    </row>
    <row r="59" spans="1:35" ht="24.6" thickBot="1">
      <c r="A59" s="3069" t="s">
        <v>2235</v>
      </c>
      <c r="B59" s="3070"/>
      <c r="C59" s="3070"/>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067">
        <f>J57+1</f>
        <v>5</v>
      </c>
      <c r="K59" s="3065" t="s">
        <v>2237</v>
      </c>
      <c r="L59" s="1812" t="s">
        <v>2231</v>
      </c>
      <c r="M59" s="1762"/>
      <c r="N59" s="1763" t="e">
        <f ca="1">M49-N57</f>
        <v>#VALUE!</v>
      </c>
      <c r="O59" s="2500"/>
    </row>
    <row r="60" spans="1:35" ht="12" customHeight="1">
      <c r="A60" s="2501"/>
      <c r="B60" s="2423"/>
      <c r="C60" s="2423"/>
      <c r="D60" s="2423"/>
      <c r="E60" s="2170"/>
      <c r="F60" s="2494"/>
      <c r="G60" s="2494"/>
      <c r="H60" s="2502"/>
      <c r="I60" s="138"/>
      <c r="J60" s="3068"/>
      <c r="K60" s="3065"/>
      <c r="L60" s="2495" t="s">
        <v>2234</v>
      </c>
      <c r="M60" s="1761"/>
      <c r="N60" s="2497" t="e">
        <f ca="1">NUMBERSTRING(INT(N59*10000),2)&amp;"元整"</f>
        <v>#VALUE!</v>
      </c>
      <c r="O60" s="2498"/>
    </row>
    <row r="61" spans="1:35" ht="13.8" thickBot="1">
      <c r="A61" s="3128" t="s">
        <v>2238</v>
      </c>
      <c r="B61" s="3128"/>
      <c r="C61" s="3128"/>
      <c r="D61" s="3128"/>
      <c r="E61" s="3128"/>
      <c r="F61" s="2494"/>
      <c r="G61" s="2494"/>
      <c r="H61" s="2502"/>
      <c r="I61" s="138"/>
      <c r="J61" s="1812">
        <f>J59+1</f>
        <v>6</v>
      </c>
      <c r="K61" s="3065" t="s">
        <v>2239</v>
      </c>
      <c r="L61" s="3065"/>
      <c r="M61" s="1764"/>
      <c r="N61" s="1765" t="e">
        <f ca="1">ROUND(N59*10000/'数据-汇总表'!E3,0)</f>
        <v>#VALUE!</v>
      </c>
      <c r="O61" s="2503"/>
    </row>
    <row r="62" spans="1:35" ht="13.2">
      <c r="A62" s="3085" t="s">
        <v>2240</v>
      </c>
      <c r="B62" s="3086"/>
      <c r="C62" s="1804"/>
      <c r="D62" s="1804" t="s">
        <v>2241</v>
      </c>
      <c r="E62" s="192" t="s">
        <v>2242</v>
      </c>
      <c r="F62" s="2494"/>
      <c r="G62" s="2494"/>
      <c r="H62" s="2502"/>
      <c r="I62" s="138"/>
    </row>
    <row r="63" spans="1:35" ht="13.2">
      <c r="A63" s="203" t="s">
        <v>775</v>
      </c>
      <c r="B63" s="193" t="s">
        <v>2243</v>
      </c>
      <c r="C63" s="194" t="e">
        <f ca="1">ROUND((C64+C65)/(1+'数据-取费表'!C42),0)</f>
        <v>#REF!</v>
      </c>
      <c r="D63" s="195"/>
      <c r="E63" s="196"/>
      <c r="F63" s="2494"/>
      <c r="G63" s="2494"/>
      <c r="H63" s="2502"/>
      <c r="I63" s="138"/>
      <c r="J63" s="3050" t="s">
        <v>2244</v>
      </c>
      <c r="K63" s="2504" t="s">
        <v>2245</v>
      </c>
      <c r="L63" s="1752" t="e">
        <f>IF(M49&gt;10000,M49*0.5%,IF(AND(M49&gt;1000,M49&lt;=10000),M49*1%,IF(AND(M49&gt;100,M49&lt;=1000),M49*3%,IF(AND(M49&gt;10,M49&lt;=100),M49*5%,M49*8%))))</f>
        <v>#VALUE!</v>
      </c>
      <c r="M63" s="24" t="e">
        <f>ROUND(L63,1)</f>
        <v>#VALUE!</v>
      </c>
      <c r="Z63" s="2428"/>
      <c r="AI63" s="2429"/>
    </row>
    <row r="64" spans="1:35" ht="14.25" customHeight="1">
      <c r="A64" s="197" t="s">
        <v>770</v>
      </c>
      <c r="B64" s="198" t="s">
        <v>2246</v>
      </c>
      <c r="C64" s="199" t="e">
        <f ca="1">D45</f>
        <v>#REF!</v>
      </c>
      <c r="D64" s="200" t="s">
        <v>32</v>
      </c>
      <c r="E64" s="201"/>
      <c r="F64" s="2494"/>
      <c r="G64" s="2494"/>
      <c r="H64" s="2502"/>
      <c r="I64" s="138"/>
      <c r="J64" s="3050"/>
      <c r="K64" s="2504" t="s">
        <v>2247</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8"/>
      <c r="AI64" s="2429"/>
    </row>
    <row r="65" spans="1:35" ht="14.25" customHeight="1">
      <c r="A65" s="197" t="s">
        <v>771</v>
      </c>
      <c r="B65" s="198" t="s">
        <v>2249</v>
      </c>
      <c r="C65" s="202"/>
      <c r="D65" s="200"/>
      <c r="E65" s="201"/>
      <c r="F65" s="2494"/>
      <c r="G65" s="2494"/>
      <c r="H65" s="2502"/>
      <c r="I65" s="138"/>
      <c r="J65" s="3050"/>
      <c r="K65" s="2504" t="s">
        <v>2250</v>
      </c>
      <c r="L65" s="1752" t="e">
        <f>IF(M49&gt;1000,M49*0.1%,IF(AND(M49&gt;500,M49&lt;=1000),M49*0.5%,IF(AND(M49&gt;50,M49&lt;=500),M49*1%,IF(AND(M49&gt;1,M49&lt;=50),M49*1.5%))))</f>
        <v>#VALUE!</v>
      </c>
      <c r="M65" s="24" t="e">
        <f t="shared" si="1"/>
        <v>#VALUE!</v>
      </c>
      <c r="N65" s="138" t="s">
        <v>2248</v>
      </c>
      <c r="Z65" s="2428"/>
      <c r="AI65" s="2429"/>
    </row>
    <row r="66" spans="1:35" ht="14.25" customHeight="1">
      <c r="A66" s="203" t="s">
        <v>772</v>
      </c>
      <c r="B66" s="204" t="s">
        <v>2251</v>
      </c>
      <c r="C66" s="205"/>
      <c r="D66" s="206" t="s">
        <v>32</v>
      </c>
      <c r="E66" s="1776" t="s">
        <v>1367</v>
      </c>
      <c r="F66" s="2494"/>
      <c r="G66" s="2494"/>
      <c r="H66" s="2502"/>
      <c r="I66" s="138"/>
      <c r="J66" s="3050"/>
      <c r="K66" s="2504" t="s">
        <v>2252</v>
      </c>
      <c r="L66" s="1752" t="e">
        <f>M49*0.5%</f>
        <v>#VALUE!</v>
      </c>
      <c r="M66" s="24" t="e">
        <f>IF(L66&gt;0.5,0.5,ROUND(L66,0))</f>
        <v>#VALUE!</v>
      </c>
      <c r="N66" s="138" t="s">
        <v>2253</v>
      </c>
      <c r="Z66" s="2428"/>
      <c r="AI66" s="2429"/>
    </row>
    <row r="67" spans="1:35" ht="14.25" customHeight="1">
      <c r="A67" s="203" t="s">
        <v>773</v>
      </c>
      <c r="B67" s="204" t="s">
        <v>2254</v>
      </c>
      <c r="C67" s="207" t="e">
        <f ca="1">C63-C66</f>
        <v>#REF!</v>
      </c>
      <c r="D67" s="200" t="s">
        <v>32</v>
      </c>
      <c r="E67" s="201"/>
      <c r="F67" s="2494"/>
      <c r="G67" s="2494"/>
      <c r="H67" s="2502"/>
      <c r="I67" s="138"/>
      <c r="J67" s="3050"/>
      <c r="K67" s="2504" t="s">
        <v>2255</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2256</v>
      </c>
      <c r="C68" s="210" t="e">
        <f ca="1">IF(C67&lt;=0,0,ROUND(C67*D68,0))</f>
        <v>#REF!</v>
      </c>
      <c r="D68" s="211">
        <f>'数据-取费表'!B41</f>
        <v>0</v>
      </c>
      <c r="E68" s="212"/>
      <c r="F68" s="2494"/>
      <c r="G68" s="2494"/>
      <c r="H68" s="2502"/>
      <c r="I68" s="138"/>
      <c r="J68" s="3050"/>
      <c r="K68" s="2504" t="s">
        <v>2257</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0"/>
      <c r="K69" s="2504" t="s">
        <v>2258</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4.4" thickBot="1">
      <c r="A70" s="3094" t="s">
        <v>2259</v>
      </c>
      <c r="B70" s="3095"/>
      <c r="C70" s="3095"/>
      <c r="D70" s="3095"/>
      <c r="E70" s="3095"/>
      <c r="F70" s="3095"/>
      <c r="G70" s="3095"/>
      <c r="H70" s="309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3.8">
      <c r="A71" s="3085" t="s">
        <v>2240</v>
      </c>
      <c r="B71" s="3086"/>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3.8">
      <c r="A72" s="203" t="s">
        <v>775</v>
      </c>
      <c r="B72" s="204" t="s">
        <v>2260</v>
      </c>
      <c r="C72" s="207" t="e">
        <f ca="1">ROUND(D45/(1+'数据-取费表'!C42),0)</f>
        <v>#REF!</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3.8">
      <c r="A73" s="203" t="s">
        <v>772</v>
      </c>
      <c r="B73" s="173" t="s">
        <v>2261</v>
      </c>
      <c r="C73" s="207" t="e">
        <f ca="1">C74+C78</f>
        <v>#REF!</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28.8">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091" t="s">
        <v>2268</v>
      </c>
      <c r="F76" s="3090"/>
      <c r="G76" s="3090"/>
      <c r="H76" s="309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0</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t="e">
        <f ca="1">ROUND(D45*D78/(1+'数据-取费表'!C42),0)</f>
        <v>#REF!</v>
      </c>
      <c r="D78" s="226">
        <f>'数据-取费表'!B43</f>
        <v>0</v>
      </c>
      <c r="E78" s="3082" t="s">
        <v>2273</v>
      </c>
      <c r="F78" s="3083"/>
      <c r="G78" s="3083"/>
      <c r="H78" s="308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3.8">
      <c r="A79" s="2520" t="s">
        <v>779</v>
      </c>
      <c r="B79" s="204" t="s">
        <v>2274</v>
      </c>
      <c r="C79" s="207" t="e">
        <f ca="1">C72-C73</f>
        <v>#REF!</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6" thickBot="1">
      <c r="A81" s="2521"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4.4" thickBot="1">
      <c r="A83" s="3094" t="s">
        <v>2277</v>
      </c>
      <c r="B83" s="3095"/>
      <c r="C83" s="3095"/>
      <c r="D83" s="3095"/>
      <c r="E83" s="3095"/>
      <c r="F83" s="3095"/>
      <c r="G83" s="3095"/>
      <c r="H83" s="309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3.8">
      <c r="A84" s="3085" t="s">
        <v>2240</v>
      </c>
      <c r="B84" s="3086"/>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3.8">
      <c r="A85" s="203" t="s">
        <v>775</v>
      </c>
      <c r="B85" s="204" t="s">
        <v>2260</v>
      </c>
      <c r="C85" s="207" t="e">
        <f ca="1">ROUND(D45/(1+'数据-取费表'!C42),0)</f>
        <v>#REF!</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3.8">
      <c r="A86" s="203" t="s">
        <v>772</v>
      </c>
      <c r="B86" s="173" t="s">
        <v>2261</v>
      </c>
      <c r="C86" s="207" t="e">
        <f ca="1">IF(H88="仅含出让金",C87+C90+C91+C92+C93+C94,C87+C91+C92+C93+C94)</f>
        <v>#REF!</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3.8">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3.8">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3.8">
      <c r="A89" s="217" t="s">
        <v>777</v>
      </c>
      <c r="B89" s="198" t="s">
        <v>2269</v>
      </c>
      <c r="C89" s="225">
        <f>ROUND(C88*D89,0)</f>
        <v>0</v>
      </c>
      <c r="D89" s="226">
        <f>'数据-取费表'!B48+'数据-取费表'!B49</f>
        <v>0</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3.8">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082" t="s">
        <v>2286</v>
      </c>
      <c r="F91" s="3083"/>
      <c r="G91" s="3083"/>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082" t="s">
        <v>2290</v>
      </c>
      <c r="F92" s="3083"/>
      <c r="G92" s="3083"/>
      <c r="H92" s="308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t="e">
        <f ca="1">ROUND(D45*D93/(1+'数据-取费表'!C42),0)</f>
        <v>#REF!</v>
      </c>
      <c r="D93" s="226">
        <f>'数据-取费表'!B43</f>
        <v>0</v>
      </c>
      <c r="E93" s="3082" t="s">
        <v>2273</v>
      </c>
      <c r="F93" s="3083"/>
      <c r="G93" s="3083"/>
      <c r="H93" s="308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30" t="s">
        <v>2294</v>
      </c>
      <c r="F94" s="3131"/>
      <c r="G94" s="3131"/>
      <c r="H94" s="313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3.8">
      <c r="A95" s="2520" t="s">
        <v>779</v>
      </c>
      <c r="B95" s="204" t="s">
        <v>2274</v>
      </c>
      <c r="C95" s="207" t="e">
        <f ca="1">ROUND(C85-C86,0)</f>
        <v>#REF!</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6" thickBot="1">
      <c r="A97" s="2521"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34" t="s">
        <v>2296</v>
      </c>
      <c r="B100" s="3035"/>
      <c r="C100" s="3035"/>
      <c r="D100" s="3066"/>
      <c r="E100" s="3035" t="s">
        <v>2297</v>
      </c>
      <c r="F100" s="3035"/>
      <c r="G100" s="3035"/>
      <c r="H100" s="3066"/>
      <c r="I100" s="138"/>
    </row>
    <row r="101" spans="1:35" ht="18.75" customHeight="1">
      <c r="A101" s="3074" t="s">
        <v>2298</v>
      </c>
      <c r="B101" s="3075"/>
      <c r="C101" s="736">
        <f>C4</f>
        <v>0</v>
      </c>
      <c r="D101" s="737">
        <f>D4</f>
        <v>0</v>
      </c>
      <c r="E101" s="3046" t="s">
        <v>2299</v>
      </c>
      <c r="F101" s="3047"/>
      <c r="G101" s="2525" t="s">
        <v>2300</v>
      </c>
      <c r="H101" s="1048" t="e">
        <f ca="1">H118</f>
        <v>#REF!</v>
      </c>
      <c r="I101" s="138"/>
    </row>
    <row r="102" spans="1:35" ht="18.75" customHeight="1">
      <c r="A102" s="3076" t="s">
        <v>2301</v>
      </c>
      <c r="B102" s="2525" t="s">
        <v>2300</v>
      </c>
      <c r="C102" s="736" t="e">
        <f ca="1">C19</f>
        <v>#REF!</v>
      </c>
      <c r="D102" s="737" t="e">
        <f ca="1">D19</f>
        <v>#REF!</v>
      </c>
      <c r="E102" s="3046"/>
      <c r="F102" s="3047"/>
      <c r="G102" s="2525" t="s">
        <v>2302</v>
      </c>
      <c r="H102" s="371" t="e">
        <f ca="1">I118</f>
        <v>#REF!</v>
      </c>
      <c r="I102" s="138"/>
    </row>
    <row r="103" spans="1:35" ht="42.75" customHeight="1">
      <c r="A103" s="3076"/>
      <c r="B103" s="2525" t="s">
        <v>2302</v>
      </c>
      <c r="C103" s="738" t="e">
        <f ca="1">C20</f>
        <v>#REF!</v>
      </c>
      <c r="D103" s="739" t="e">
        <f ca="1">D20</f>
        <v>#REF!</v>
      </c>
      <c r="E103" s="3040" t="s">
        <v>2303</v>
      </c>
      <c r="F103" s="3041"/>
      <c r="G103" s="2526" t="s">
        <v>2304</v>
      </c>
      <c r="H103" s="1048">
        <f>IF(D36="正常操作",H104+H105+H106,H105+H106)</f>
        <v>0</v>
      </c>
      <c r="I103" s="138"/>
    </row>
    <row r="104" spans="1:35" ht="18.75" customHeight="1">
      <c r="A104" s="3076" t="s">
        <v>2305</v>
      </c>
      <c r="B104" s="2527" t="s">
        <v>2300</v>
      </c>
      <c r="C104" s="740" t="e">
        <f ca="1">H118</f>
        <v>#REF!</v>
      </c>
      <c r="D104" s="741"/>
      <c r="E104" s="2271" t="s">
        <v>2306</v>
      </c>
      <c r="F104" s="2262"/>
      <c r="G104" s="2526" t="s">
        <v>2304</v>
      </c>
      <c r="H104" s="1049">
        <f>IF(D36="同一抵押权人同一抵押物续贷",C36&amp;"（未扣减，详见特别提示）",C36)</f>
        <v>0</v>
      </c>
      <c r="I104" s="138"/>
    </row>
    <row r="105" spans="1:35" ht="18.75" customHeight="1" thickBot="1">
      <c r="A105" s="3088"/>
      <c r="B105" s="2528" t="s">
        <v>2302</v>
      </c>
      <c r="C105" s="742" t="e">
        <f ca="1">I118</f>
        <v>#REF!</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077" t="str">
        <f>IF(项目基本情况!E8="已注销","——","3.房地产抵押价值")</f>
        <v>3.房地产抵押价值</v>
      </c>
      <c r="F107" s="3047"/>
      <c r="G107" s="2525" t="s">
        <v>2300</v>
      </c>
      <c r="H107" s="1048" t="e">
        <f ca="1">IF(E107="——","——",H101-H103)</f>
        <v>#REF!</v>
      </c>
      <c r="I107" s="138"/>
    </row>
    <row r="108" spans="1:35" ht="18.75" customHeight="1">
      <c r="A108" s="138"/>
      <c r="B108" s="138"/>
      <c r="C108" s="138"/>
      <c r="D108" s="138"/>
      <c r="E108" s="3077"/>
      <c r="F108" s="3047"/>
      <c r="G108" s="2525" t="s">
        <v>2302</v>
      </c>
      <c r="H108" s="371" t="e">
        <f ca="1">ROUND(H107*10000/'数据-汇总表'!E3,0)</f>
        <v>#REF!</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47"/>
      <c r="G109" s="2525" t="s">
        <v>2300</v>
      </c>
      <c r="H109" s="348" t="str">
        <f>IF(E109="——","——",H101-H105-H106)</f>
        <v>——</v>
      </c>
      <c r="I109" s="138"/>
    </row>
    <row r="110" spans="1:35" ht="18.75" customHeight="1">
      <c r="A110" s="138"/>
      <c r="B110" s="138"/>
      <c r="C110" s="138"/>
      <c r="D110" s="138"/>
      <c r="E110" s="3077"/>
      <c r="F110" s="3047"/>
      <c r="G110" s="2525" t="s">
        <v>2302</v>
      </c>
      <c r="H110" s="371" t="str">
        <f>IF(H109="——","——",ROUND(H109*10000/'数据-汇总表'!E3,0))</f>
        <v>——</v>
      </c>
      <c r="I110" s="138"/>
    </row>
    <row r="111" spans="1:35" ht="18.75" customHeight="1">
      <c r="A111" s="138"/>
      <c r="B111" s="138"/>
      <c r="C111" s="138"/>
      <c r="D111" s="138"/>
      <c r="E111" s="3078" t="str">
        <f>IF(项目基本情况!E9="抵押净值",IF(OR(项目基本情况!E8="已注销",项目基本情况!E8="房地产抵押价值"),"4.抵押净值","5.抵押净值"),"——")</f>
        <v>——</v>
      </c>
      <c r="F111" s="3079"/>
      <c r="G111" s="2525" t="s">
        <v>2300</v>
      </c>
      <c r="H111" s="1048" t="str">
        <f>IF(E111="——","——",N59)</f>
        <v>——</v>
      </c>
      <c r="I111" s="138"/>
    </row>
    <row r="112" spans="1:35" ht="18.75" customHeight="1" thickBot="1">
      <c r="A112" s="138"/>
      <c r="B112" s="138"/>
      <c r="C112" s="138"/>
      <c r="D112" s="138"/>
      <c r="E112" s="3080"/>
      <c r="F112" s="3081"/>
      <c r="G112" s="2530" t="s">
        <v>2302</v>
      </c>
      <c r="H112" s="790" t="str">
        <f>IF(E111="——","——",N61)</f>
        <v>——</v>
      </c>
      <c r="I112" s="138"/>
    </row>
    <row r="113" spans="1:11" ht="18.75" customHeight="1">
      <c r="A113" s="138"/>
      <c r="B113" s="138"/>
      <c r="C113" s="138"/>
      <c r="D113" s="138"/>
      <c r="E113" s="3089" t="s">
        <v>2308</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2310</v>
      </c>
      <c r="B115" s="3103"/>
      <c r="C115" s="3103"/>
      <c r="D115" s="3103"/>
      <c r="E115" s="3103"/>
      <c r="F115" s="3103"/>
      <c r="G115" s="3103"/>
      <c r="H115" s="3103"/>
      <c r="I115" s="3104"/>
    </row>
    <row r="116" spans="1:11" ht="27" customHeight="1">
      <c r="A116" s="3013" t="s">
        <v>2311</v>
      </c>
      <c r="B116" s="3056" t="s">
        <v>2312</v>
      </c>
      <c r="C116" s="3056" t="s">
        <v>2313</v>
      </c>
      <c r="D116" s="3062" t="s">
        <v>2314</v>
      </c>
      <c r="E116" s="3063"/>
      <c r="F116" s="3098" t="s">
        <v>2315</v>
      </c>
      <c r="G116" s="3098"/>
      <c r="H116" s="3013" t="s">
        <v>2316</v>
      </c>
      <c r="I116" s="3013"/>
    </row>
    <row r="117" spans="1:11" ht="18.75" customHeight="1">
      <c r="A117" s="3013"/>
      <c r="B117" s="3057"/>
      <c r="C117" s="3057"/>
      <c r="D117" s="1798" t="s">
        <v>2317</v>
      </c>
      <c r="E117" s="1798" t="s">
        <v>2318</v>
      </c>
      <c r="F117" s="1798" t="s">
        <v>2317</v>
      </c>
      <c r="G117" s="1798" t="s">
        <v>2319</v>
      </c>
      <c r="H117" s="1798" t="s">
        <v>2317</v>
      </c>
      <c r="I117" s="1798" t="s">
        <v>2319</v>
      </c>
    </row>
    <row r="118" spans="1:11" ht="24.75" customHeight="1">
      <c r="A118" s="2531" t="str">
        <f>项目基本情况!S2</f>
        <v>出让国有建设用地使用权及在建建筑物房地产</v>
      </c>
      <c r="B118" s="1798">
        <f>M18</f>
        <v>0</v>
      </c>
      <c r="C118" s="1798" t="e">
        <f>M19</f>
        <v>#DIV/0!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3013" t="s">
        <v>2320</v>
      </c>
      <c r="B119" s="3013"/>
      <c r="C119" s="3013"/>
      <c r="D119" s="3058" t="e">
        <f ca="1">NUMBERSTRING(INT(D118*10000),2)&amp;"元整"</f>
        <v>#REF!</v>
      </c>
      <c r="E119" s="3059"/>
      <c r="F119" s="3058" t="e">
        <f ca="1">NUMBERSTRING(INT(F118*10000),2)&amp;"元整"</f>
        <v>#REF!</v>
      </c>
      <c r="G119" s="3059"/>
      <c r="H119" s="3058" t="e">
        <f ca="1">NUMBERSTRING(INT(H118*10000),2)&amp;"元整"</f>
        <v>#REF!</v>
      </c>
      <c r="I119" s="3059"/>
    </row>
    <row r="120" spans="1:11" ht="18.75" customHeight="1">
      <c r="A120" s="3053" t="str">
        <f>IF(项目基本情况!B9="房地产市场价值","",MID(E103,3,LEN(E103)-2))</f>
        <v>估价师知悉的法定优先受偿款</v>
      </c>
      <c r="B120" s="3054"/>
      <c r="C120" s="3055"/>
      <c r="D120" s="3053">
        <f>H103</f>
        <v>0</v>
      </c>
      <c r="E120" s="3054"/>
      <c r="F120" s="3054"/>
      <c r="G120" s="3054"/>
      <c r="H120" s="3054"/>
      <c r="I120" s="3055"/>
      <c r="K120" s="2428" t="str">
        <f>IF(D120=0,"故，本次评估不存在"&amp;A120,"故，本次评估"&amp;A120&amp;"为人民币"&amp;D120&amp;"万元整。")</f>
        <v>故，本次评估不存在估价师知悉的法定优先受偿款</v>
      </c>
    </row>
    <row r="121" spans="1:11" ht="18.75" customHeight="1">
      <c r="A121" s="3099" t="s">
        <v>2320</v>
      </c>
      <c r="B121" s="3100"/>
      <c r="C121" s="3101"/>
      <c r="D121" s="3058" t="str">
        <f>IF(D120=0,"零元整",NUMBERSTRING(INT(D120*10000),2)&amp;"元整")</f>
        <v>零元整</v>
      </c>
      <c r="E121" s="3060"/>
      <c r="F121" s="3060"/>
      <c r="G121" s="3060"/>
      <c r="H121" s="3060"/>
      <c r="I121" s="3059"/>
    </row>
    <row r="122" spans="1:11" ht="18.75" customHeight="1">
      <c r="A122" s="3064" t="str">
        <f>IF(项目基本情况!B9="房地产市场价值","",MID(E107,3,LEN(E107)-2))</f>
        <v>房地产抵押价值</v>
      </c>
      <c r="B122" s="3064"/>
      <c r="C122" s="3064"/>
      <c r="D122" s="3053" t="e">
        <f ca="1">H107</f>
        <v>#REF!</v>
      </c>
      <c r="E122" s="3054"/>
      <c r="F122" s="3054"/>
      <c r="G122" s="3054"/>
      <c r="H122" s="3054"/>
      <c r="I122" s="3055"/>
    </row>
    <row r="123" spans="1:11" ht="18.75" customHeight="1">
      <c r="A123" s="3013" t="s">
        <v>2320</v>
      </c>
      <c r="B123" s="3013"/>
      <c r="C123" s="3013"/>
      <c r="D123" s="3058" t="e">
        <f ca="1">NUMBERSTRING(INT(D122*10000),2)&amp;"元整"</f>
        <v>#REF!</v>
      </c>
      <c r="E123" s="3060"/>
      <c r="F123" s="3060"/>
      <c r="G123" s="3060"/>
      <c r="H123" s="3060"/>
      <c r="I123" s="3059"/>
    </row>
    <row r="124" spans="1:11" ht="18.75" customHeight="1">
      <c r="A124" s="3064" t="str">
        <f>IF(项目基本情况!B9="房地产市场价值","",MID(E109,3,LEN(E109)-2))</f>
        <v/>
      </c>
      <c r="B124" s="3064"/>
      <c r="C124" s="3064"/>
      <c r="D124" s="3053" t="str">
        <f>H109</f>
        <v>——</v>
      </c>
      <c r="E124" s="3054"/>
      <c r="F124" s="3054"/>
      <c r="G124" s="3054"/>
      <c r="H124" s="3054"/>
      <c r="I124" s="3055"/>
    </row>
    <row r="125" spans="1:11" ht="18.75" customHeight="1">
      <c r="A125" s="3013" t="s">
        <v>2320</v>
      </c>
      <c r="B125" s="3013"/>
      <c r="C125" s="3013"/>
      <c r="D125" s="3058" t="e">
        <f>NUMBERSTRING(INT(D124*10000),2)&amp;"元整"</f>
        <v>#VALUE!</v>
      </c>
      <c r="E125" s="3060"/>
      <c r="F125" s="3060"/>
      <c r="G125" s="3060"/>
      <c r="H125" s="3060"/>
      <c r="I125" s="3059"/>
    </row>
    <row r="126" spans="1:11" ht="18.75" customHeight="1">
      <c r="A126" s="3064" t="str">
        <f>IF(项目基本情况!B9="房地产市场价值","",MID(E111,3,LEN(E111)-2))</f>
        <v/>
      </c>
      <c r="B126" s="3064"/>
      <c r="C126" s="3064"/>
      <c r="D126" s="3053" t="str">
        <f>H111</f>
        <v>——</v>
      </c>
      <c r="E126" s="3054"/>
      <c r="F126" s="3054"/>
      <c r="G126" s="3054"/>
      <c r="H126" s="3054"/>
      <c r="I126" s="3055"/>
    </row>
    <row r="127" spans="1:11" ht="18.75" customHeight="1">
      <c r="A127" s="3013" t="s">
        <v>2320</v>
      </c>
      <c r="B127" s="3013"/>
      <c r="C127" s="3013"/>
      <c r="D127" s="3058" t="e">
        <f>NUMBERSTRING(INT(D126*10000),2)&amp;"元整"</f>
        <v>#VALUE!</v>
      </c>
      <c r="E127" s="3060"/>
      <c r="F127" s="3060"/>
      <c r="G127" s="3060"/>
      <c r="H127" s="3060"/>
      <c r="I127" s="3059"/>
    </row>
    <row r="128" spans="1:11" ht="21.75" customHeight="1">
      <c r="A128" s="3061" t="s">
        <v>2321</v>
      </c>
      <c r="B128" s="3061"/>
      <c r="C128" s="3061"/>
      <c r="D128" s="3061"/>
      <c r="E128" s="3061"/>
      <c r="F128" s="3061"/>
      <c r="G128" s="3061"/>
      <c r="H128" s="3061"/>
      <c r="I128" s="3061"/>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2329</v>
      </c>
      <c r="B1" s="1940"/>
      <c r="C1" s="242"/>
      <c r="D1" s="242"/>
      <c r="E1" s="242"/>
      <c r="F1" s="242"/>
      <c r="G1" s="1382">
        <f>MATCH(B1,'数据-取费表'!A6:A16,0)+5</f>
        <v>6</v>
      </c>
    </row>
    <row r="2" spans="1:9" s="244" customFormat="1" ht="18" customHeight="1">
      <c r="A2" s="245" t="s">
        <v>2330</v>
      </c>
      <c r="B2" s="246" t="e">
        <f ca="1">IF(D2="——",C52,C52-E2)</f>
        <v>#DIV/0!</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t="e">
        <f ca="1">ROUND(B2*10000/(IF(B1="",'数据-汇总表'!E3,INDIRECT("'数据-取费表'!k"&amp;$G$1))),0)</f>
        <v>#DIV/0!</v>
      </c>
      <c r="C3" s="243" t="s">
        <v>2333</v>
      </c>
      <c r="D3" s="243"/>
      <c r="E3" s="243"/>
      <c r="F3" s="243"/>
      <c r="G3" s="243"/>
    </row>
    <row r="4" spans="1:9" s="252" customFormat="1" ht="16.2">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0</v>
      </c>
      <c r="G7" s="263"/>
    </row>
    <row r="8" spans="1:9" s="267" customFormat="1">
      <c r="A8" s="952" t="s">
        <v>2344</v>
      </c>
      <c r="B8" s="259" t="s">
        <v>2345</v>
      </c>
      <c r="C8" s="264">
        <f>IF(G8="已包含在土地购买价格中","0",IF(B1="",'数据-取费表'!B29,IF(G9="全部缴纳",C9+C10,H9)))</f>
        <v>0</v>
      </c>
      <c r="D8" s="266"/>
      <c r="E8" s="264"/>
      <c r="F8" s="265"/>
      <c r="G8" s="2557"/>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c r="H9" s="1393"/>
      <c r="I9" s="2559"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0</v>
      </c>
      <c r="D19" s="1039">
        <f ca="1">D9+D10</f>
        <v>0</v>
      </c>
      <c r="E19" s="255">
        <f>'数据-取费表'!B31</f>
        <v>0</v>
      </c>
      <c r="F19" s="275"/>
      <c r="G19" s="2557"/>
    </row>
    <row r="20" spans="1:7" s="258" customFormat="1" ht="13.5" customHeight="1">
      <c r="A20" s="299" t="s">
        <v>2361</v>
      </c>
      <c r="B20" s="254" t="s">
        <v>2362</v>
      </c>
      <c r="C20" s="276">
        <f ca="1">ROUND((C5+C19)*F20,0)</f>
        <v>0</v>
      </c>
      <c r="D20" s="276"/>
      <c r="E20" s="276"/>
      <c r="F20" s="277">
        <f>'数据-取费表'!B37</f>
        <v>0</v>
      </c>
      <c r="G20" s="278" t="s">
        <v>2363</v>
      </c>
    </row>
    <row r="21" spans="1:7" s="258" customFormat="1" ht="13.5" customHeight="1">
      <c r="A21" s="299" t="s">
        <v>2364</v>
      </c>
      <c r="B21" s="254" t="s">
        <v>2365</v>
      </c>
      <c r="C21" s="279">
        <f>F21</f>
        <v>0</v>
      </c>
      <c r="D21" s="280" t="s">
        <v>2366</v>
      </c>
      <c r="E21" s="276"/>
      <c r="F21" s="277">
        <f>'数据-取费表'!B38</f>
        <v>0</v>
      </c>
      <c r="G21" s="278" t="s">
        <v>2367</v>
      </c>
    </row>
    <row r="22" spans="1:7" s="258" customFormat="1" ht="13.5" customHeight="1">
      <c r="A22" s="299" t="s">
        <v>2368</v>
      </c>
      <c r="B22" s="254" t="s">
        <v>2369</v>
      </c>
      <c r="C22" s="1357">
        <f ca="1">ROUND(SUM(C23:C25),0)</f>
        <v>0</v>
      </c>
      <c r="D22" s="279">
        <f ca="1">C26</f>
        <v>0</v>
      </c>
      <c r="E22" s="280" t="s">
        <v>2366</v>
      </c>
      <c r="F22" s="281">
        <f ca="1">'数据-取费表'!B40</f>
        <v>0</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0</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0</v>
      </c>
      <c r="D26" s="282"/>
      <c r="E26" s="285"/>
      <c r="F26" s="283"/>
      <c r="G26" s="287"/>
    </row>
    <row r="27" spans="1:7" s="258" customFormat="1" ht="26.4">
      <c r="A27" s="299" t="s">
        <v>2380</v>
      </c>
      <c r="B27" s="288" t="s">
        <v>2381</v>
      </c>
      <c r="C27" s="289" t="e">
        <f ca="1">C28</f>
        <v>#DIV/0!</v>
      </c>
      <c r="D27" s="279" t="e">
        <f ca="1">C29</f>
        <v>#DIV/0!</v>
      </c>
      <c r="E27" s="280" t="s">
        <v>2382</v>
      </c>
      <c r="F27" s="290" t="e">
        <f ca="1">IF(B1="",'数据-取费表'!Q16,INDIRECT("'数据-取费表'!q"&amp;$G$1))</f>
        <v>#DIV/0!</v>
      </c>
      <c r="G27" s="291" t="s">
        <v>2383</v>
      </c>
    </row>
    <row r="28" spans="1:7" s="258" customFormat="1" ht="13.5" customHeight="1">
      <c r="A28" s="954" t="s">
        <v>791</v>
      </c>
      <c r="B28" s="292" t="s">
        <v>2384</v>
      </c>
      <c r="C28" s="293" t="e">
        <f ca="1">ROUND((C5+C19+C20)*F27*'数据-取费表'!B21/'数据-取费表'!B20,0)</f>
        <v>#DIV/0!</v>
      </c>
      <c r="D28" s="279"/>
      <c r="E28" s="280"/>
      <c r="F28" s="290"/>
      <c r="G28" s="291"/>
    </row>
    <row r="29" spans="1:7" s="258" customFormat="1" ht="13.5" customHeight="1">
      <c r="A29" s="954" t="s">
        <v>792</v>
      </c>
      <c r="B29" s="292" t="s">
        <v>2385</v>
      </c>
      <c r="C29" s="282" t="e">
        <f ca="1">ROUND(C21*F27*'数据-取费表'!B21/'数据-取费表'!B20,4)</f>
        <v>#DIV/0!</v>
      </c>
      <c r="D29" s="279"/>
      <c r="E29" s="280"/>
      <c r="F29" s="290"/>
      <c r="G29" s="291"/>
    </row>
    <row r="30" spans="1:7" s="258" customFormat="1" ht="13.5" customHeight="1">
      <c r="A30" s="299" t="s">
        <v>2386</v>
      </c>
      <c r="B30" s="254" t="s">
        <v>2387</v>
      </c>
      <c r="C30" s="279">
        <f>ROUND(F30/(1+'数据-取费表'!C42),4)</f>
        <v>0</v>
      </c>
      <c r="D30" s="280" t="s">
        <v>2382</v>
      </c>
      <c r="E30" s="285"/>
      <c r="F30" s="281">
        <f>'数据-取费表'!B41</f>
        <v>0</v>
      </c>
      <c r="G30" s="278" t="s">
        <v>2388</v>
      </c>
    </row>
    <row r="31" spans="1:7" ht="16.5" customHeight="1">
      <c r="A31" s="253">
        <v>1</v>
      </c>
      <c r="B31" s="254" t="s">
        <v>2389</v>
      </c>
      <c r="C31" s="255" t="e">
        <f ca="1">ROUND((C5+C19+C20+C22+C27)/(1-C21-D22-D27-C30),0)</f>
        <v>#DIV/0!</v>
      </c>
      <c r="D31" s="274"/>
      <c r="E31" s="255"/>
      <c r="F31" s="294"/>
      <c r="G31" s="278" t="s">
        <v>2390</v>
      </c>
    </row>
    <row r="32" spans="1:7" s="252" customFormat="1" ht="16.2">
      <c r="A32" s="296" t="s">
        <v>2391</v>
      </c>
      <c r="B32" s="297"/>
      <c r="C32" s="297"/>
      <c r="D32" s="297"/>
      <c r="E32" s="297"/>
      <c r="F32" s="297"/>
      <c r="G32" s="298"/>
    </row>
    <row r="33" spans="1:7" s="258" customFormat="1" ht="13.5" customHeight="1">
      <c r="A33" s="299" t="s">
        <v>782</v>
      </c>
      <c r="B33" s="254" t="s">
        <v>2392</v>
      </c>
      <c r="C33" s="300">
        <f ca="1">SUM(C34:C38)</f>
        <v>0</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2394</v>
      </c>
    </row>
    <row r="35" spans="1:7" ht="13.5" customHeight="1">
      <c r="A35" s="954" t="s">
        <v>796</v>
      </c>
      <c r="B35" s="259" t="s">
        <v>2395</v>
      </c>
      <c r="C35" s="264">
        <f ca="1">ROUND(C34*F35,0)</f>
        <v>0</v>
      </c>
      <c r="D35" s="264"/>
      <c r="E35" s="264"/>
      <c r="F35" s="303">
        <f>'数据-取费表'!B33</f>
        <v>0</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0</v>
      </c>
      <c r="D37" s="261">
        <f ca="1">D19</f>
        <v>0</v>
      </c>
      <c r="E37" s="293">
        <f>'数据-取费表'!B35</f>
        <v>0</v>
      </c>
      <c r="F37" s="303"/>
      <c r="G37" s="305" t="s">
        <v>2400</v>
      </c>
    </row>
    <row r="38" spans="1:7" ht="13.5" customHeight="1">
      <c r="A38" s="954" t="s">
        <v>799</v>
      </c>
      <c r="B38" s="259" t="s">
        <v>2401</v>
      </c>
      <c r="C38" s="264">
        <f ca="1">ROUND(C34*F38,0)</f>
        <v>0</v>
      </c>
      <c r="D38" s="264"/>
      <c r="E38" s="264"/>
      <c r="F38" s="303">
        <f>'数据-取费表'!B36</f>
        <v>0</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31">
        <f>F21</f>
        <v>0</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0</v>
      </c>
      <c r="D42" s="282"/>
      <c r="E42" s="282"/>
      <c r="F42" s="283"/>
      <c r="G42" s="3133" t="s">
        <v>2412</v>
      </c>
    </row>
    <row r="43" spans="1:7" ht="13.5" customHeight="1">
      <c r="A43" s="954" t="s">
        <v>792</v>
      </c>
      <c r="B43" s="259" t="s">
        <v>2413</v>
      </c>
      <c r="C43" s="282">
        <f ca="1">ROUND(IF('数据-取费表'!B22&lt;=1,C39*F22*'数据-取费表'!B21/2,C39*(POWER((1+F22),'数据-取费表'!B21/2)-1)),0)</f>
        <v>0</v>
      </c>
      <c r="D43" s="282"/>
      <c r="E43" s="282"/>
      <c r="F43" s="283"/>
      <c r="G43" s="3134"/>
    </row>
    <row r="44" spans="1:7" ht="13.5" customHeight="1">
      <c r="A44" s="954" t="s">
        <v>793</v>
      </c>
      <c r="B44" s="259" t="s">
        <v>2414</v>
      </c>
      <c r="C44" s="282">
        <f ca="1">ROUND(IF('数据-取费表'!B22&lt;=1,C40*F22*'数据-取费表'!B21/2,C40*(POWER((1+F22),'数据-取费表'!B21/2)-1)),4)</f>
        <v>0</v>
      </c>
      <c r="D44" s="282"/>
      <c r="E44" s="282"/>
      <c r="F44" s="283"/>
      <c r="G44" s="3135"/>
    </row>
    <row r="45" spans="1:7" s="258" customFormat="1" ht="13.5" customHeight="1">
      <c r="A45" s="299" t="s">
        <v>2415</v>
      </c>
      <c r="B45" s="288" t="s">
        <v>2381</v>
      </c>
      <c r="C45" s="289" t="e">
        <f ca="1">C46</f>
        <v>#DIV/0!</v>
      </c>
      <c r="D45" s="279" t="e">
        <f ca="1">C47</f>
        <v>#DIV/0!</v>
      </c>
      <c r="E45" s="280" t="s">
        <v>2407</v>
      </c>
      <c r="F45" s="290"/>
      <c r="G45" s="291" t="s">
        <v>2416</v>
      </c>
    </row>
    <row r="46" spans="1:7" s="258" customFormat="1" ht="13.5" customHeight="1">
      <c r="A46" s="954" t="s">
        <v>791</v>
      </c>
      <c r="B46" s="292" t="s">
        <v>2417</v>
      </c>
      <c r="C46" s="293" t="e">
        <f ca="1">ROUND((C33+C39)*F27,0)</f>
        <v>#DIV/0!</v>
      </c>
      <c r="D46" s="307"/>
      <c r="E46" s="280"/>
      <c r="F46" s="290"/>
      <c r="G46" s="291"/>
    </row>
    <row r="47" spans="1:7" s="258" customFormat="1" ht="13.5" customHeight="1">
      <c r="A47" s="954" t="s">
        <v>792</v>
      </c>
      <c r="B47" s="292" t="s">
        <v>2418</v>
      </c>
      <c r="C47" s="282" t="e">
        <f ca="1">ROUND(C40*F27,4)</f>
        <v>#DIV/0!</v>
      </c>
      <c r="D47" s="307"/>
      <c r="E47" s="280"/>
      <c r="F47" s="290"/>
      <c r="G47" s="291"/>
    </row>
    <row r="48" spans="1:7" s="258" customFormat="1" ht="13.5" customHeight="1">
      <c r="A48" s="299" t="s">
        <v>2380</v>
      </c>
      <c r="B48" s="254" t="s">
        <v>2419</v>
      </c>
      <c r="C48" s="1731">
        <f>ROUND(F30/(1+'数据-取费表'!C42),4)</f>
        <v>0</v>
      </c>
      <c r="D48" s="280" t="s">
        <v>2407</v>
      </c>
      <c r="E48" s="276"/>
      <c r="F48" s="281"/>
      <c r="G48" s="278" t="s">
        <v>2420</v>
      </c>
    </row>
    <row r="49" spans="1:7" ht="16.5" customHeight="1">
      <c r="A49" s="299" t="s">
        <v>2386</v>
      </c>
      <c r="B49" s="254" t="s">
        <v>2421</v>
      </c>
      <c r="C49" s="276" t="e">
        <f ca="1">ROUND((C33+C39+C41+C45)/(1-C40-D41-D45-C48),0)</f>
        <v>#DIV/0!</v>
      </c>
      <c r="D49" s="276"/>
      <c r="E49" s="276"/>
      <c r="F49" s="308"/>
      <c r="G49" s="278" t="s">
        <v>2422</v>
      </c>
    </row>
    <row r="50" spans="1:7" s="302" customFormat="1" ht="24">
      <c r="A50" s="299" t="s">
        <v>2423</v>
      </c>
      <c r="B50" s="254" t="s">
        <v>2424</v>
      </c>
      <c r="C50" s="276"/>
      <c r="D50" s="276"/>
      <c r="E50" s="276"/>
      <c r="F50" s="308" t="e">
        <f>IF('数据-取费表'!B24=0,'数据-取费表'!N16,1)</f>
        <v>#DIV/0!</v>
      </c>
      <c r="G50" s="291" t="s">
        <v>2425</v>
      </c>
    </row>
    <row r="51" spans="1:7" ht="16.5" customHeight="1">
      <c r="A51" s="299" t="s">
        <v>2426</v>
      </c>
      <c r="B51" s="254" t="s">
        <v>2427</v>
      </c>
      <c r="C51" s="276" t="e">
        <f ca="1">ROUND(C49*F50,0)</f>
        <v>#DIV/0!</v>
      </c>
      <c r="D51" s="276"/>
      <c r="E51" s="276"/>
      <c r="F51" s="308"/>
      <c r="G51" s="278" t="s">
        <v>2428</v>
      </c>
    </row>
    <row r="52" spans="1:7" s="252" customFormat="1" ht="16.8" thickBot="1">
      <c r="A52" s="309" t="s">
        <v>2429</v>
      </c>
      <c r="B52" s="310"/>
      <c r="C52" s="311" t="e">
        <f ca="1">C31+C51</f>
        <v>#DIV/0!</v>
      </c>
      <c r="D52" s="310"/>
      <c r="E52" s="310"/>
      <c r="F52" s="310"/>
      <c r="G52" s="312"/>
    </row>
    <row r="55" spans="1:7" ht="15">
      <c r="B55" s="314" t="s">
        <v>2430</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47" t="str">
        <f>项目基本情况!B1</f>
        <v>出让国有建设用地使用权及在建建筑物预评估</v>
      </c>
      <c r="C37" s="2947"/>
      <c r="D37" s="2947"/>
      <c r="E37" s="2947"/>
      <c r="F37" s="2947"/>
      <c r="G37" s="2947"/>
      <c r="H37" s="2947"/>
      <c r="I37" s="294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2329</v>
      </c>
      <c r="B1" s="1940"/>
      <c r="C1" s="2560" t="s">
        <v>2431</v>
      </c>
      <c r="D1" s="242"/>
      <c r="E1" s="242"/>
      <c r="F1" s="242"/>
      <c r="G1" s="1382">
        <f>MATCH(B1,'数据-取费表'!A6:A16,0)+5</f>
        <v>6</v>
      </c>
      <c r="H1" s="1285" t="str">
        <f>IF(ISERROR(FIND("住宅",B1)),"非住宅","住宅")</f>
        <v>非住宅</v>
      </c>
    </row>
    <row r="2" spans="1:8" s="244" customFormat="1" ht="18" customHeight="1">
      <c r="A2" s="245" t="s">
        <v>2330</v>
      </c>
      <c r="B2" s="246" t="e">
        <f ca="1">ROUND(IF(D2="——",C52/10000,C52/10000-E2),0)</f>
        <v>#DIV/0!</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t="e">
        <f ca="1">ROUND(B2*10000/(IF(B1="",'数据-汇总表'!E3,INDIRECT("'数据-取费表'!k"&amp;$G$1))),0)</f>
        <v>#DIV/0!</v>
      </c>
      <c r="C3" s="243" t="s">
        <v>2333</v>
      </c>
      <c r="D3" s="243"/>
      <c r="E3" s="243"/>
      <c r="F3" s="243"/>
      <c r="G3" s="243"/>
    </row>
    <row r="4" spans="1:8" s="252" customFormat="1" ht="16.2">
      <c r="A4" s="249" t="s">
        <v>2334</v>
      </c>
      <c r="B4" s="250"/>
      <c r="C4" s="250"/>
      <c r="D4" s="250"/>
      <c r="E4" s="250"/>
      <c r="F4" s="250"/>
      <c r="G4" s="251"/>
    </row>
    <row r="5" spans="1:8" s="258" customFormat="1" ht="13.5" customHeight="1">
      <c r="A5" s="299" t="s">
        <v>2335</v>
      </c>
      <c r="B5" s="254" t="s">
        <v>2336</v>
      </c>
      <c r="C5" s="255">
        <f ca="1">C6+C7+C8</f>
        <v>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0</v>
      </c>
      <c r="G7" s="263"/>
    </row>
    <row r="8" spans="1:8" s="267" customFormat="1">
      <c r="A8" s="952" t="s">
        <v>2344</v>
      </c>
      <c r="B8" s="259" t="s">
        <v>2345</v>
      </c>
      <c r="C8" s="264">
        <f ca="1">IF(G8="已包含在土地购买价格中",0,C9+C10)</f>
        <v>0</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0</v>
      </c>
      <c r="D19" s="1039">
        <f ca="1">D9+D10</f>
        <v>0</v>
      </c>
      <c r="E19" s="255">
        <f>'数据-取费表'!B31</f>
        <v>0</v>
      </c>
      <c r="F19" s="275"/>
      <c r="G19" s="2557"/>
    </row>
    <row r="20" spans="1:7" s="258" customFormat="1" ht="13.5" customHeight="1">
      <c r="A20" s="299" t="s">
        <v>2442</v>
      </c>
      <c r="B20" s="254" t="s">
        <v>2443</v>
      </c>
      <c r="C20" s="276">
        <f ca="1">ROUND((C5+C19)*F20,0)</f>
        <v>0</v>
      </c>
      <c r="D20" s="276"/>
      <c r="E20" s="276"/>
      <c r="F20" s="277">
        <f>'数据-取费表'!B37</f>
        <v>0</v>
      </c>
      <c r="G20" s="278" t="s">
        <v>2444</v>
      </c>
    </row>
    <row r="21" spans="1:7" s="258" customFormat="1" ht="13.5" customHeight="1">
      <c r="A21" s="299" t="s">
        <v>2445</v>
      </c>
      <c r="B21" s="254" t="s">
        <v>2446</v>
      </c>
      <c r="C21" s="279">
        <f>F21</f>
        <v>0</v>
      </c>
      <c r="D21" s="280" t="s">
        <v>2447</v>
      </c>
      <c r="E21" s="276"/>
      <c r="F21" s="277">
        <f>'数据-取费表'!B38</f>
        <v>0</v>
      </c>
      <c r="G21" s="278" t="s">
        <v>2448</v>
      </c>
    </row>
    <row r="22" spans="1:7" s="258" customFormat="1" ht="13.5" customHeight="1">
      <c r="A22" s="299" t="s">
        <v>2449</v>
      </c>
      <c r="B22" s="254" t="s">
        <v>2450</v>
      </c>
      <c r="C22" s="1383">
        <f ca="1">ROUND(SUM(C23:C25),0)</f>
        <v>0</v>
      </c>
      <c r="D22" s="279">
        <f ca="1">C26</f>
        <v>0</v>
      </c>
      <c r="E22" s="280" t="s">
        <v>2447</v>
      </c>
      <c r="F22" s="281">
        <f ca="1">'数据-取费表'!B40</f>
        <v>0</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0</v>
      </c>
      <c r="D24" s="282"/>
      <c r="E24" s="282"/>
      <c r="F24" s="283"/>
      <c r="G24" s="284" t="s">
        <v>2454</v>
      </c>
    </row>
    <row r="25" spans="1:7" s="258" customFormat="1" ht="24">
      <c r="A25" s="954" t="s">
        <v>2344</v>
      </c>
      <c r="B25" s="259" t="s">
        <v>2455</v>
      </c>
      <c r="C25" s="1384">
        <f ca="1">ROUND(IF('数据-取费表'!B22&lt;=1,C20*F22*'数据-取费表'!B22/2,C20*(POWER((1+F22),'数据-取费表'!B22/2)-1)),0)</f>
        <v>0</v>
      </c>
      <c r="D25" s="282"/>
      <c r="E25" s="285"/>
      <c r="F25" s="283"/>
      <c r="G25" s="286" t="s">
        <v>2456</v>
      </c>
    </row>
    <row r="26" spans="1:7" s="258" customFormat="1">
      <c r="A26" s="954" t="s">
        <v>795</v>
      </c>
      <c r="B26" s="259" t="s">
        <v>2379</v>
      </c>
      <c r="C26" s="282">
        <f ca="1">ROUND(IF('数据-取费表'!B22&lt;=1,F21*F22*'数据-取费表'!B22/2,F21*(POWER((1+F22),'数据-取费表'!B22/2)-1)),4)</f>
        <v>0</v>
      </c>
      <c r="D26" s="282"/>
      <c r="E26" s="285"/>
      <c r="F26" s="283"/>
      <c r="G26" s="287"/>
    </row>
    <row r="27" spans="1:7" s="258" customFormat="1" ht="26.4">
      <c r="A27" s="299" t="s">
        <v>2380</v>
      </c>
      <c r="B27" s="288" t="s">
        <v>2381</v>
      </c>
      <c r="C27" s="289" t="e">
        <f ca="1">C28</f>
        <v>#DIV/0!</v>
      </c>
      <c r="D27" s="279" t="e">
        <f ca="1">C29</f>
        <v>#DIV/0!</v>
      </c>
      <c r="E27" s="280" t="s">
        <v>2382</v>
      </c>
      <c r="F27" s="290" t="e">
        <f ca="1">IF(B1="",'数据-取费表'!Q16,INDIRECT("'数据-取费表'!q"&amp;$G$1))</f>
        <v>#DIV/0!</v>
      </c>
      <c r="G27" s="291" t="s">
        <v>2383</v>
      </c>
    </row>
    <row r="28" spans="1:7" s="258" customFormat="1" ht="13.5" customHeight="1">
      <c r="A28" s="954" t="s">
        <v>791</v>
      </c>
      <c r="B28" s="292" t="s">
        <v>2384</v>
      </c>
      <c r="C28" s="293" t="e">
        <f ca="1">ROUND((C5+C19+C20)*F27,0)</f>
        <v>#DIV/0!</v>
      </c>
      <c r="D28" s="279"/>
      <c r="E28" s="280"/>
      <c r="F28" s="290"/>
      <c r="G28" s="291"/>
    </row>
    <row r="29" spans="1:7" s="258" customFormat="1" ht="13.5" customHeight="1">
      <c r="A29" s="954" t="s">
        <v>792</v>
      </c>
      <c r="B29" s="292" t="s">
        <v>2385</v>
      </c>
      <c r="C29" s="282" t="e">
        <f ca="1">ROUND(C21*F27,4)</f>
        <v>#DIV/0!</v>
      </c>
      <c r="D29" s="279"/>
      <c r="E29" s="280"/>
      <c r="F29" s="290"/>
      <c r="G29" s="291"/>
    </row>
    <row r="30" spans="1:7" s="258" customFormat="1" ht="13.5" customHeight="1">
      <c r="A30" s="299" t="s">
        <v>2386</v>
      </c>
      <c r="B30" s="254" t="s">
        <v>2387</v>
      </c>
      <c r="C30" s="279">
        <f>ROUND(F30/(1+'数据-取费表'!C42),4)</f>
        <v>0</v>
      </c>
      <c r="D30" s="280" t="s">
        <v>2382</v>
      </c>
      <c r="E30" s="285"/>
      <c r="F30" s="281">
        <f>'数据-取费表'!B41</f>
        <v>0</v>
      </c>
      <c r="G30" s="278" t="s">
        <v>2388</v>
      </c>
    </row>
    <row r="31" spans="1:7" ht="16.5" customHeight="1">
      <c r="A31" s="253">
        <v>1</v>
      </c>
      <c r="B31" s="254" t="s">
        <v>2389</v>
      </c>
      <c r="C31" s="255" t="e">
        <f ca="1">ROUND((C5+C19+C20+C22+C27)/(1-C21-D22-D27-C30),0)</f>
        <v>#DIV/0!</v>
      </c>
      <c r="D31" s="274"/>
      <c r="E31" s="255"/>
      <c r="F31" s="294"/>
      <c r="G31" s="278" t="s">
        <v>2390</v>
      </c>
    </row>
    <row r="32" spans="1:7" s="252" customFormat="1" ht="16.2">
      <c r="A32" s="296" t="s">
        <v>2457</v>
      </c>
      <c r="B32" s="297"/>
      <c r="C32" s="297"/>
      <c r="D32" s="297"/>
      <c r="E32" s="297"/>
      <c r="F32" s="297"/>
      <c r="G32" s="298"/>
    </row>
    <row r="33" spans="1:7" s="258" customFormat="1" ht="13.5" customHeight="1">
      <c r="A33" s="299" t="s">
        <v>782</v>
      </c>
      <c r="B33" s="254" t="s">
        <v>2458</v>
      </c>
      <c r="C33" s="300">
        <f ca="1">SUM(C34:C38)</f>
        <v>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4" t="s">
        <v>796</v>
      </c>
      <c r="B35" s="259" t="s">
        <v>2395</v>
      </c>
      <c r="C35" s="264">
        <f ca="1">ROUND(C34*F35,0)</f>
        <v>0</v>
      </c>
      <c r="D35" s="264"/>
      <c r="E35" s="264"/>
      <c r="F35" s="303">
        <f>'数据-取费表'!B33</f>
        <v>0</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0</v>
      </c>
      <c r="D37" s="261">
        <f ca="1">D19</f>
        <v>0</v>
      </c>
      <c r="E37" s="293">
        <f>'数据-取费表'!B35</f>
        <v>0</v>
      </c>
      <c r="F37" s="303"/>
      <c r="G37" s="305"/>
    </row>
    <row r="38" spans="1:7" ht="13.5" customHeight="1">
      <c r="A38" s="954" t="s">
        <v>799</v>
      </c>
      <c r="B38" s="259" t="s">
        <v>2401</v>
      </c>
      <c r="C38" s="264">
        <f ca="1">ROUND(C34*F38,0)</f>
        <v>0</v>
      </c>
      <c r="D38" s="264"/>
      <c r="E38" s="264"/>
      <c r="F38" s="303">
        <f>'数据-取费表'!B36</f>
        <v>0</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31">
        <f>F21</f>
        <v>0</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0</v>
      </c>
      <c r="D42" s="282"/>
      <c r="E42" s="282"/>
      <c r="F42" s="283"/>
      <c r="G42" s="3133" t="s">
        <v>2459</v>
      </c>
    </row>
    <row r="43" spans="1:7" ht="13.5" customHeight="1">
      <c r="A43" s="954" t="s">
        <v>792</v>
      </c>
      <c r="B43" s="259" t="s">
        <v>2413</v>
      </c>
      <c r="C43" s="282">
        <f ca="1">ROUND(IF('数据-取费表'!B22&lt;=1,C39*F22*'数据-取费表'!B20/2,C39*(POWER((1+F22),'数据-取费表'!B20/2)-1)),0)</f>
        <v>0</v>
      </c>
      <c r="D43" s="282"/>
      <c r="E43" s="282"/>
      <c r="F43" s="283"/>
      <c r="G43" s="3134"/>
    </row>
    <row r="44" spans="1:7" ht="13.5" customHeight="1">
      <c r="A44" s="954" t="s">
        <v>793</v>
      </c>
      <c r="B44" s="259" t="s">
        <v>2414</v>
      </c>
      <c r="C44" s="282">
        <f ca="1">ROUND(IF('数据-取费表'!B22&lt;=1,C40*F22*'数据-取费表'!B20/2,C40*(POWER((1+F22),'数据-取费表'!B20/2)-1)),4)</f>
        <v>0</v>
      </c>
      <c r="D44" s="282"/>
      <c r="E44" s="282"/>
      <c r="F44" s="283"/>
      <c r="G44" s="3135"/>
    </row>
    <row r="45" spans="1:7" s="258" customFormat="1" ht="13.5" customHeight="1">
      <c r="A45" s="299" t="s">
        <v>2415</v>
      </c>
      <c r="B45" s="288" t="s">
        <v>2381</v>
      </c>
      <c r="C45" s="289" t="e">
        <f ca="1">C46</f>
        <v>#DIV/0!</v>
      </c>
      <c r="D45" s="279" t="e">
        <f ca="1">C47</f>
        <v>#DIV/0!</v>
      </c>
      <c r="E45" s="280" t="s">
        <v>2407</v>
      </c>
      <c r="F45" s="290"/>
      <c r="G45" s="291" t="s">
        <v>2416</v>
      </c>
    </row>
    <row r="46" spans="1:7" s="258" customFormat="1" ht="13.5" customHeight="1">
      <c r="A46" s="954" t="s">
        <v>791</v>
      </c>
      <c r="B46" s="292" t="s">
        <v>2417</v>
      </c>
      <c r="C46" s="293" t="e">
        <f ca="1">ROUND((C33+C39)*F27,0)</f>
        <v>#DIV/0!</v>
      </c>
      <c r="D46" s="307"/>
      <c r="E46" s="280"/>
      <c r="F46" s="290"/>
      <c r="G46" s="291"/>
    </row>
    <row r="47" spans="1:7" s="258" customFormat="1" ht="13.5" customHeight="1">
      <c r="A47" s="954" t="s">
        <v>792</v>
      </c>
      <c r="B47" s="292" t="s">
        <v>2418</v>
      </c>
      <c r="C47" s="282" t="e">
        <f ca="1">ROUND(C40*F27,4)</f>
        <v>#DIV/0!</v>
      </c>
      <c r="D47" s="307"/>
      <c r="E47" s="280"/>
      <c r="F47" s="290"/>
      <c r="G47" s="291"/>
    </row>
    <row r="48" spans="1:7" s="258" customFormat="1" ht="13.5" customHeight="1">
      <c r="A48" s="299" t="s">
        <v>2380</v>
      </c>
      <c r="B48" s="254" t="s">
        <v>2419</v>
      </c>
      <c r="C48" s="306">
        <f>ROUND(F30/(1+'数据-取费表'!C42),4)</f>
        <v>0</v>
      </c>
      <c r="D48" s="280" t="s">
        <v>2407</v>
      </c>
      <c r="E48" s="276"/>
      <c r="F48" s="281"/>
      <c r="G48" s="278" t="s">
        <v>2420</v>
      </c>
    </row>
    <row r="49" spans="1:7" ht="16.5" customHeight="1">
      <c r="A49" s="299" t="s">
        <v>2386</v>
      </c>
      <c r="B49" s="254" t="s">
        <v>2460</v>
      </c>
      <c r="C49" s="276" t="e">
        <f ca="1">ROUND((C33+C39+C41+C45)/(1-C40-D41-D45-C48),0)</f>
        <v>#DIV/0!</v>
      </c>
      <c r="D49" s="276"/>
      <c r="E49" s="276"/>
      <c r="F49" s="308"/>
      <c r="G49" s="278" t="s">
        <v>2422</v>
      </c>
    </row>
    <row r="50" spans="1:7" s="302" customFormat="1">
      <c r="A50" s="299" t="s">
        <v>2423</v>
      </c>
      <c r="B50" s="254" t="s">
        <v>2424</v>
      </c>
      <c r="C50" s="276"/>
      <c r="D50" s="276"/>
      <c r="E50" s="276"/>
      <c r="F50" s="308" t="e">
        <f>IF('数据-取费表'!B24=0,'数据-取费表'!N16,1)</f>
        <v>#DIV/0!</v>
      </c>
      <c r="G50" s="291"/>
    </row>
    <row r="51" spans="1:7" ht="16.5" customHeight="1">
      <c r="A51" s="299" t="s">
        <v>2426</v>
      </c>
      <c r="B51" s="254" t="s">
        <v>2461</v>
      </c>
      <c r="C51" s="276" t="e">
        <f ca="1">ROUND(C49*F50,0)</f>
        <v>#DIV/0!</v>
      </c>
      <c r="D51" s="276"/>
      <c r="E51" s="276"/>
      <c r="F51" s="308"/>
      <c r="G51" s="278" t="s">
        <v>2428</v>
      </c>
    </row>
    <row r="52" spans="1:7" s="252" customFormat="1" ht="16.8" thickBot="1">
      <c r="A52" s="309" t="s">
        <v>2429</v>
      </c>
      <c r="B52" s="310"/>
      <c r="C52" s="311" t="e">
        <f ca="1">C31+C51</f>
        <v>#DIV/0!</v>
      </c>
      <c r="D52" s="310"/>
      <c r="E52" s="310"/>
      <c r="F52" s="310"/>
      <c r="G52" s="312"/>
    </row>
    <row r="55" spans="1:7" ht="15">
      <c r="B55" s="314" t="s">
        <v>2430</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2462</v>
      </c>
      <c r="B1" s="1584"/>
      <c r="C1" s="1585"/>
      <c r="D1" s="1583"/>
      <c r="E1" s="320"/>
      <c r="F1" s="320"/>
      <c r="G1" s="1584"/>
      <c r="H1" s="320"/>
      <c r="I1" s="320"/>
      <c r="J1" s="320"/>
      <c r="K1" s="320">
        <f>MATCH(C1,'数据-取费表'!A6:A16,0)+5</f>
        <v>6</v>
      </c>
    </row>
    <row r="2" spans="1:33" ht="18" customHeight="1">
      <c r="A2" s="245" t="s">
        <v>2330</v>
      </c>
      <c r="B2" s="248" t="e">
        <f ca="1">C32</f>
        <v>#DIV/0!</v>
      </c>
      <c r="C2" s="320" t="s">
        <v>2463</v>
      </c>
      <c r="D2" s="320"/>
      <c r="E2" s="320"/>
      <c r="F2" s="320"/>
      <c r="G2" s="320"/>
      <c r="H2" s="320"/>
      <c r="I2" s="320"/>
      <c r="J2" s="320"/>
      <c r="K2" s="320"/>
    </row>
    <row r="3" spans="1:33" ht="18" customHeight="1" thickBot="1">
      <c r="A3" s="247" t="s">
        <v>2332</v>
      </c>
      <c r="B3" s="248" t="e">
        <f ca="1">ROUND(B2*10000/IF(C1="",'数据-汇总表'!E3,INDIRECT("'数据-取费表'!K"&amp;$K$1)),0)</f>
        <v>#DIV/0!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5.2">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1330</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2484</v>
      </c>
      <c r="C12" s="24">
        <f ca="1">ROUND(C11*F12,0)</f>
        <v>0</v>
      </c>
      <c r="D12" s="976"/>
      <c r="E12" s="375"/>
      <c r="F12" s="979">
        <f>'数据-取费表'!B33</f>
        <v>0</v>
      </c>
      <c r="G12" s="8" t="s">
        <v>2485</v>
      </c>
      <c r="H12" s="971"/>
      <c r="I12" s="971"/>
      <c r="J12" s="971"/>
      <c r="K12" s="972"/>
    </row>
    <row r="13" spans="1:33" s="978" customFormat="1" ht="13.5" customHeight="1">
      <c r="A13" s="974" t="s">
        <v>1332</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1333</v>
      </c>
      <c r="B14" s="975" t="s">
        <v>2488</v>
      </c>
      <c r="C14" s="24">
        <f ca="1">ROUND(D14*E14*F11/10000,0)</f>
        <v>0</v>
      </c>
      <c r="D14" s="1036">
        <f ca="1">IF(C1="",'数据-汇总表'!E3,INDIRECT("'数据-取费表'!K"&amp;$K$1)+INDIRECT("'数据-取费表'!S"&amp;$K$1))</f>
        <v>0</v>
      </c>
      <c r="E14" s="24">
        <f>'数据-取费表'!B35</f>
        <v>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2490</v>
      </c>
      <c r="C15" s="986">
        <f ca="1">ROUND(C11*F15,0)</f>
        <v>0</v>
      </c>
      <c r="D15" s="981"/>
      <c r="E15" s="986"/>
      <c r="F15" s="987">
        <f>'数据-取费表'!B36</f>
        <v>0</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0</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v>
      </c>
      <c r="G23" s="8" t="s">
        <v>2504</v>
      </c>
      <c r="H23" s="971"/>
      <c r="I23" s="971"/>
      <c r="J23" s="971"/>
      <c r="K23" s="972"/>
    </row>
    <row r="24" spans="1:33" s="978" customFormat="1" ht="13.5" customHeight="1">
      <c r="A24" s="964" t="s">
        <v>2505</v>
      </c>
      <c r="B24" s="988" t="s">
        <v>2506</v>
      </c>
      <c r="C24" s="324">
        <f>ROUND(F24/(1+'数据-取费表'!C42),4)</f>
        <v>0</v>
      </c>
      <c r="D24" s="325" t="s">
        <v>15</v>
      </c>
      <c r="E24" s="325"/>
      <c r="F24" s="991">
        <f>'数据-取费表'!B48+'数据-取费表'!B49</f>
        <v>0</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0</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2512</v>
      </c>
      <c r="B28" s="2566" t="s">
        <v>2513</v>
      </c>
      <c r="C28" s="331" t="e">
        <f ca="1">C30</f>
        <v>#DIV/0!</v>
      </c>
      <c r="D28" s="324" t="e">
        <f ca="1">C29</f>
        <v>#DIV/0!</v>
      </c>
      <c r="E28" s="326" t="s">
        <v>15</v>
      </c>
      <c r="F28" s="332" t="e">
        <f ca="1">IF(C1="",'数据-取费表'!Q16,INDIRECT("'数据-取费表'!q"&amp;$K$1))</f>
        <v>#DIV/0!</v>
      </c>
      <c r="G28" s="992"/>
      <c r="H28" s="993"/>
      <c r="I28" s="993"/>
      <c r="J28" s="993"/>
      <c r="K28" s="994"/>
    </row>
    <row r="29" spans="1:33" s="335" customFormat="1" ht="13.5" customHeight="1">
      <c r="A29" s="974" t="s">
        <v>803</v>
      </c>
      <c r="B29" s="997" t="s">
        <v>2514</v>
      </c>
      <c r="C29" s="328" t="e">
        <f ca="1">ROUND((1+C24)*F28*'数据-取费表'!B24/'数据-取费表'!B20,4)</f>
        <v>#DIV/0!</v>
      </c>
      <c r="D29" s="328"/>
      <c r="E29" s="329"/>
      <c r="F29" s="334"/>
      <c r="G29" s="140" t="s">
        <v>2515</v>
      </c>
      <c r="H29" s="982"/>
      <c r="I29" s="982"/>
      <c r="J29" s="982"/>
      <c r="K29" s="983"/>
    </row>
    <row r="30" spans="1:33" s="335" customFormat="1" ht="13.5" customHeight="1">
      <c r="A30" s="974" t="s">
        <v>804</v>
      </c>
      <c r="B30" s="997" t="s">
        <v>2516</v>
      </c>
      <c r="C30" s="336" t="e">
        <f ca="1">ROUND((C21+C22+C23)*F28,0)</f>
        <v>#DIV/0!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0</v>
      </c>
      <c r="G31" s="1013" t="s">
        <v>2519</v>
      </c>
      <c r="H31" s="1014"/>
      <c r="I31" s="1014"/>
      <c r="J31" s="1014"/>
      <c r="K31" s="1015"/>
    </row>
    <row r="32" spans="1:33" s="973" customFormat="1" ht="13.5" customHeight="1" thickBot="1">
      <c r="A32" s="1003" t="s">
        <v>2520</v>
      </c>
      <c r="B32" s="1004"/>
      <c r="C32" s="1005" t="e">
        <f ca="1">ROUND((C4-C21-C22-C23-C25-C28-C31)/(1+C24+D25+D28),0)</f>
        <v>#DIV/0!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38" t="s">
        <v>1399</v>
      </c>
      <c r="C6" s="1299">
        <f ca="1">ROUND(F6*F8*F7*(1-F9)/10000,0)</f>
        <v>0</v>
      </c>
      <c r="D6" s="164" t="s">
        <v>3037</v>
      </c>
      <c r="E6" s="347" t="s">
        <v>1401</v>
      </c>
      <c r="F6" s="348">
        <f ca="1">INDIRECT("'数据-取费表'!u"&amp;$G$1)</f>
        <v>0</v>
      </c>
      <c r="G6" s="1854"/>
      <c r="H6" s="1294" t="s">
        <v>1032</v>
      </c>
      <c r="I6" s="3138" t="s">
        <v>1399</v>
      </c>
      <c r="J6" s="346">
        <f ca="1">ROUND(M6*M8*M7*(1-M9)/10000,0)</f>
        <v>0</v>
      </c>
      <c r="K6" s="164" t="s">
        <v>3036</v>
      </c>
      <c r="L6" s="347" t="s">
        <v>1401</v>
      </c>
      <c r="M6" s="348">
        <f ca="1">INDIRECT("'数据-取费表'!z"&amp;$G$1)</f>
        <v>0</v>
      </c>
    </row>
    <row r="7" spans="1:37" ht="18" customHeight="1">
      <c r="A7" s="1298"/>
      <c r="B7" s="3139"/>
      <c r="C7" s="1300"/>
      <c r="D7" s="352"/>
      <c r="E7" s="1301" t="s">
        <v>1402</v>
      </c>
      <c r="F7" s="348">
        <f ca="1">IF(INDIRECT("'数据-取费表'!ah"&amp;$G$1)="",INDIRECT("'数据-取费表'!k"&amp;$G$1),INDIRECT("'数据-取费表'!ah"&amp;$G$1))</f>
        <v>0</v>
      </c>
      <c r="G7" s="1854"/>
      <c r="H7" s="349"/>
      <c r="I7" s="3139"/>
      <c r="J7" s="351"/>
      <c r="K7" s="352"/>
      <c r="L7" s="347" t="s">
        <v>1402</v>
      </c>
      <c r="M7" s="348">
        <f ca="1">F7</f>
        <v>0</v>
      </c>
    </row>
    <row r="8" spans="1:37" ht="18" customHeight="1">
      <c r="A8" s="349"/>
      <c r="B8" s="3139"/>
      <c r="C8" s="351"/>
      <c r="D8" s="352"/>
      <c r="E8" s="347" t="s">
        <v>1403</v>
      </c>
      <c r="F8" s="348">
        <f ca="1">INDIRECT("'数据-取费表'!ai"&amp;$G$1)</f>
        <v>0</v>
      </c>
      <c r="G8" s="1854"/>
      <c r="H8" s="349"/>
      <c r="I8" s="3139"/>
      <c r="J8" s="351"/>
      <c r="K8" s="352"/>
      <c r="L8" s="347" t="s">
        <v>1403</v>
      </c>
      <c r="M8" s="348">
        <f ca="1">INDIRECT("'数据-取费表'!ai"&amp;$G$1)</f>
        <v>0</v>
      </c>
    </row>
    <row r="9" spans="1:37" ht="18" customHeight="1">
      <c r="A9" s="349"/>
      <c r="B9" s="3140"/>
      <c r="C9" s="351"/>
      <c r="D9" s="352"/>
      <c r="E9" s="347" t="s">
        <v>1404</v>
      </c>
      <c r="F9" s="357">
        <f ca="1">INDIRECT("'数据-取费表'!w"&amp;$G$1)</f>
        <v>0</v>
      </c>
      <c r="G9" s="1854"/>
      <c r="H9" s="349"/>
      <c r="I9" s="31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3046</v>
      </c>
      <c r="E10" s="358" t="s">
        <v>1406</v>
      </c>
      <c r="F10" s="1369"/>
      <c r="G10" s="1854"/>
      <c r="H10" s="1294" t="s">
        <v>1036</v>
      </c>
      <c r="I10" s="1826" t="s">
        <v>1405</v>
      </c>
      <c r="J10" s="346">
        <f ca="1">ROUND(IF(M10="押一",J6/12*M11,IF(M10="押二",J6/12*2*M11,IF(M10="押三",J6/12*3*M11,J11*M11))),0)</f>
        <v>0</v>
      </c>
      <c r="K10" s="1827" t="s">
        <v>3045</v>
      </c>
      <c r="L10" s="358" t="s">
        <v>1406</v>
      </c>
      <c r="M10" s="1369" t="s">
        <v>1407</v>
      </c>
    </row>
    <row r="11" spans="1:37" ht="18" customHeight="1">
      <c r="A11" s="353"/>
      <c r="B11" s="1828" t="s">
        <v>1384</v>
      </c>
      <c r="C11" s="1181"/>
      <c r="D11" s="1829"/>
      <c r="E11" s="358" t="s">
        <v>1408</v>
      </c>
      <c r="F11" s="359">
        <f ca="1">'数据-取费表'!B39</f>
        <v>0</v>
      </c>
      <c r="G11" s="1854"/>
      <c r="H11" s="1302"/>
      <c r="I11" s="1828" t="s">
        <v>1384</v>
      </c>
      <c r="J11" s="1181"/>
      <c r="K11" s="748"/>
      <c r="L11" s="358" t="s">
        <v>1408</v>
      </c>
      <c r="M11" s="1059">
        <f ca="1">'数据-取费表'!B39</f>
        <v>0</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0</v>
      </c>
      <c r="G18" s="1857"/>
      <c r="H18" s="1204" t="s">
        <v>1031</v>
      </c>
      <c r="I18" s="347" t="s">
        <v>1429</v>
      </c>
      <c r="J18" s="24">
        <f ca="1">ROUND(J5*M18/(1+'数据-取费表'!C42),2)</f>
        <v>0</v>
      </c>
      <c r="K18" s="1801" t="s">
        <v>1430</v>
      </c>
      <c r="L18" s="347" t="s">
        <v>1418</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0</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0</v>
      </c>
      <c r="D24" s="375" t="str">
        <f>IF(F23&lt;=1,"销售费用×利率×(建设周期÷2)","销售费用×((1+利率)^(建设周期÷2)-1)")</f>
        <v>销售费用×利率×(建设周期÷2)</v>
      </c>
      <c r="E24" s="347" t="s">
        <v>1454</v>
      </c>
      <c r="F24" s="377">
        <f ca="1">'数据-取费表'!B40</f>
        <v>0</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0</v>
      </c>
      <c r="D28" s="369" t="s">
        <v>1472</v>
      </c>
      <c r="E28" s="347" t="s">
        <v>1418</v>
      </c>
      <c r="F28" s="367">
        <f>'数据-取费表'!B41</f>
        <v>0</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0</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8" thickBot="1">
      <c r="A49" s="1197" t="s">
        <v>1133</v>
      </c>
      <c r="B49" s="1832" t="s">
        <v>1486</v>
      </c>
      <c r="C49" s="1367">
        <f ca="1">ROUND(F49*F51*F50*(1-F52)/10000,0)</f>
        <v>0</v>
      </c>
      <c r="D49" s="1279" t="s">
        <v>3038</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8"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6.6" thickBot="1">
      <c r="A53" s="1408" t="s">
        <v>1134</v>
      </c>
      <c r="B53" s="1834" t="s">
        <v>1405</v>
      </c>
      <c r="C53" s="361">
        <f ca="1">ROUND(IF(F53="押一",C49/12*F11,IF(F53="押二",C49/12*2*F11,IF(F53="押三",C49/12*3*F11,C54*F11))),0)</f>
        <v>0</v>
      </c>
      <c r="D53" s="1827" t="s">
        <v>3045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6" t="s">
        <v>1544</v>
      </c>
      <c r="L53" s="3137"/>
      <c r="O53" s="1887" t="s">
        <v>1043</v>
      </c>
      <c r="P53" s="1888" t="s">
        <v>1545</v>
      </c>
      <c r="Q53" s="1889" t="e">
        <f ca="1">Q47+Q48</f>
        <v>#DIV/0!</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6"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IF(项目基本情况!B11="自然人","——",ROUND(C48*F60/(1+'数据-取费表'!C42),2))</f>
        <v>0</v>
      </c>
      <c r="D60" s="1186" t="s">
        <v>1430</v>
      </c>
      <c r="E60" s="1172" t="s">
        <v>1418</v>
      </c>
      <c r="F60" s="377">
        <f t="shared" ref="F60:F66" si="0">F32</f>
        <v>0</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2"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24.6"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8" thickBot="1">
      <c r="A69" s="1173"/>
      <c r="B69" s="1174"/>
      <c r="C69" s="351"/>
      <c r="D69" s="1192" t="s">
        <v>1469</v>
      </c>
      <c r="E69" s="1172" t="s">
        <v>1470</v>
      </c>
      <c r="F69" s="379">
        <f ca="1">F41</f>
        <v>0</v>
      </c>
      <c r="O69" s="1897" t="s">
        <v>1045</v>
      </c>
      <c r="P69" s="1937" t="s">
        <v>1580</v>
      </c>
      <c r="Q69" s="1889">
        <f ca="1">C39</f>
        <v>0</v>
      </c>
      <c r="R69" s="1889" t="s">
        <v>1525</v>
      </c>
    </row>
    <row r="70" spans="1:18" s="1845" customFormat="1" ht="13.8" thickBot="1">
      <c r="A70" s="1176"/>
      <c r="B70" s="1177"/>
      <c r="C70" s="355"/>
      <c r="D70" s="1188"/>
      <c r="E70" s="1172" t="s">
        <v>1473</v>
      </c>
      <c r="F70" s="1278"/>
      <c r="O70" s="1897" t="s">
        <v>1046</v>
      </c>
      <c r="P70" s="1937" t="s">
        <v>1581</v>
      </c>
      <c r="Q70" s="1889">
        <f ca="1">C13</f>
        <v>0</v>
      </c>
      <c r="R70" s="1889" t="s">
        <v>1525</v>
      </c>
    </row>
    <row r="71" spans="1:18" s="1845" customFormat="1" ht="13.8"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38" t="s">
        <v>1399</v>
      </c>
      <c r="C6" s="1299">
        <f ca="1">ROUND(F6*F8*F7*(1-F9),0)</f>
        <v>0</v>
      </c>
      <c r="D6" s="164" t="s">
        <v>3034</v>
      </c>
      <c r="E6" s="347" t="s">
        <v>1401</v>
      </c>
      <c r="F6" s="348">
        <f ca="1">INDIRECT("'数据-取费表'!u"&amp;$G$1)</f>
        <v>0</v>
      </c>
      <c r="G6" s="1854"/>
      <c r="H6" s="1294" t="s">
        <v>1032</v>
      </c>
      <c r="I6" s="3138" t="s">
        <v>1399</v>
      </c>
      <c r="J6" s="346">
        <f ca="1">ROUND(M6*M8*M7*(1-M9),0)</f>
        <v>0</v>
      </c>
      <c r="K6" s="1837" t="s">
        <v>3035</v>
      </c>
      <c r="L6" s="347" t="s">
        <v>1401</v>
      </c>
      <c r="M6" s="348">
        <f ca="1">INDIRECT("'数据-取费表'!z"&amp;$G$1)</f>
        <v>0</v>
      </c>
    </row>
    <row r="7" spans="1:37" ht="18" customHeight="1">
      <c r="A7" s="1298"/>
      <c r="B7" s="3139"/>
      <c r="C7" s="1300"/>
      <c r="D7" s="352"/>
      <c r="E7" s="1301" t="s">
        <v>1402</v>
      </c>
      <c r="F7" s="348">
        <f ca="1">IF(INDIRECT("'数据-取费表'!ah"&amp;$G$1)="",INDIRECT("'数据-取费表'!k"&amp;$G$1),INDIRECT("'数据-取费表'!ah"&amp;$G$1))</f>
        <v>0</v>
      </c>
      <c r="G7" s="1854"/>
      <c r="H7" s="349"/>
      <c r="I7" s="3139"/>
      <c r="J7" s="351"/>
      <c r="K7" s="352"/>
      <c r="L7" s="347" t="s">
        <v>1402</v>
      </c>
      <c r="M7" s="348">
        <f ca="1">F7</f>
        <v>0</v>
      </c>
    </row>
    <row r="8" spans="1:37" ht="18" customHeight="1">
      <c r="A8" s="349"/>
      <c r="B8" s="3139"/>
      <c r="C8" s="351"/>
      <c r="D8" s="352"/>
      <c r="E8" s="347" t="s">
        <v>1403</v>
      </c>
      <c r="F8" s="348">
        <f ca="1">INDIRECT("'数据-取费表'!ai"&amp;$G$1)</f>
        <v>0</v>
      </c>
      <c r="G8" s="1854"/>
      <c r="H8" s="349"/>
      <c r="I8" s="3139"/>
      <c r="J8" s="351"/>
      <c r="K8" s="352"/>
      <c r="L8" s="347" t="s">
        <v>1403</v>
      </c>
      <c r="M8" s="348">
        <f ca="1">INDIRECT("'数据-取费表'!ai"&amp;$G$1)</f>
        <v>0</v>
      </c>
    </row>
    <row r="9" spans="1:37" ht="18" customHeight="1">
      <c r="A9" s="349"/>
      <c r="B9" s="3140"/>
      <c r="C9" s="351"/>
      <c r="D9" s="352"/>
      <c r="E9" s="347" t="s">
        <v>1404</v>
      </c>
      <c r="F9" s="357">
        <f ca="1">INDIRECT("'数据-取费表'!w"&amp;$G$1)</f>
        <v>0</v>
      </c>
      <c r="G9" s="1854"/>
      <c r="H9" s="349"/>
      <c r="I9" s="31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3045</v>
      </c>
      <c r="E10" s="358" t="s">
        <v>1406</v>
      </c>
      <c r="F10" s="1369"/>
      <c r="G10" s="1854"/>
      <c r="H10" s="1294" t="s">
        <v>1036</v>
      </c>
      <c r="I10" s="1826" t="s">
        <v>1405</v>
      </c>
      <c r="J10" s="346">
        <f ca="1">ROUND(IF(M10="押一",J6/12*M11,IF(M10="押二",J6/12*2*M11,IF(M10="押三",J6/12*3*M11,J11*M11))),0)</f>
        <v>0</v>
      </c>
      <c r="K10" s="1838" t="s">
        <v>3047</v>
      </c>
      <c r="L10" s="358" t="s">
        <v>1406</v>
      </c>
      <c r="M10" s="1369"/>
    </row>
    <row r="11" spans="1:37" ht="18" customHeight="1">
      <c r="A11" s="353"/>
      <c r="B11" s="1828" t="s">
        <v>1598</v>
      </c>
      <c r="C11" s="1181"/>
      <c r="D11" s="352"/>
      <c r="E11" s="358" t="s">
        <v>1408</v>
      </c>
      <c r="F11" s="359">
        <f ca="1">'数据-取费表'!B39</f>
        <v>0</v>
      </c>
      <c r="G11" s="1854"/>
      <c r="H11" s="1302"/>
      <c r="I11" s="1828" t="s">
        <v>1599</v>
      </c>
      <c r="J11" s="1181"/>
      <c r="K11" s="748"/>
      <c r="L11" s="358" t="s">
        <v>1408</v>
      </c>
      <c r="M11" s="1059">
        <f ca="1">'数据-取费表'!B39</f>
        <v>0</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0</v>
      </c>
      <c r="G18" s="1857"/>
      <c r="H18" s="1204" t="s">
        <v>1031</v>
      </c>
      <c r="I18" s="347" t="s">
        <v>1429</v>
      </c>
      <c r="J18" s="24">
        <f ca="1">ROUND(J5*M18/(1+'数据-取费表'!C42),0)</f>
        <v>0</v>
      </c>
      <c r="K18" s="1801" t="s">
        <v>1430</v>
      </c>
      <c r="L18" s="347" t="s">
        <v>1418</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0</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0</v>
      </c>
      <c r="D24" s="375" t="str">
        <f>IF(F23&lt;=1,"销售费用×利率×(建设周期÷2)","销售费用×((1+利率)^(建设周期÷2)-1)")</f>
        <v>销售费用×利率×(建设周期÷2)</v>
      </c>
      <c r="E24" s="347" t="s">
        <v>1454</v>
      </c>
      <c r="F24" s="377">
        <f ca="1">'数据-取费表'!B40</f>
        <v>0</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0</v>
      </c>
      <c r="D28" s="369" t="s">
        <v>1472</v>
      </c>
      <c r="E28" s="347" t="s">
        <v>1418</v>
      </c>
      <c r="F28" s="367">
        <f>'数据-取费表'!B41</f>
        <v>0</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0</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40.200000000000003"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8"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6" t="s">
        <v>1544</v>
      </c>
      <c r="L53" s="3137"/>
      <c r="O53" s="1887" t="s">
        <v>1043</v>
      </c>
      <c r="P53" s="1888" t="s">
        <v>1545</v>
      </c>
      <c r="Q53" s="1889" t="e">
        <f ca="1">Q47+Q48</f>
        <v>#DIV/0!</v>
      </c>
      <c r="R53" s="1889" t="s">
        <v>1044</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6"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6"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2" thickBot="1">
      <c r="A60" s="1204" t="s">
        <v>1031</v>
      </c>
      <c r="B60" s="1172" t="s">
        <v>1429</v>
      </c>
      <c r="C60" s="24">
        <f ca="1">IF(项目基本情况!B11="自然人","——",ROUND(C48*F60/(1+'数据-取费表'!C42),0))</f>
        <v>0</v>
      </c>
      <c r="D60" s="1186" t="s">
        <v>1430</v>
      </c>
      <c r="E60" s="1172" t="s">
        <v>1418</v>
      </c>
      <c r="F60" s="377">
        <f t="shared" ref="F60:F66" si="0">F32</f>
        <v>0</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24.6"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2"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8" thickBot="1">
      <c r="A69" s="1173"/>
      <c r="B69" s="1174"/>
      <c r="C69" s="351"/>
      <c r="D69" s="1192" t="s">
        <v>1469</v>
      </c>
      <c r="E69" s="1172" t="s">
        <v>1470</v>
      </c>
      <c r="F69" s="379">
        <f ca="1">F41</f>
        <v>0</v>
      </c>
      <c r="O69" s="1897" t="s">
        <v>1045</v>
      </c>
      <c r="P69" s="1937" t="s">
        <v>1580</v>
      </c>
      <c r="Q69" s="1889">
        <f ca="1">C39</f>
        <v>0</v>
      </c>
      <c r="R69" s="1889" t="s">
        <v>1525</v>
      </c>
    </row>
    <row r="70" spans="1:18" s="1845" customFormat="1" ht="13.8" thickBot="1">
      <c r="A70" s="1176"/>
      <c r="B70" s="1177"/>
      <c r="C70" s="355"/>
      <c r="D70" s="1188"/>
      <c r="E70" s="1172" t="s">
        <v>1473</v>
      </c>
      <c r="F70" s="1278">
        <f ca="1">F42</f>
        <v>0</v>
      </c>
      <c r="O70" s="1897" t="s">
        <v>1046</v>
      </c>
      <c r="P70" s="1937" t="s">
        <v>1581</v>
      </c>
      <c r="Q70" s="1889">
        <f ca="1">C13</f>
        <v>0</v>
      </c>
      <c r="R70" s="1889" t="s">
        <v>1525</v>
      </c>
    </row>
    <row r="71" spans="1:18" s="1845" customFormat="1" ht="13.8"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8" thickBot="1">
      <c r="B72" s="796"/>
      <c r="C72" s="796"/>
      <c r="O72" s="1897" t="s">
        <v>1041</v>
      </c>
      <c r="P72" s="1888" t="s">
        <v>1560</v>
      </c>
      <c r="Q72" s="1900">
        <f>L52</f>
        <v>0</v>
      </c>
      <c r="R72" s="1889"/>
    </row>
    <row r="73" spans="1:18" ht="16.2" thickBot="1">
      <c r="A73" s="1845"/>
      <c r="B73" s="796"/>
      <c r="C73" s="796"/>
      <c r="D73" s="1845"/>
      <c r="E73" s="1845"/>
      <c r="F73" s="1845"/>
      <c r="O73" s="1897" t="s">
        <v>1042</v>
      </c>
      <c r="P73" s="1888" t="s">
        <v>1563</v>
      </c>
      <c r="Q73" s="1889" t="e">
        <f ca="1">L58</f>
        <v>#DIV/0!</v>
      </c>
      <c r="R73" s="1889" t="s">
        <v>1564</v>
      </c>
    </row>
    <row r="74" spans="1:18" ht="13.8"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8" t="s">
        <v>2529</v>
      </c>
      <c r="B1" s="2569"/>
      <c r="C1" s="2569"/>
      <c r="D1" s="2569"/>
      <c r="E1" s="2570"/>
    </row>
    <row r="2" spans="1:6" ht="15.6">
      <c r="A2" s="2571" t="s">
        <v>2330</v>
      </c>
      <c r="B2" s="2572">
        <f ca="1">SUMIF(B6:B13,"&lt;&gt;#ref!",B6:B13)</f>
        <v>0</v>
      </c>
      <c r="C2" s="2573" t="s">
        <v>2522</v>
      </c>
      <c r="D2" s="2574" t="s">
        <v>2523</v>
      </c>
      <c r="E2" s="2575">
        <f>SUM(E6:E13)</f>
        <v>0</v>
      </c>
    </row>
    <row r="3" spans="1:6" ht="15.6">
      <c r="A3" s="2571" t="s">
        <v>1391</v>
      </c>
      <c r="B3" s="2572" t="e">
        <f ca="1">ROUND(B2*10000/E2,0)</f>
        <v>#DIV/0!</v>
      </c>
      <c r="C3" s="2573" t="s">
        <v>2530</v>
      </c>
      <c r="D3" s="2576"/>
      <c r="E3" s="2577"/>
    </row>
    <row r="4" spans="1:6" ht="15.6">
      <c r="A4" s="2578"/>
      <c r="B4" s="2576"/>
      <c r="C4" s="2576"/>
      <c r="D4" s="2576"/>
      <c r="E4" s="2577"/>
    </row>
    <row r="5" spans="1:6" ht="14.4">
      <c r="A5" s="2579" t="s">
        <v>2524</v>
      </c>
      <c r="B5" s="3141" t="s">
        <v>2525</v>
      </c>
      <c r="C5" s="3141"/>
      <c r="D5" s="2580"/>
      <c r="E5" s="2581" t="s">
        <v>2526</v>
      </c>
      <c r="F5" s="2582" t="s">
        <v>2527</v>
      </c>
    </row>
    <row r="6" spans="1:6" ht="14.4">
      <c r="A6" s="2583">
        <f>'数据-取费表'!AN6</f>
        <v>0</v>
      </c>
      <c r="B6" s="2582" t="e">
        <f ca="1">IF(F6="是",'数据-取费表'!AO6,0)</f>
        <v>#REF!</v>
      </c>
      <c r="C6" s="2573" t="s">
        <v>2522</v>
      </c>
      <c r="D6" s="2576"/>
      <c r="E6" s="2584">
        <f>IF(OR(A6=0,F6="否"),0,'数据-取费表'!K6+'数据-取费表'!S6)</f>
        <v>0</v>
      </c>
      <c r="F6" s="2585" t="s">
        <v>2528</v>
      </c>
    </row>
    <row r="7" spans="1:6" ht="14.4">
      <c r="A7" s="2583">
        <f>'数据-取费表'!AN7</f>
        <v>0</v>
      </c>
      <c r="B7" s="2582" t="e">
        <f ca="1">IF(F7="是",'数据-取费表'!AO7,0)</f>
        <v>#REF!</v>
      </c>
      <c r="C7" s="2573" t="s">
        <v>2522</v>
      </c>
      <c r="D7" s="2576"/>
      <c r="E7" s="2584">
        <f>IF(OR(A7=0,F7="否"),0,'数据-取费表'!K7+'数据-取费表'!S7)</f>
        <v>0</v>
      </c>
      <c r="F7" s="2585" t="s">
        <v>2528</v>
      </c>
    </row>
    <row r="8" spans="1:6" ht="14.4">
      <c r="A8" s="2583">
        <f>'数据-取费表'!AN8</f>
        <v>0</v>
      </c>
      <c r="B8" s="2582" t="e">
        <f ca="1">IF(F8="是",'数据-取费表'!AO8,0)</f>
        <v>#REF!</v>
      </c>
      <c r="C8" s="2573" t="s">
        <v>2522</v>
      </c>
      <c r="D8" s="2576"/>
      <c r="E8" s="2584">
        <f>IF(OR(A8=0,F8="否"),0,'数据-取费表'!K8+'数据-取费表'!S8)</f>
        <v>0</v>
      </c>
      <c r="F8" s="2585" t="s">
        <v>2528</v>
      </c>
    </row>
    <row r="9" spans="1:6" ht="14.4">
      <c r="A9" s="2583">
        <f>'数据-取费表'!AN9</f>
        <v>0</v>
      </c>
      <c r="B9" s="2582" t="e">
        <f ca="1">IF(F9="是",'数据-取费表'!AO9,0)</f>
        <v>#REF!</v>
      </c>
      <c r="C9" s="2573" t="s">
        <v>2522</v>
      </c>
      <c r="D9" s="2576"/>
      <c r="E9" s="2584">
        <f>IF(OR(A9=0,F9="否"),0,'数据-取费表'!K9+'数据-取费表'!S9)</f>
        <v>0</v>
      </c>
      <c r="F9" s="2585" t="s">
        <v>2528</v>
      </c>
    </row>
    <row r="10" spans="1:6" ht="14.4">
      <c r="A10" s="2583">
        <f>'数据-取费表'!AN10</f>
        <v>0</v>
      </c>
      <c r="B10" s="2582" t="e">
        <f ca="1">IF(F10="是",'数据-取费表'!AO10,0)</f>
        <v>#REF!</v>
      </c>
      <c r="C10" s="2573" t="s">
        <v>2522</v>
      </c>
      <c r="D10" s="2576"/>
      <c r="E10" s="2584">
        <f>IF(OR(A10=0,F10="否"),0,'数据-取费表'!K10+'数据-取费表'!S10)</f>
        <v>0</v>
      </c>
      <c r="F10" s="2585" t="s">
        <v>2528</v>
      </c>
    </row>
    <row r="11" spans="1:6" ht="14.4">
      <c r="A11" s="2583">
        <f>'数据-取费表'!AN11</f>
        <v>0</v>
      </c>
      <c r="B11" s="2582" t="e">
        <f ca="1">IF(F11="是",'数据-取费表'!AO11,0)</f>
        <v>#REF!</v>
      </c>
      <c r="C11" s="2573" t="s">
        <v>2522</v>
      </c>
      <c r="D11" s="2576"/>
      <c r="E11" s="2584">
        <f>IF(OR(A11=0,F11="否"),0,'数据-取费表'!K11+'数据-取费表'!S11)</f>
        <v>0</v>
      </c>
      <c r="F11" s="2585" t="s">
        <v>2528</v>
      </c>
    </row>
    <row r="12" spans="1:6" ht="14.4">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42" t="s">
        <v>1073</v>
      </c>
      <c r="B1" s="3143"/>
      <c r="C1" s="3144"/>
      <c r="D1" s="3145">
        <f>SUM(I10,I15,I20,I21,I23)</f>
        <v>0</v>
      </c>
      <c r="E1" s="3145"/>
      <c r="F1" s="3145"/>
      <c r="G1" s="3145"/>
      <c r="H1" s="3145"/>
      <c r="I1" s="3146"/>
    </row>
    <row r="2" spans="1:9">
      <c r="A2" s="3147" t="s">
        <v>1074</v>
      </c>
      <c r="B2" s="3148" t="s">
        <v>1075</v>
      </c>
      <c r="C2" s="3148"/>
      <c r="D2" s="1304" t="s">
        <v>1076</v>
      </c>
      <c r="E2" s="1304" t="s">
        <v>1077</v>
      </c>
      <c r="F2" s="1304" t="s">
        <v>1078</v>
      </c>
      <c r="G2" s="1304" t="s">
        <v>1079</v>
      </c>
      <c r="H2" s="1304" t="s">
        <v>1080</v>
      </c>
      <c r="I2" s="1305" t="s">
        <v>1081</v>
      </c>
    </row>
    <row r="3" spans="1:9">
      <c r="A3" s="3147"/>
      <c r="B3" s="3148" t="s">
        <v>1082</v>
      </c>
      <c r="C3" s="3148"/>
      <c r="D3" s="1306"/>
      <c r="E3" s="1304"/>
      <c r="F3" s="1307"/>
      <c r="G3" s="1307"/>
      <c r="H3" s="1308"/>
      <c r="I3" s="1309">
        <f>ROUND(D3*E3*F3*G3*H3/10000,0)</f>
        <v>0</v>
      </c>
    </row>
    <row r="4" spans="1:9">
      <c r="A4" s="3147"/>
      <c r="B4" s="3148" t="s">
        <v>1083</v>
      </c>
      <c r="C4" s="3148"/>
      <c r="D4" s="1306"/>
      <c r="E4" s="1304"/>
      <c r="F4" s="1307"/>
      <c r="G4" s="1307"/>
      <c r="H4" s="1308"/>
      <c r="I4" s="1309">
        <f t="shared" ref="I4:I9" si="0">ROUND(D4*E4*F4*G4*H4/10000,0)</f>
        <v>0</v>
      </c>
    </row>
    <row r="5" spans="1:9">
      <c r="A5" s="3147"/>
      <c r="B5" s="3148" t="s">
        <v>1084</v>
      </c>
      <c r="C5" s="3148"/>
      <c r="D5" s="1306"/>
      <c r="E5" s="1304"/>
      <c r="F5" s="1307"/>
      <c r="G5" s="1307"/>
      <c r="H5" s="1308"/>
      <c r="I5" s="1309">
        <f t="shared" si="0"/>
        <v>0</v>
      </c>
    </row>
    <row r="6" spans="1:9">
      <c r="A6" s="3147"/>
      <c r="B6" s="3148" t="s">
        <v>1085</v>
      </c>
      <c r="C6" s="3148"/>
      <c r="D6" s="1306"/>
      <c r="E6" s="1304"/>
      <c r="F6" s="1307"/>
      <c r="G6" s="1307"/>
      <c r="H6" s="1308"/>
      <c r="I6" s="1309">
        <f t="shared" si="0"/>
        <v>0</v>
      </c>
    </row>
    <row r="7" spans="1:9">
      <c r="A7" s="3147"/>
      <c r="B7" s="3148" t="s">
        <v>1086</v>
      </c>
      <c r="C7" s="3148"/>
      <c r="D7" s="1306"/>
      <c r="E7" s="1304"/>
      <c r="F7" s="1307"/>
      <c r="G7" s="1307"/>
      <c r="H7" s="1308"/>
      <c r="I7" s="1309">
        <f t="shared" si="0"/>
        <v>0</v>
      </c>
    </row>
    <row r="8" spans="1:9">
      <c r="A8" s="3147"/>
      <c r="B8" s="3148" t="s">
        <v>1087</v>
      </c>
      <c r="C8" s="3148"/>
      <c r="D8" s="1306"/>
      <c r="E8" s="1304"/>
      <c r="F8" s="1307"/>
      <c r="G8" s="1307"/>
      <c r="H8" s="1308"/>
      <c r="I8" s="1309">
        <f t="shared" si="0"/>
        <v>0</v>
      </c>
    </row>
    <row r="9" spans="1:9">
      <c r="A9" s="3147"/>
      <c r="B9" s="3148" t="s">
        <v>1088</v>
      </c>
      <c r="C9" s="3148"/>
      <c r="D9" s="1306"/>
      <c r="E9" s="1304"/>
      <c r="F9" s="1307"/>
      <c r="G9" s="1307"/>
      <c r="H9" s="1308"/>
      <c r="I9" s="1309">
        <f t="shared" si="0"/>
        <v>0</v>
      </c>
    </row>
    <row r="10" spans="1:9">
      <c r="A10" s="3147"/>
      <c r="B10" s="3149" t="s">
        <v>1089</v>
      </c>
      <c r="C10" s="3149"/>
      <c r="D10" s="1310"/>
      <c r="E10" s="1310" t="e">
        <f>ROUND(D1*10000/D10/H9,0)</f>
        <v>#DIV/0!</v>
      </c>
      <c r="F10" s="1311"/>
      <c r="G10" s="1311"/>
      <c r="H10" s="1312"/>
      <c r="I10" s="1313">
        <f>SUM(I3:I9)</f>
        <v>0</v>
      </c>
    </row>
    <row r="11" spans="1:9" ht="15.6">
      <c r="A11" s="3147" t="s">
        <v>1090</v>
      </c>
      <c r="B11" s="3148" t="s">
        <v>1091</v>
      </c>
      <c r="C11" s="3148"/>
      <c r="D11" s="1306" t="s">
        <v>1092</v>
      </c>
      <c r="E11" s="1306" t="s">
        <v>1093</v>
      </c>
      <c r="F11" s="1307" t="s">
        <v>1094</v>
      </c>
      <c r="G11" s="1307" t="s">
        <v>1080</v>
      </c>
      <c r="H11" s="1314" t="s">
        <v>1095</v>
      </c>
      <c r="I11" s="1305" t="s">
        <v>1081</v>
      </c>
    </row>
    <row r="12" spans="1:9">
      <c r="A12" s="3147"/>
      <c r="B12" s="3148" t="s">
        <v>1096</v>
      </c>
      <c r="C12" s="3148"/>
      <c r="D12" s="1306"/>
      <c r="E12" s="1306"/>
      <c r="F12" s="1307"/>
      <c r="G12" s="1308"/>
      <c r="H12" s="1315"/>
      <c r="I12" s="1305">
        <f>ROUND(D12*E12*F12*G12/10000,0)</f>
        <v>0</v>
      </c>
    </row>
    <row r="13" spans="1:9">
      <c r="A13" s="3147"/>
      <c r="B13" s="3148" t="s">
        <v>1097</v>
      </c>
      <c r="C13" s="3148"/>
      <c r="D13" s="1306"/>
      <c r="E13" s="1306"/>
      <c r="F13" s="1307"/>
      <c r="G13" s="1308"/>
      <c r="H13" s="1315"/>
      <c r="I13" s="1305">
        <f>ROUND(D13*E13*F13*G13/10000,0)</f>
        <v>0</v>
      </c>
    </row>
    <row r="14" spans="1:9">
      <c r="A14" s="3147"/>
      <c r="B14" s="3148" t="s">
        <v>1098</v>
      </c>
      <c r="C14" s="3148"/>
      <c r="D14" s="1306"/>
      <c r="E14" s="1306"/>
      <c r="F14" s="1307"/>
      <c r="G14" s="1308"/>
      <c r="H14" s="1315"/>
      <c r="I14" s="1305">
        <f>ROUND(D14*E14*F14*G14/10000,0)</f>
        <v>0</v>
      </c>
    </row>
    <row r="15" spans="1:9">
      <c r="A15" s="3147"/>
      <c r="B15" s="3149" t="s">
        <v>1089</v>
      </c>
      <c r="C15" s="3149"/>
      <c r="D15" s="1310"/>
      <c r="E15" s="1310">
        <f>SUM(E12:E14)</f>
        <v>0</v>
      </c>
      <c r="F15" s="1311"/>
      <c r="G15" s="1308"/>
      <c r="H15" s="1315"/>
      <c r="I15" s="1316">
        <f>SUM(I12:I14)</f>
        <v>0</v>
      </c>
    </row>
    <row r="16" spans="1:9" ht="24">
      <c r="A16" s="3147" t="s">
        <v>1099</v>
      </c>
      <c r="B16" s="3148" t="s">
        <v>1100</v>
      </c>
      <c r="C16" s="3148"/>
      <c r="D16" s="1306" t="s">
        <v>1076</v>
      </c>
      <c r="E16" s="1317" t="s">
        <v>1101</v>
      </c>
      <c r="F16" s="1307" t="s">
        <v>1102</v>
      </c>
      <c r="G16" s="1308" t="s">
        <v>1080</v>
      </c>
      <c r="H16" s="1314" t="s">
        <v>1095</v>
      </c>
      <c r="I16" s="1305" t="s">
        <v>1081</v>
      </c>
    </row>
    <row r="17" spans="1:9" ht="15.6">
      <c r="A17" s="3147"/>
      <c r="B17" s="3148" t="s">
        <v>1103</v>
      </c>
      <c r="C17" s="3148"/>
      <c r="D17" s="1306"/>
      <c r="E17" s="1306"/>
      <c r="F17" s="1307"/>
      <c r="G17" s="1308"/>
      <c r="H17" s="1318"/>
      <c r="I17" s="1319">
        <f>ROUND(D17*E17*F17*G17/10000,0)</f>
        <v>0</v>
      </c>
    </row>
    <row r="18" spans="1:9" ht="15.6">
      <c r="A18" s="3147"/>
      <c r="B18" s="3148" t="s">
        <v>1104</v>
      </c>
      <c r="C18" s="3148"/>
      <c r="D18" s="1306"/>
      <c r="E18" s="1306"/>
      <c r="F18" s="1307"/>
      <c r="G18" s="1308"/>
      <c r="H18" s="1318"/>
      <c r="I18" s="1319">
        <f>ROUND(D18*E18*F18*G18/10000,0)</f>
        <v>0</v>
      </c>
    </row>
    <row r="19" spans="1:9" ht="15.6">
      <c r="A19" s="3147"/>
      <c r="B19" s="3148" t="s">
        <v>1105</v>
      </c>
      <c r="C19" s="3148"/>
      <c r="D19" s="1306"/>
      <c r="E19" s="1306"/>
      <c r="F19" s="1307"/>
      <c r="G19" s="1308"/>
      <c r="H19" s="1318"/>
      <c r="I19" s="1319">
        <f>ROUND(D19*E19*F19*G19/10000,0)</f>
        <v>0</v>
      </c>
    </row>
    <row r="20" spans="1:9">
      <c r="A20" s="3147"/>
      <c r="B20" s="3149" t="s">
        <v>1089</v>
      </c>
      <c r="C20" s="3149"/>
      <c r="D20" s="1310">
        <f>SUM(D17:D19)</f>
        <v>0</v>
      </c>
      <c r="E20" s="1310"/>
      <c r="F20" s="1311"/>
      <c r="G20" s="1308"/>
      <c r="H20" s="1315"/>
      <c r="I20" s="1316">
        <f>SUM(I17:I19)</f>
        <v>0</v>
      </c>
    </row>
    <row r="21" spans="1:9">
      <c r="A21" s="3147" t="s">
        <v>1106</v>
      </c>
      <c r="B21" s="3151"/>
      <c r="C21" s="3151"/>
      <c r="D21" s="3151"/>
      <c r="E21" s="3151"/>
      <c r="F21" s="3151"/>
      <c r="G21" s="3151"/>
      <c r="H21" s="1768">
        <v>0.1</v>
      </c>
      <c r="I21" s="1313">
        <f>ROUND(I10*H21,0)</f>
        <v>0</v>
      </c>
    </row>
    <row r="22" spans="1:9" ht="15.6">
      <c r="A22" s="3152" t="s">
        <v>1107</v>
      </c>
      <c r="B22" s="3153"/>
      <c r="C22" s="3154"/>
      <c r="D22" s="1320" t="s">
        <v>1108</v>
      </c>
      <c r="E22" s="1320" t="s">
        <v>1109</v>
      </c>
      <c r="F22" s="1321" t="s">
        <v>1110</v>
      </c>
      <c r="G22" s="1321" t="s">
        <v>1111</v>
      </c>
      <c r="H22" s="1314" t="s">
        <v>1112</v>
      </c>
      <c r="I22" s="1305" t="s">
        <v>1113</v>
      </c>
    </row>
    <row r="23" spans="1:9" ht="15" thickBot="1">
      <c r="A23" s="3155"/>
      <c r="B23" s="3156"/>
      <c r="C23" s="3157"/>
      <c r="D23" s="1322"/>
      <c r="E23" s="1322"/>
      <c r="F23" s="1322"/>
      <c r="G23" s="1323"/>
      <c r="H23" s="1324"/>
      <c r="I23" s="1325">
        <f>ROUND(E23*D23*F23*(1-G23)/10000,0)</f>
        <v>0</v>
      </c>
    </row>
    <row r="26" spans="1:9">
      <c r="A26" s="1326" t="s">
        <v>1114</v>
      </c>
      <c r="B26" s="1326"/>
      <c r="C26" s="1326"/>
      <c r="D26" s="1326"/>
      <c r="E26" s="3158">
        <f>C27-C30-C31-C32</f>
        <v>0</v>
      </c>
      <c r="F26" s="3158"/>
      <c r="G26" s="3158"/>
      <c r="H26" s="1740" t="s">
        <v>1336</v>
      </c>
    </row>
    <row r="27" spans="1:9">
      <c r="A27" s="1327">
        <v>1</v>
      </c>
      <c r="B27" s="1328" t="s">
        <v>1115</v>
      </c>
      <c r="C27" s="1328">
        <f>C28+C29</f>
        <v>0</v>
      </c>
      <c r="D27" s="1328"/>
      <c r="E27" s="3159"/>
      <c r="F27" s="3159"/>
      <c r="G27" s="3159"/>
    </row>
    <row r="28" spans="1:9">
      <c r="A28" s="1329" t="s">
        <v>1116</v>
      </c>
      <c r="B28" s="1328" t="s">
        <v>1117</v>
      </c>
      <c r="C28" s="1328"/>
      <c r="D28" s="1328"/>
      <c r="E28" s="3159"/>
      <c r="F28" s="3159"/>
      <c r="G28" s="315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0"/>
      <c r="F32" s="3150"/>
      <c r="G32" s="3150"/>
    </row>
    <row r="33" spans="1:7" hidden="1">
      <c r="A33" s="3160" t="s">
        <v>1126</v>
      </c>
      <c r="B33" s="3161"/>
      <c r="C33" s="3161"/>
      <c r="D33" s="3162"/>
      <c r="E33" s="3158"/>
      <c r="F33" s="3158"/>
      <c r="G33" s="3158"/>
    </row>
    <row r="34" spans="1:7" hidden="1">
      <c r="A34" s="1331">
        <v>1</v>
      </c>
      <c r="B34" s="1328" t="s">
        <v>1127</v>
      </c>
      <c r="C34" s="1328"/>
      <c r="D34" s="1328"/>
      <c r="E34" s="3159"/>
      <c r="F34" s="3159"/>
      <c r="G34" s="3159"/>
    </row>
    <row r="35" spans="1:7" hidden="1">
      <c r="A35" s="1331">
        <v>2</v>
      </c>
      <c r="B35" s="1328" t="s">
        <v>1128</v>
      </c>
      <c r="C35" s="1328"/>
      <c r="D35" s="1328"/>
      <c r="E35" s="3159"/>
      <c r="F35" s="3159"/>
      <c r="G35" s="3159"/>
    </row>
    <row r="36" spans="1:7" hidden="1">
      <c r="A36" s="1331">
        <v>3</v>
      </c>
      <c r="B36" s="1328" t="s">
        <v>1129</v>
      </c>
      <c r="C36" s="1328"/>
      <c r="D36" s="1328"/>
      <c r="E36" s="3159"/>
      <c r="F36" s="3159"/>
      <c r="G36" s="3159"/>
    </row>
    <row r="37" spans="1:7" hidden="1">
      <c r="A37" s="1331">
        <v>4</v>
      </c>
      <c r="B37" s="1328" t="s">
        <v>1130</v>
      </c>
      <c r="C37" s="1328"/>
      <c r="D37" s="1328"/>
      <c r="E37" s="3159"/>
      <c r="F37" s="3159"/>
      <c r="G37" s="3159"/>
    </row>
    <row r="38" spans="1:7" hidden="1">
      <c r="A38" s="3160" t="s">
        <v>1131</v>
      </c>
      <c r="B38" s="3161"/>
      <c r="C38" s="3161"/>
      <c r="D38" s="3162"/>
      <c r="E38" s="3158"/>
      <c r="F38" s="3158"/>
      <c r="G38" s="31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2537</v>
      </c>
      <c r="D3" s="399">
        <f>IF(D1="",'数据-汇总表'!E3,SUMIF('数据-汇总表'!$C19:$C33,D1,'数据-汇总表'!$E19:$E33))</f>
        <v>0</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4.4">
      <c r="A4" s="401" t="s">
        <v>2538</v>
      </c>
      <c r="B4" s="402"/>
      <c r="C4" s="3181" t="s">
        <v>2539</v>
      </c>
      <c r="D4" s="3182"/>
      <c r="E4" s="3183" t="s">
        <v>2540</v>
      </c>
      <c r="F4" s="3184"/>
      <c r="G4" s="3181" t="s">
        <v>2541</v>
      </c>
      <c r="H4" s="3182"/>
      <c r="I4" s="3181" t="s">
        <v>2542</v>
      </c>
      <c r="J4" s="3182"/>
      <c r="K4" s="2603" t="s">
        <v>2543</v>
      </c>
      <c r="L4" s="1133"/>
      <c r="M4" s="1134"/>
      <c r="N4" s="1134"/>
      <c r="O4" s="1134"/>
      <c r="P4" s="3185" t="s">
        <v>2544</v>
      </c>
      <c r="Q4" s="3186"/>
      <c r="R4" s="3168" t="s">
        <v>2540</v>
      </c>
      <c r="S4" s="3169"/>
      <c r="T4" s="3168" t="s">
        <v>2541</v>
      </c>
      <c r="U4" s="3169"/>
      <c r="V4" s="3193" t="s">
        <v>2542</v>
      </c>
      <c r="W4" s="3193"/>
      <c r="X4" s="1816"/>
      <c r="Y4" s="3168" t="s">
        <v>2544</v>
      </c>
      <c r="Z4" s="3169"/>
      <c r="AA4" s="3163" t="s">
        <v>2540</v>
      </c>
      <c r="AB4" s="3163" t="s">
        <v>2541</v>
      </c>
      <c r="AC4" s="3163" t="s">
        <v>2542</v>
      </c>
    </row>
    <row r="5" spans="1:29">
      <c r="A5" s="404"/>
      <c r="B5" s="405"/>
      <c r="C5" s="3174" t="s">
        <v>2545</v>
      </c>
      <c r="D5" s="3175"/>
      <c r="E5" s="3172" t="s">
        <v>2546</v>
      </c>
      <c r="F5" s="3173"/>
      <c r="G5" s="3174" t="s">
        <v>2547</v>
      </c>
      <c r="H5" s="3175"/>
      <c r="I5" s="3174" t="s">
        <v>2548</v>
      </c>
      <c r="J5" s="3175"/>
      <c r="K5" s="2604"/>
      <c r="L5" s="1133"/>
      <c r="M5" s="1134"/>
      <c r="N5" s="1134"/>
      <c r="O5" s="1134"/>
      <c r="P5" s="3187"/>
      <c r="Q5" s="3188"/>
      <c r="R5" s="3170"/>
      <c r="S5" s="3171"/>
      <c r="T5" s="3170"/>
      <c r="U5" s="3171"/>
      <c r="V5" s="3193"/>
      <c r="W5" s="3193"/>
      <c r="X5" s="1816"/>
      <c r="Y5" s="3170"/>
      <c r="Z5" s="3171"/>
      <c r="AA5" s="3164"/>
      <c r="AB5" s="3164"/>
      <c r="AC5" s="3164"/>
    </row>
    <row r="6" spans="1:29" ht="15" thickBot="1">
      <c r="A6" s="406"/>
      <c r="B6" s="407"/>
      <c r="C6" s="3176" t="s">
        <v>2549</v>
      </c>
      <c r="D6" s="3177"/>
      <c r="E6" s="3178" t="s">
        <v>2549</v>
      </c>
      <c r="F6" s="3179"/>
      <c r="G6" s="3176" t="s">
        <v>2549</v>
      </c>
      <c r="H6" s="3177"/>
      <c r="I6" s="3176" t="s">
        <v>2549</v>
      </c>
      <c r="J6" s="3177"/>
      <c r="K6" s="2604" t="s">
        <v>2550</v>
      </c>
      <c r="L6" s="1133"/>
      <c r="M6" s="1134"/>
      <c r="N6" s="1134"/>
      <c r="O6" s="1134"/>
      <c r="P6" s="3189"/>
      <c r="Q6" s="3190"/>
      <c r="R6" s="3170"/>
      <c r="S6" s="3171"/>
      <c r="T6" s="3191"/>
      <c r="U6" s="3192"/>
      <c r="V6" s="3193"/>
      <c r="W6" s="3193"/>
      <c r="X6" s="1816"/>
      <c r="Y6" s="3191"/>
      <c r="Z6" s="3192"/>
      <c r="AA6" s="3165"/>
      <c r="AB6" s="3165"/>
      <c r="AC6" s="3165"/>
    </row>
    <row r="7" spans="1:29" s="117" customFormat="1" ht="15" thickBot="1">
      <c r="A7" s="408" t="s">
        <v>2551</v>
      </c>
      <c r="B7" s="409"/>
      <c r="C7" s="410">
        <f>'数据-取费表'!B2</f>
        <v>0</v>
      </c>
      <c r="D7" s="411">
        <v>100</v>
      </c>
      <c r="E7" s="412"/>
      <c r="F7" s="413">
        <f>SUMIF(58:58,YEAR(E7)&amp;"-"&amp;MONTH(E7),59:59)</f>
        <v>100</v>
      </c>
      <c r="G7" s="412"/>
      <c r="H7" s="411">
        <f>SUMIF(58:58,YEAR(G7)&amp;"-"&amp;MONTH(G7),59:59)</f>
        <v>100</v>
      </c>
      <c r="I7" s="412"/>
      <c r="J7" s="411">
        <f>SUMIF(58:58,YEAR(I7)&amp;"-"&amp;MONTH(I7),59:59)</f>
        <v>100</v>
      </c>
      <c r="K7" s="2605"/>
      <c r="L7" s="1135"/>
      <c r="M7" s="1136"/>
      <c r="N7" s="1136"/>
      <c r="O7" s="1136"/>
      <c r="P7" s="3166" t="s">
        <v>2552</v>
      </c>
      <c r="Q7" s="3194"/>
      <c r="R7" s="770" t="s">
        <v>23</v>
      </c>
      <c r="S7" s="771">
        <f t="shared" ref="S7:S15" si="0">F7</f>
        <v>100</v>
      </c>
      <c r="T7" s="770" t="s">
        <v>23</v>
      </c>
      <c r="U7" s="771">
        <f t="shared" ref="U7:U15" si="1">H7</f>
        <v>100</v>
      </c>
      <c r="V7" s="770" t="s">
        <v>23</v>
      </c>
      <c r="W7" s="771">
        <f t="shared" ref="W7:W15" si="2">J7</f>
        <v>100</v>
      </c>
      <c r="X7" s="772"/>
      <c r="Y7" s="3166" t="s">
        <v>2552</v>
      </c>
      <c r="Z7" s="3167"/>
      <c r="AA7" s="773">
        <f>D7/F7</f>
        <v>1</v>
      </c>
      <c r="AB7" s="773">
        <f>D7/H7</f>
        <v>1</v>
      </c>
      <c r="AC7" s="773">
        <f>D7/J7</f>
        <v>1</v>
      </c>
    </row>
    <row r="8" spans="1:29" s="117" customFormat="1" ht="1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6" t="s">
        <v>2555</v>
      </c>
      <c r="Q8" s="3167"/>
      <c r="R8" s="770" t="s">
        <v>23</v>
      </c>
      <c r="S8" s="771">
        <f t="shared" si="0"/>
        <v>0</v>
      </c>
      <c r="T8" s="770" t="s">
        <v>23</v>
      </c>
      <c r="U8" s="771">
        <f t="shared" si="1"/>
        <v>0</v>
      </c>
      <c r="V8" s="770" t="s">
        <v>23</v>
      </c>
      <c r="W8" s="771">
        <f t="shared" si="2"/>
        <v>0</v>
      </c>
      <c r="X8" s="772"/>
      <c r="Y8" s="3166" t="s">
        <v>2555</v>
      </c>
      <c r="Z8" s="3167"/>
      <c r="AA8" s="773" t="e">
        <f t="shared" ref="AA8:AA19" si="3">D8/F8</f>
        <v>#DIV/0!</v>
      </c>
      <c r="AB8" s="773" t="e">
        <f t="shared" ref="AB8:AB19" si="4">D8/H8</f>
        <v>#DIV/0!</v>
      </c>
      <c r="AC8" s="773" t="e">
        <f t="shared" ref="AC8:AC19" si="5">D8/J8</f>
        <v>#DIV/0!</v>
      </c>
    </row>
    <row r="9" spans="1:29" s="117" customFormat="1" ht="14.4">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0"/>
      <c r="Q11" s="1798"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0"/>
      <c r="Q12" s="1798">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0"/>
      <c r="Q13" s="1798">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6"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0"/>
      <c r="Q14" s="1798">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6.6">
      <c r="A15" s="440" t="s">
        <v>2562</v>
      </c>
      <c r="B15" s="69" t="s">
        <v>2086</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7" t="s">
        <v>2563</v>
      </c>
      <c r="Q15" s="1813" t="str">
        <f t="shared" si="6"/>
        <v>居住社区成熟度</v>
      </c>
      <c r="R15" s="774" t="s">
        <v>21</v>
      </c>
      <c r="S15" s="775">
        <f t="shared" si="0"/>
        <v>100</v>
      </c>
      <c r="T15" s="774" t="s">
        <v>21</v>
      </c>
      <c r="U15" s="775">
        <f t="shared" si="1"/>
        <v>100</v>
      </c>
      <c r="V15" s="774" t="s">
        <v>21</v>
      </c>
      <c r="W15" s="775">
        <f t="shared" si="2"/>
        <v>100</v>
      </c>
      <c r="X15" s="1816"/>
      <c r="Y15" s="3200"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8"/>
      <c r="Q16" s="1813"/>
      <c r="R16" s="774"/>
      <c r="S16" s="775"/>
      <c r="T16" s="774"/>
      <c r="U16" s="775"/>
      <c r="V16" s="774"/>
      <c r="W16" s="775"/>
      <c r="X16" s="1816"/>
      <c r="Y16" s="3201"/>
      <c r="Z16" s="1817"/>
      <c r="AA16" s="1814">
        <v>1</v>
      </c>
      <c r="AB16" s="1814">
        <v>1</v>
      </c>
      <c r="AC16" s="1814">
        <v>1</v>
      </c>
    </row>
    <row r="17" spans="1:29" ht="82.8">
      <c r="A17" s="428"/>
      <c r="B17" s="451" t="s">
        <v>2098</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8"/>
      <c r="Q17" s="1813" t="str">
        <f>B17</f>
        <v>交通便捷度</v>
      </c>
      <c r="R17" s="774" t="s">
        <v>21</v>
      </c>
      <c r="S17" s="775">
        <f>F17</f>
        <v>100</v>
      </c>
      <c r="T17" s="774" t="s">
        <v>21</v>
      </c>
      <c r="U17" s="775">
        <f>H17</f>
        <v>100</v>
      </c>
      <c r="V17" s="774" t="s">
        <v>21</v>
      </c>
      <c r="W17" s="775">
        <f>J17</f>
        <v>100</v>
      </c>
      <c r="X17" s="1816"/>
      <c r="Y17" s="3201"/>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8"/>
      <c r="Q18" s="1813"/>
      <c r="R18" s="774"/>
      <c r="S18" s="775"/>
      <c r="T18" s="774"/>
      <c r="U18" s="775"/>
      <c r="V18" s="774"/>
      <c r="W18" s="775"/>
      <c r="X18" s="1816"/>
      <c r="Y18" s="3201"/>
      <c r="Z18" s="1817"/>
      <c r="AA18" s="1814">
        <v>1</v>
      </c>
      <c r="AB18" s="1814">
        <v>1</v>
      </c>
      <c r="AC18" s="1814">
        <v>1</v>
      </c>
    </row>
    <row r="19" spans="1:29" ht="41.4">
      <c r="A19" s="428"/>
      <c r="B19" s="451" t="s">
        <v>2096</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8"/>
      <c r="Q19" s="1813" t="str">
        <f>B19</f>
        <v>公共配套设施</v>
      </c>
      <c r="R19" s="774" t="s">
        <v>21</v>
      </c>
      <c r="S19" s="775">
        <f>F19</f>
        <v>100</v>
      </c>
      <c r="T19" s="774" t="s">
        <v>21</v>
      </c>
      <c r="U19" s="775">
        <f>H19</f>
        <v>100</v>
      </c>
      <c r="V19" s="774" t="s">
        <v>21</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8"/>
      <c r="Q20" s="1813"/>
      <c r="R20" s="774"/>
      <c r="S20" s="775"/>
      <c r="T20" s="774"/>
      <c r="U20" s="775"/>
      <c r="V20" s="774"/>
      <c r="W20" s="775"/>
      <c r="X20" s="1816"/>
      <c r="Y20" s="3201"/>
      <c r="Z20" s="1817"/>
      <c r="AA20" s="1814">
        <v>1</v>
      </c>
      <c r="AB20" s="1814">
        <v>1</v>
      </c>
      <c r="AC20" s="1814">
        <v>1</v>
      </c>
    </row>
    <row r="21" spans="1:29" ht="27.6">
      <c r="A21" s="428"/>
      <c r="B21" s="1387" t="s">
        <v>2099</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8"/>
      <c r="Q22" s="1813"/>
      <c r="R22" s="774"/>
      <c r="S22" s="775"/>
      <c r="T22" s="774"/>
      <c r="U22" s="775"/>
      <c r="V22" s="774"/>
      <c r="W22" s="775"/>
      <c r="X22" s="1816"/>
      <c r="Y22" s="3201"/>
      <c r="Z22" s="1817"/>
      <c r="AA22" s="1814">
        <v>1</v>
      </c>
      <c r="AB22" s="1814">
        <v>1</v>
      </c>
      <c r="AC22" s="1814">
        <v>1</v>
      </c>
    </row>
    <row r="23" spans="1:29" ht="55.2">
      <c r="A23" s="428"/>
      <c r="B23" s="451" t="s">
        <v>2103</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8"/>
      <c r="Q23" s="1813" t="str">
        <f>B23</f>
        <v>自然及人文环境</v>
      </c>
      <c r="R23" s="774" t="s">
        <v>21</v>
      </c>
      <c r="S23" s="775">
        <f>F23</f>
        <v>100</v>
      </c>
      <c r="T23" s="774" t="s">
        <v>21</v>
      </c>
      <c r="U23" s="775">
        <f>H23</f>
        <v>100</v>
      </c>
      <c r="V23" s="774" t="s">
        <v>21</v>
      </c>
      <c r="W23" s="775">
        <f>J23</f>
        <v>100</v>
      </c>
      <c r="X23" s="1816"/>
      <c r="Y23" s="3201"/>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8"/>
      <c r="Q24" s="1813"/>
      <c r="R24" s="774"/>
      <c r="S24" s="775"/>
      <c r="T24" s="774"/>
      <c r="U24" s="775"/>
      <c r="V24" s="774"/>
      <c r="W24" s="775"/>
      <c r="X24" s="1816"/>
      <c r="Y24" s="3201"/>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1"/>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8"/>
      <c r="Q26" s="1813" t="str">
        <f t="shared" si="11"/>
        <v>朝向</v>
      </c>
      <c r="R26" s="774" t="s">
        <v>21</v>
      </c>
      <c r="S26" s="775">
        <f t="shared" si="12"/>
        <v>100</v>
      </c>
      <c r="T26" s="774" t="s">
        <v>21</v>
      </c>
      <c r="U26" s="775">
        <f t="shared" si="13"/>
        <v>100</v>
      </c>
      <c r="V26" s="774" t="s">
        <v>21</v>
      </c>
      <c r="W26" s="775">
        <f t="shared" si="14"/>
        <v>100</v>
      </c>
      <c r="X26" s="1816"/>
      <c r="Y26" s="320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8"/>
      <c r="Q27" s="1798">
        <f t="shared" si="11"/>
        <v>111</v>
      </c>
      <c r="R27" s="770" t="s">
        <v>21</v>
      </c>
      <c r="S27" s="771">
        <f t="shared" si="12"/>
        <v>100</v>
      </c>
      <c r="T27" s="770" t="s">
        <v>21</v>
      </c>
      <c r="U27" s="771">
        <f t="shared" si="13"/>
        <v>100</v>
      </c>
      <c r="V27" s="770" t="s">
        <v>21</v>
      </c>
      <c r="W27" s="771">
        <f t="shared" si="14"/>
        <v>100</v>
      </c>
      <c r="X27" s="772"/>
      <c r="Y27" s="320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8"/>
      <c r="Q28" s="1813">
        <f t="shared" si="11"/>
        <v>111</v>
      </c>
      <c r="R28" s="774" t="s">
        <v>21</v>
      </c>
      <c r="S28" s="775">
        <f t="shared" si="12"/>
        <v>100</v>
      </c>
      <c r="T28" s="774" t="s">
        <v>21</v>
      </c>
      <c r="U28" s="775">
        <f t="shared" si="13"/>
        <v>100</v>
      </c>
      <c r="V28" s="774" t="s">
        <v>21</v>
      </c>
      <c r="W28" s="775">
        <f t="shared" si="14"/>
        <v>100</v>
      </c>
      <c r="X28" s="1816"/>
      <c r="Y28" s="320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8"/>
      <c r="Q29" s="1813">
        <f t="shared" si="11"/>
        <v>111</v>
      </c>
      <c r="R29" s="774" t="s">
        <v>21</v>
      </c>
      <c r="S29" s="775">
        <f t="shared" si="12"/>
        <v>100</v>
      </c>
      <c r="T29" s="774" t="s">
        <v>21</v>
      </c>
      <c r="U29" s="775">
        <f t="shared" si="13"/>
        <v>100</v>
      </c>
      <c r="V29" s="774" t="s">
        <v>21</v>
      </c>
      <c r="W29" s="775">
        <f t="shared" si="14"/>
        <v>100</v>
      </c>
      <c r="X29" s="1816"/>
      <c r="Y29" s="320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8"/>
      <c r="Q30" s="1813">
        <f t="shared" si="11"/>
        <v>111</v>
      </c>
      <c r="R30" s="774" t="s">
        <v>21</v>
      </c>
      <c r="S30" s="775">
        <f t="shared" si="12"/>
        <v>100</v>
      </c>
      <c r="T30" s="774" t="s">
        <v>21</v>
      </c>
      <c r="U30" s="775">
        <f t="shared" si="13"/>
        <v>100</v>
      </c>
      <c r="V30" s="774" t="s">
        <v>21</v>
      </c>
      <c r="W30" s="775">
        <f t="shared" si="14"/>
        <v>100</v>
      </c>
      <c r="X30" s="1816"/>
      <c r="Y30" s="3201"/>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8"/>
      <c r="Q31" s="1813">
        <f t="shared" si="11"/>
        <v>111</v>
      </c>
      <c r="R31" s="774" t="s">
        <v>21</v>
      </c>
      <c r="S31" s="775">
        <f t="shared" si="12"/>
        <v>100</v>
      </c>
      <c r="T31" s="774" t="s">
        <v>21</v>
      </c>
      <c r="U31" s="775">
        <f t="shared" si="13"/>
        <v>100</v>
      </c>
      <c r="V31" s="774" t="s">
        <v>21</v>
      </c>
      <c r="W31" s="775">
        <f t="shared" si="14"/>
        <v>100</v>
      </c>
      <c r="X31" s="1816"/>
      <c r="Y31" s="3201"/>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2" t="s">
        <v>2568</v>
      </c>
      <c r="Q32" s="1813" t="str">
        <f t="shared" si="11"/>
        <v>建筑类型</v>
      </c>
      <c r="R32" s="774" t="s">
        <v>21</v>
      </c>
      <c r="S32" s="775">
        <f t="shared" si="12"/>
        <v>100</v>
      </c>
      <c r="T32" s="774" t="s">
        <v>21</v>
      </c>
      <c r="U32" s="775">
        <f t="shared" si="13"/>
        <v>100</v>
      </c>
      <c r="V32" s="774" t="s">
        <v>21</v>
      </c>
      <c r="W32" s="775">
        <f t="shared" si="14"/>
        <v>100</v>
      </c>
      <c r="X32" s="1816"/>
      <c r="Y32" s="3205"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3"/>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3"/>
      <c r="Q34" s="1813" t="str">
        <f t="shared" si="11"/>
        <v>建筑结构</v>
      </c>
      <c r="R34" s="774" t="s">
        <v>21</v>
      </c>
      <c r="S34" s="775">
        <f t="shared" si="12"/>
        <v>100</v>
      </c>
      <c r="T34" s="774" t="s">
        <v>21</v>
      </c>
      <c r="U34" s="775">
        <f t="shared" si="13"/>
        <v>100</v>
      </c>
      <c r="V34" s="774" t="s">
        <v>21</v>
      </c>
      <c r="W34" s="775">
        <f t="shared" si="14"/>
        <v>100</v>
      </c>
      <c r="X34" s="1816"/>
      <c r="Y34" s="3205"/>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3"/>
      <c r="Q35" s="1813" t="str">
        <f t="shared" si="11"/>
        <v>建筑品质</v>
      </c>
      <c r="R35" s="774" t="s">
        <v>21</v>
      </c>
      <c r="S35" s="775">
        <f t="shared" si="12"/>
        <v>100</v>
      </c>
      <c r="T35" s="774" t="s">
        <v>21</v>
      </c>
      <c r="U35" s="775">
        <f t="shared" si="13"/>
        <v>100</v>
      </c>
      <c r="V35" s="774" t="s">
        <v>21</v>
      </c>
      <c r="W35" s="775">
        <f t="shared" si="14"/>
        <v>100</v>
      </c>
      <c r="X35" s="1816"/>
      <c r="Y35" s="3205"/>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3"/>
      <c r="Q36" s="1813" t="str">
        <f t="shared" si="11"/>
        <v>公共部分装修</v>
      </c>
      <c r="R36" s="774" t="s">
        <v>21</v>
      </c>
      <c r="S36" s="775">
        <f t="shared" si="12"/>
        <v>100</v>
      </c>
      <c r="T36" s="774" t="s">
        <v>21</v>
      </c>
      <c r="U36" s="775">
        <f t="shared" si="13"/>
        <v>100</v>
      </c>
      <c r="V36" s="774" t="s">
        <v>21</v>
      </c>
      <c r="W36" s="775">
        <f t="shared" si="14"/>
        <v>100</v>
      </c>
      <c r="X36" s="1816"/>
      <c r="Y36" s="3205"/>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3"/>
      <c r="Q37" s="1798"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3" t="s">
        <v>2568</v>
      </c>
      <c r="Q38" s="1813" t="str">
        <f t="shared" si="11"/>
        <v>物业管理</v>
      </c>
      <c r="R38" s="774" t="s">
        <v>21</v>
      </c>
      <c r="S38" s="775">
        <f t="shared" si="12"/>
        <v>100</v>
      </c>
      <c r="T38" s="774" t="s">
        <v>21</v>
      </c>
      <c r="U38" s="775">
        <f t="shared" si="13"/>
        <v>100</v>
      </c>
      <c r="V38" s="774" t="s">
        <v>21</v>
      </c>
      <c r="W38" s="775">
        <f t="shared" si="14"/>
        <v>100</v>
      </c>
      <c r="X38" s="1816"/>
      <c r="Y38" s="3205"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3"/>
      <c r="Q39" s="1813" t="str">
        <f t="shared" si="11"/>
        <v>市政基础设施</v>
      </c>
      <c r="R39" s="774" t="s">
        <v>21</v>
      </c>
      <c r="S39" s="775">
        <f t="shared" si="12"/>
        <v>100</v>
      </c>
      <c r="T39" s="774" t="s">
        <v>21</v>
      </c>
      <c r="U39" s="775">
        <f t="shared" si="13"/>
        <v>100</v>
      </c>
      <c r="V39" s="774" t="s">
        <v>21</v>
      </c>
      <c r="W39" s="775">
        <f t="shared" si="14"/>
        <v>100</v>
      </c>
      <c r="X39" s="1816"/>
      <c r="Y39" s="3205"/>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3"/>
      <c r="Q40" s="1813" t="str">
        <f t="shared" si="11"/>
        <v>房型</v>
      </c>
      <c r="R40" s="774" t="s">
        <v>21</v>
      </c>
      <c r="S40" s="775">
        <f t="shared" si="12"/>
        <v>100</v>
      </c>
      <c r="T40" s="774" t="s">
        <v>21</v>
      </c>
      <c r="U40" s="775">
        <f t="shared" si="13"/>
        <v>100</v>
      </c>
      <c r="V40" s="774" t="s">
        <v>21</v>
      </c>
      <c r="W40" s="775">
        <f t="shared" si="14"/>
        <v>100</v>
      </c>
      <c r="X40" s="1816"/>
      <c r="Y40" s="3205"/>
      <c r="Z40" s="1817" t="str">
        <f t="shared" si="18"/>
        <v>房型</v>
      </c>
      <c r="AA40" s="1814">
        <f t="shared" si="15"/>
        <v>1</v>
      </c>
      <c r="AB40" s="1814">
        <f t="shared" si="16"/>
        <v>1</v>
      </c>
      <c r="AC40" s="1814">
        <f t="shared" si="17"/>
        <v>1</v>
      </c>
    </row>
    <row r="41" spans="1:29" s="471" customFormat="1" ht="28.8">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3"/>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3"/>
      <c r="Q42" s="1813" t="str">
        <f t="shared" si="11"/>
        <v>内部装修</v>
      </c>
      <c r="R42" s="774" t="s">
        <v>21</v>
      </c>
      <c r="S42" s="775">
        <f t="shared" si="12"/>
        <v>100</v>
      </c>
      <c r="T42" s="774" t="s">
        <v>21</v>
      </c>
      <c r="U42" s="775">
        <f t="shared" si="13"/>
        <v>100</v>
      </c>
      <c r="V42" s="774" t="s">
        <v>21</v>
      </c>
      <c r="W42" s="775">
        <f t="shared" si="14"/>
        <v>100</v>
      </c>
      <c r="X42" s="1816"/>
      <c r="Y42" s="3205"/>
      <c r="Z42" s="1817" t="str">
        <f t="shared" si="18"/>
        <v>内部装修</v>
      </c>
      <c r="AA42" s="1814">
        <f t="shared" si="15"/>
        <v>1</v>
      </c>
      <c r="AB42" s="1814">
        <f t="shared" si="16"/>
        <v>1</v>
      </c>
      <c r="AC42" s="1814">
        <f t="shared" si="17"/>
        <v>1</v>
      </c>
    </row>
    <row r="43" spans="1:29" ht="28.8">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3"/>
      <c r="Q43" s="1813" t="str">
        <f t="shared" si="11"/>
        <v>内部装修维护情况</v>
      </c>
      <c r="R43" s="774" t="s">
        <v>21</v>
      </c>
      <c r="S43" s="775">
        <f t="shared" si="12"/>
        <v>100</v>
      </c>
      <c r="T43" s="774" t="s">
        <v>21</v>
      </c>
      <c r="U43" s="775">
        <f t="shared" si="13"/>
        <v>100</v>
      </c>
      <c r="V43" s="774" t="s">
        <v>21</v>
      </c>
      <c r="W43" s="775">
        <f t="shared" si="14"/>
        <v>100</v>
      </c>
      <c r="X43" s="1816"/>
      <c r="Y43" s="320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3"/>
      <c r="Q44" s="1798">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3"/>
      <c r="Q45" s="1813">
        <f t="shared" si="11"/>
        <v>111</v>
      </c>
      <c r="R45" s="774" t="s">
        <v>21</v>
      </c>
      <c r="S45" s="775">
        <f t="shared" si="12"/>
        <v>100</v>
      </c>
      <c r="T45" s="774" t="s">
        <v>21</v>
      </c>
      <c r="U45" s="775">
        <f t="shared" si="13"/>
        <v>100</v>
      </c>
      <c r="V45" s="774" t="s">
        <v>21</v>
      </c>
      <c r="W45" s="775">
        <f t="shared" si="14"/>
        <v>100</v>
      </c>
      <c r="X45" s="1816"/>
      <c r="Y45" s="3205"/>
      <c r="Z45" s="1817">
        <f t="shared" si="18"/>
        <v>111</v>
      </c>
      <c r="AA45" s="1814">
        <f t="shared" si="15"/>
        <v>1</v>
      </c>
      <c r="AB45" s="1814">
        <f t="shared" si="16"/>
        <v>1</v>
      </c>
      <c r="AC45" s="1814">
        <f t="shared" si="17"/>
        <v>1</v>
      </c>
    </row>
    <row r="46" spans="1:29" ht="15.6"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4"/>
      <c r="Q46" s="1813">
        <f t="shared" si="11"/>
        <v>111</v>
      </c>
      <c r="R46" s="774" t="s">
        <v>20</v>
      </c>
      <c r="S46" s="775">
        <f t="shared" si="12"/>
        <v>100</v>
      </c>
      <c r="T46" s="774" t="s">
        <v>20</v>
      </c>
      <c r="U46" s="775">
        <f t="shared" si="13"/>
        <v>100</v>
      </c>
      <c r="V46" s="774" t="s">
        <v>20</v>
      </c>
      <c r="W46" s="775">
        <f t="shared" si="14"/>
        <v>100</v>
      </c>
      <c r="X46" s="1816"/>
      <c r="Y46" s="3206"/>
      <c r="Z46" s="1817">
        <f t="shared" si="18"/>
        <v>111</v>
      </c>
      <c r="AA46" s="1814">
        <f t="shared" si="15"/>
        <v>1</v>
      </c>
      <c r="AB46" s="1814">
        <f t="shared" si="16"/>
        <v>1</v>
      </c>
      <c r="AC46" s="1814">
        <f t="shared" si="17"/>
        <v>1</v>
      </c>
    </row>
    <row r="47" spans="1:29" ht="14.4">
      <c r="A47" s="479" t="s">
        <v>2580</v>
      </c>
      <c r="B47" s="480"/>
      <c r="C47" s="1410" t="s">
        <v>19</v>
      </c>
      <c r="D47" s="1411"/>
      <c r="E47" s="1412"/>
      <c r="F47" s="1413"/>
      <c r="G47" s="1414"/>
      <c r="H47" s="1415"/>
      <c r="I47" s="1412"/>
      <c r="J47" s="1415"/>
      <c r="K47" s="2628"/>
      <c r="L47" s="1146"/>
      <c r="M47" s="1147"/>
      <c r="N47" s="1134"/>
      <c r="O47" s="1147"/>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 thickBot="1">
      <c r="A49" s="492" t="s">
        <v>2582</v>
      </c>
      <c r="B49" s="493"/>
      <c r="C49" s="1419" t="e">
        <f>R49</f>
        <v>#DIV/0!</v>
      </c>
      <c r="D49" s="1420"/>
      <c r="E49" s="1420"/>
      <c r="F49" s="1420"/>
      <c r="G49" s="1420"/>
      <c r="H49" s="1420"/>
      <c r="I49" s="1420"/>
      <c r="J49" s="1420"/>
      <c r="K49" s="2630"/>
      <c r="L49" s="1146"/>
      <c r="M49" s="1147"/>
      <c r="N49" s="1147"/>
      <c r="O49" s="1147"/>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2.2" thickBot="1">
      <c r="A57" s="763" t="s">
        <v>2586</v>
      </c>
      <c r="B57" s="759"/>
      <c r="C57" s="764"/>
      <c r="D57" s="764"/>
      <c r="E57" s="764"/>
      <c r="F57" s="765"/>
      <c r="G57" s="765"/>
      <c r="H57" s="764"/>
      <c r="I57" s="764"/>
      <c r="J57" s="764"/>
      <c r="K57" s="1163"/>
      <c r="L57" s="1164"/>
      <c r="M57" s="1162"/>
      <c r="N57" s="1162"/>
      <c r="O57" s="1162"/>
      <c r="P57" s="2633"/>
      <c r="Q57" s="504"/>
    </row>
    <row r="58" spans="1:29" s="508" customFormat="1" ht="14.4">
      <c r="A58" s="505" t="s">
        <v>2587</v>
      </c>
      <c r="B58" s="506"/>
      <c r="C58" s="1579" t="str">
        <f>YEAR(C7)&amp;"-"&amp;MONTH(C7)</f>
        <v>1900-1</v>
      </c>
      <c r="D58" s="1578" t="e">
        <f>EDATE(C58,-1)</f>
        <v>#NUM!</v>
      </c>
      <c r="E58" s="1578" t="e">
        <f>EDATE(D58,-1)</f>
        <v>#NUM!</v>
      </c>
      <c r="F58" s="1578" t="e">
        <f t="shared" ref="F58:O58" si="19">EDATE(E58,-1)</f>
        <v>#NUM!</v>
      </c>
      <c r="G58" s="1578" t="e">
        <f t="shared" si="19"/>
        <v>#NUM!</v>
      </c>
      <c r="H58" s="1578" t="e">
        <f t="shared" si="19"/>
        <v>#NUM!</v>
      </c>
      <c r="I58" s="1578" t="e">
        <f t="shared" si="19"/>
        <v>#NUM!</v>
      </c>
      <c r="J58" s="1578" t="e">
        <f t="shared" si="19"/>
        <v>#NUM!</v>
      </c>
      <c r="K58" s="1578" t="e">
        <f t="shared" si="19"/>
        <v>#NUM!</v>
      </c>
      <c r="L58" s="1578" t="e">
        <f t="shared" si="19"/>
        <v>#NUM!</v>
      </c>
      <c r="M58" s="1578" t="e">
        <f t="shared" si="19"/>
        <v>#NUM!</v>
      </c>
      <c r="N58" s="1578" t="e">
        <f t="shared" si="19"/>
        <v>#NUM!</v>
      </c>
      <c r="O58" s="1578" t="e">
        <f t="shared" si="19"/>
        <v>#NUM!</v>
      </c>
      <c r="P58" s="1573"/>
    </row>
    <row r="59" spans="1:29" s="117" customFormat="1">
      <c r="A59" s="509"/>
      <c r="B59" s="2634"/>
      <c r="C59" s="1576">
        <v>100</v>
      </c>
      <c r="D59" s="511"/>
      <c r="E59" s="512"/>
      <c r="F59" s="512"/>
      <c r="G59" s="512"/>
      <c r="H59" s="512"/>
      <c r="I59" s="512"/>
      <c r="J59" s="512"/>
      <c r="K59" s="512"/>
      <c r="L59" s="512"/>
      <c r="M59" s="513"/>
      <c r="N59" s="512"/>
      <c r="O59" s="513"/>
      <c r="P59" s="2635"/>
    </row>
    <row r="60" spans="1:29" s="117" customFormat="1" ht="15" thickBot="1">
      <c r="A60" s="515" t="s">
        <v>2588</v>
      </c>
      <c r="B60" s="516"/>
      <c r="C60" s="517"/>
      <c r="D60" s="518"/>
      <c r="E60" s="518"/>
      <c r="F60" s="518"/>
      <c r="G60" s="518"/>
      <c r="H60" s="518"/>
      <c r="I60" s="518"/>
      <c r="J60" s="518"/>
      <c r="K60" s="518"/>
      <c r="L60" s="518"/>
      <c r="M60" s="519"/>
      <c r="N60" s="518"/>
      <c r="O60" s="519"/>
      <c r="P60" s="2635"/>
      <c r="Q60" s="504"/>
    </row>
    <row r="61" spans="1:29" s="117" customFormat="1" ht="14.4">
      <c r="A61" s="521" t="s">
        <v>2589</v>
      </c>
      <c r="B61" s="510"/>
      <c r="C61" s="522" t="s">
        <v>2590</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2591</v>
      </c>
      <c r="B63" s="528" t="s">
        <v>2557</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60"/>
      <c r="E73" s="560"/>
      <c r="F73" s="560"/>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2099</v>
      </c>
      <c r="C82" s="539" t="s">
        <v>2607</v>
      </c>
      <c r="D82" s="539" t="s">
        <v>2608</v>
      </c>
      <c r="E82" s="539" t="s">
        <v>2609</v>
      </c>
      <c r="F82" s="539" t="s">
        <v>2610</v>
      </c>
      <c r="G82" s="539" t="s">
        <v>2611</v>
      </c>
      <c r="H82" s="539"/>
      <c r="I82" s="539"/>
      <c r="J82" s="539"/>
      <c r="K82" s="539"/>
      <c r="L82" s="539"/>
      <c r="M82" s="1385"/>
      <c r="N82" s="1156"/>
      <c r="O82" s="1156"/>
      <c r="P82" s="263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2613</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 thickTop="1">
      <c r="A88" s="579"/>
      <c r="B88" s="538" t="s">
        <v>2614</v>
      </c>
      <c r="C88" s="554"/>
      <c r="D88" s="554"/>
      <c r="E88" s="554"/>
      <c r="F88" s="2642"/>
      <c r="G88" s="554"/>
      <c r="H88" s="554"/>
      <c r="I88" s="554"/>
      <c r="J88" s="554"/>
      <c r="K88" s="554"/>
      <c r="L88" s="554"/>
      <c r="M88" s="581"/>
      <c r="N88" s="1154"/>
      <c r="O88" s="1154"/>
      <c r="P88" s="263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4.4" thickTop="1">
      <c r="A90" s="553"/>
      <c r="B90" s="538">
        <f>B27</f>
        <v>111</v>
      </c>
      <c r="C90" s="554"/>
      <c r="D90" s="554"/>
      <c r="E90" s="554"/>
      <c r="F90" s="554"/>
      <c r="G90" s="554"/>
      <c r="H90" s="555"/>
      <c r="I90" s="555"/>
      <c r="J90" s="555"/>
      <c r="K90" s="555"/>
      <c r="L90" s="556"/>
      <c r="M90" s="557"/>
      <c r="N90" s="1157"/>
      <c r="O90" s="1157"/>
      <c r="P90" s="2638"/>
      <c r="Q90" s="559"/>
    </row>
    <row r="91" spans="1:17" s="471" customFormat="1" ht="14.4" thickBot="1">
      <c r="A91" s="553"/>
      <c r="B91" s="543"/>
      <c r="C91" s="560"/>
      <c r="D91" s="560"/>
      <c r="E91" s="560"/>
      <c r="F91" s="560"/>
      <c r="G91" s="560"/>
      <c r="H91" s="562"/>
      <c r="I91" s="562"/>
      <c r="J91" s="562"/>
      <c r="K91" s="562"/>
      <c r="L91" s="562"/>
      <c r="M91" s="563"/>
      <c r="N91" s="1157"/>
      <c r="O91" s="1157"/>
      <c r="P91" s="2638"/>
      <c r="Q91" s="559"/>
    </row>
    <row r="92" spans="1:17" ht="14.4" thickTop="1">
      <c r="A92" s="534"/>
      <c r="B92" s="538">
        <f>B28</f>
        <v>111</v>
      </c>
      <c r="C92" s="554"/>
      <c r="D92" s="554"/>
      <c r="E92" s="554"/>
      <c r="F92" s="554"/>
      <c r="G92" s="583"/>
      <c r="H92" s="583"/>
      <c r="I92" s="583"/>
      <c r="J92" s="583"/>
      <c r="K92" s="584"/>
      <c r="L92" s="585"/>
      <c r="M92" s="586"/>
      <c r="N92" s="1155"/>
      <c r="O92" s="1155"/>
      <c r="P92" s="2637"/>
      <c r="Q92" s="504"/>
    </row>
    <row r="93" spans="1:17" ht="14.4" thickBot="1">
      <c r="A93" s="534"/>
      <c r="B93" s="543"/>
      <c r="C93" s="560"/>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60"/>
      <c r="E95" s="560"/>
      <c r="F95" s="560"/>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70"/>
      <c r="D97" s="570"/>
      <c r="E97" s="570"/>
      <c r="F97" s="570"/>
      <c r="G97" s="536"/>
      <c r="H97" s="536"/>
      <c r="I97" s="536"/>
      <c r="J97" s="536"/>
      <c r="K97" s="536"/>
      <c r="L97" s="536"/>
      <c r="M97" s="537"/>
      <c r="N97" s="1156"/>
      <c r="O97" s="1156"/>
      <c r="P97" s="2637"/>
      <c r="Q97" s="504"/>
    </row>
    <row r="98" spans="1:17" ht="14.4" thickTop="1">
      <c r="A98" s="534"/>
      <c r="B98" s="546">
        <f>B31</f>
        <v>111</v>
      </c>
      <c r="C98" s="587"/>
      <c r="D98" s="587"/>
      <c r="E98" s="587"/>
      <c r="F98" s="587"/>
      <c r="G98" s="587"/>
      <c r="H98" s="587"/>
      <c r="I98" s="587"/>
      <c r="J98" s="587"/>
      <c r="K98" s="588"/>
      <c r="L98" s="589"/>
      <c r="M98" s="590"/>
      <c r="N98" s="1155"/>
      <c r="O98" s="1155"/>
      <c r="P98" s="2637"/>
      <c r="Q98" s="504"/>
    </row>
    <row r="99" spans="1:17" ht="14.4" thickBot="1">
      <c r="A99" s="2643"/>
      <c r="B99" s="569"/>
      <c r="C99" s="591"/>
      <c r="D99" s="591"/>
      <c r="E99" s="591"/>
      <c r="F99" s="591"/>
      <c r="G99" s="591"/>
      <c r="H99" s="591"/>
      <c r="I99" s="591"/>
      <c r="J99" s="591"/>
      <c r="K99" s="591"/>
      <c r="L99" s="591"/>
      <c r="M99" s="592"/>
      <c r="N99" s="1156"/>
      <c r="O99" s="1156"/>
      <c r="P99" s="2637"/>
      <c r="Q99" s="504"/>
    </row>
    <row r="100" spans="1:17" ht="14.4">
      <c r="A100" s="527" t="s">
        <v>2566</v>
      </c>
      <c r="B100" s="528" t="s">
        <v>2615</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9.4"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60"/>
      <c r="E129" s="560"/>
      <c r="F129" s="560"/>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6.2"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ht="14.4">
      <c r="B147" s="2644" t="s">
        <v>2643</v>
      </c>
    </row>
    <row r="148" spans="2:11" ht="14.4">
      <c r="B148" s="2644"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589" t="s">
        <v>2645</v>
      </c>
      <c r="C1" s="1637" t="s">
        <v>2533</v>
      </c>
      <c r="D1" s="1624"/>
      <c r="E1" s="2664"/>
      <c r="F1" s="2591"/>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t="e">
        <f ca="1">IF(C2="——",ROUND(C49*D3/10000,0),ROUND(C49*D3/10000,0)-D2)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t="e">
        <f ca="1">IF(C2="——",C49,ROUND(B2*10000/D3,0))</f>
        <v>#DIV/0!</v>
      </c>
      <c r="C3" s="400" t="s">
        <v>2647</v>
      </c>
      <c r="D3" s="399">
        <f>IF(D1="",'数据-汇总表'!E3,SUMIF('数据-汇总表'!$C19:$C33,D1,'数据-汇总表'!$E19:$E33))</f>
        <v>0</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93" t="s">
        <v>2651</v>
      </c>
      <c r="AC4" s="3163" t="s">
        <v>2652</v>
      </c>
    </row>
    <row r="5" spans="1:29">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93"/>
      <c r="AC5" s="3164"/>
    </row>
    <row r="6" spans="1:29" ht="15" thickBot="1">
      <c r="A6" s="406"/>
      <c r="B6" s="407"/>
      <c r="C6" s="3176" t="s">
        <v>2549</v>
      </c>
      <c r="D6" s="3177"/>
      <c r="E6" s="3178" t="s">
        <v>2549</v>
      </c>
      <c r="F6" s="3179"/>
      <c r="G6" s="3176" t="s">
        <v>2549</v>
      </c>
      <c r="H6" s="3177"/>
      <c r="I6" s="3176" t="s">
        <v>2549</v>
      </c>
      <c r="J6" s="3177"/>
      <c r="K6" s="610" t="s">
        <v>2550</v>
      </c>
      <c r="L6" s="1133"/>
      <c r="M6" s="1134"/>
      <c r="N6" s="1134"/>
      <c r="O6" s="1134"/>
      <c r="P6" s="3189"/>
      <c r="Q6" s="3190"/>
      <c r="R6" s="3170"/>
      <c r="S6" s="3171"/>
      <c r="T6" s="3191"/>
      <c r="U6" s="3192"/>
      <c r="V6" s="3193"/>
      <c r="W6" s="3193"/>
      <c r="X6" s="1816"/>
      <c r="Y6" s="3191"/>
      <c r="Z6" s="3192"/>
      <c r="AA6" s="3165"/>
      <c r="AB6" s="3193"/>
      <c r="AC6" s="3165"/>
    </row>
    <row r="7" spans="1:29" s="117" customFormat="1" ht="15" thickBot="1">
      <c r="A7" s="408" t="s">
        <v>2551</v>
      </c>
      <c r="B7" s="409"/>
      <c r="C7" s="410">
        <f>'数据-取费表'!B2</f>
        <v>0</v>
      </c>
      <c r="D7" s="411">
        <v>100</v>
      </c>
      <c r="E7" s="412"/>
      <c r="F7" s="413">
        <f>SUMIF(58:58,YEAR(E7)&amp;"-"&amp;MONTH(E7),59:59)</f>
        <v>100</v>
      </c>
      <c r="G7" s="412"/>
      <c r="H7" s="411">
        <f>SUMIF(58:58,YEAR(G7)&amp;"-"&amp;MONTH(G7),59:59)</f>
        <v>100</v>
      </c>
      <c r="I7" s="412"/>
      <c r="J7" s="411">
        <f>SUMIF(58:58,YEAR(I7)&amp;"-"&amp;MONTH(I7),59:59)</f>
        <v>100</v>
      </c>
      <c r="K7" s="611"/>
      <c r="L7" s="1135"/>
      <c r="M7" s="1136"/>
      <c r="N7" s="1136"/>
      <c r="O7" s="1136"/>
      <c r="P7" s="3166" t="s">
        <v>2552</v>
      </c>
      <c r="Q7" s="3194"/>
      <c r="R7" s="770" t="s">
        <v>17</v>
      </c>
      <c r="S7" s="771">
        <f t="shared" ref="S7:S15" si="0">F7</f>
        <v>100</v>
      </c>
      <c r="T7" s="770" t="s">
        <v>17</v>
      </c>
      <c r="U7" s="771">
        <f t="shared" ref="U7:U15" si="1">H7</f>
        <v>100</v>
      </c>
      <c r="V7" s="770" t="s">
        <v>17</v>
      </c>
      <c r="W7" s="771">
        <f t="shared" ref="W7:W15" si="2">J7</f>
        <v>100</v>
      </c>
      <c r="X7" s="772"/>
      <c r="Y7" s="3166" t="s">
        <v>2552</v>
      </c>
      <c r="Z7" s="3167"/>
      <c r="AA7" s="773">
        <f>D7/F7</f>
        <v>1</v>
      </c>
      <c r="AB7" s="773">
        <f>D7/H7</f>
        <v>1</v>
      </c>
      <c r="AC7" s="773">
        <f>D7/J7</f>
        <v>1</v>
      </c>
    </row>
    <row r="8" spans="1:29" s="117" customFormat="1" ht="1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46" si="3">D8/F8</f>
        <v>#DIV/0!</v>
      </c>
      <c r="AB8" s="773" t="e">
        <f t="shared" ref="AB8:AB46" si="4">D8/H8</f>
        <v>#DIV/0!</v>
      </c>
      <c r="AC8" s="773" t="e">
        <f t="shared" ref="AC8:AC46" si="5">D8/J8</f>
        <v>#DIV/0!</v>
      </c>
    </row>
    <row r="9" spans="1:29" s="117" customFormat="1" ht="14.4">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69">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7" t="s">
        <v>2563</v>
      </c>
      <c r="Q15" s="1813" t="str">
        <f t="shared" si="6"/>
        <v>商业繁华度</v>
      </c>
      <c r="R15" s="774" t="s">
        <v>17</v>
      </c>
      <c r="S15" s="775">
        <f t="shared" si="0"/>
        <v>100</v>
      </c>
      <c r="T15" s="774" t="s">
        <v>17</v>
      </c>
      <c r="U15" s="775">
        <f t="shared" si="1"/>
        <v>100</v>
      </c>
      <c r="V15" s="774" t="s">
        <v>17</v>
      </c>
      <c r="W15" s="775">
        <f t="shared" si="2"/>
        <v>100</v>
      </c>
      <c r="X15" s="1816"/>
      <c r="Y15" s="3200"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8"/>
      <c r="Q16" s="1813"/>
      <c r="R16" s="774"/>
      <c r="S16" s="775"/>
      <c r="T16" s="774"/>
      <c r="U16" s="775"/>
      <c r="V16" s="774"/>
      <c r="W16" s="775"/>
      <c r="X16" s="1816"/>
      <c r="Y16" s="3201"/>
      <c r="Z16" s="1817"/>
      <c r="AA16" s="1814">
        <v>1</v>
      </c>
      <c r="AB16" s="1814">
        <v>1</v>
      </c>
      <c r="AC16" s="1814">
        <v>1</v>
      </c>
    </row>
    <row r="17" spans="1:29" ht="82.8">
      <c r="A17" s="428"/>
      <c r="B17" s="451" t="s">
        <v>2098</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8"/>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8"/>
      <c r="Q18" s="1813"/>
      <c r="R18" s="774"/>
      <c r="S18" s="775"/>
      <c r="T18" s="774"/>
      <c r="U18" s="775"/>
      <c r="V18" s="774"/>
      <c r="W18" s="775"/>
      <c r="X18" s="1816"/>
      <c r="Y18" s="3201"/>
      <c r="Z18" s="1817"/>
      <c r="AA18" s="1814">
        <v>1</v>
      </c>
      <c r="AB18" s="1814">
        <v>1</v>
      </c>
      <c r="AC18" s="1814">
        <v>1</v>
      </c>
    </row>
    <row r="19" spans="1:29" ht="41.4">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8"/>
      <c r="Q20" s="1813"/>
      <c r="R20" s="774"/>
      <c r="S20" s="775"/>
      <c r="T20" s="774"/>
      <c r="U20" s="775"/>
      <c r="V20" s="774"/>
      <c r="W20" s="775"/>
      <c r="X20" s="1816"/>
      <c r="Y20" s="3201"/>
      <c r="Z20" s="1817"/>
      <c r="AA20" s="1814">
        <v>1</v>
      </c>
      <c r="AB20" s="1814">
        <v>1</v>
      </c>
      <c r="AC20" s="1814">
        <v>1</v>
      </c>
    </row>
    <row r="21" spans="1:29" ht="27.6">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8"/>
      <c r="Q22" s="1813"/>
      <c r="R22" s="774"/>
      <c r="S22" s="775"/>
      <c r="T22" s="774"/>
      <c r="U22" s="775"/>
      <c r="V22" s="774"/>
      <c r="W22" s="775"/>
      <c r="X22" s="1816"/>
      <c r="Y22" s="3201"/>
      <c r="Z22" s="1817"/>
      <c r="AA22" s="1814">
        <v>1</v>
      </c>
      <c r="AB22" s="1814">
        <v>1</v>
      </c>
      <c r="AC22" s="1814">
        <v>1</v>
      </c>
    </row>
    <row r="23" spans="1:29" ht="55.2">
      <c r="A23" s="428"/>
      <c r="B23" s="451" t="s">
        <v>2103</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8"/>
      <c r="Q23" s="1813" t="str">
        <f>B23</f>
        <v>自然及人文环境</v>
      </c>
      <c r="R23" s="774" t="s">
        <v>17</v>
      </c>
      <c r="S23" s="775">
        <f>F23</f>
        <v>100</v>
      </c>
      <c r="T23" s="774" t="s">
        <v>17</v>
      </c>
      <c r="U23" s="775">
        <f>H23</f>
        <v>100</v>
      </c>
      <c r="V23" s="774" t="s">
        <v>17</v>
      </c>
      <c r="W23" s="775">
        <f>J23</f>
        <v>100</v>
      </c>
      <c r="X23" s="1816"/>
      <c r="Y23" s="3201"/>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8"/>
      <c r="Q24" s="1813"/>
      <c r="R24" s="774"/>
      <c r="S24" s="775"/>
      <c r="T24" s="774"/>
      <c r="U24" s="775"/>
      <c r="V24" s="774"/>
      <c r="W24" s="775"/>
      <c r="X24" s="1816"/>
      <c r="Y24" s="3201"/>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8"/>
      <c r="Q25" s="1813" t="str">
        <f t="shared" ref="Q25:Q46" si="11">B25</f>
        <v>临街状况</v>
      </c>
      <c r="R25" s="774" t="s">
        <v>17</v>
      </c>
      <c r="S25" s="775">
        <f>F25</f>
        <v>100</v>
      </c>
      <c r="T25" s="774" t="s">
        <v>17</v>
      </c>
      <c r="U25" s="775">
        <f>H25</f>
        <v>100</v>
      </c>
      <c r="V25" s="774" t="s">
        <v>17</v>
      </c>
      <c r="W25" s="775">
        <f>J25</f>
        <v>100</v>
      </c>
      <c r="X25" s="1816"/>
      <c r="Y25" s="3201"/>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8"/>
      <c r="Q26" s="1813" t="str">
        <f t="shared" si="11"/>
        <v>平面位置/可视性</v>
      </c>
      <c r="R26" s="774" t="s">
        <v>17</v>
      </c>
      <c r="S26" s="775">
        <f>F26</f>
        <v>100</v>
      </c>
      <c r="T26" s="774" t="s">
        <v>17</v>
      </c>
      <c r="U26" s="775">
        <f>H26</f>
        <v>100</v>
      </c>
      <c r="V26" s="774" t="s">
        <v>17</v>
      </c>
      <c r="W26" s="775">
        <f>J26</f>
        <v>100</v>
      </c>
      <c r="X26" s="1816"/>
      <c r="Y26" s="3201"/>
      <c r="Z26" s="1817" t="str">
        <f>Q26</f>
        <v>平面位置/可视性</v>
      </c>
      <c r="AA26" s="1814">
        <f t="shared" si="3"/>
        <v>1</v>
      </c>
      <c r="AB26" s="1814">
        <f t="shared" si="4"/>
        <v>1</v>
      </c>
      <c r="AC26" s="1814">
        <f t="shared" si="5"/>
        <v>1</v>
      </c>
    </row>
    <row r="27" spans="1:29" s="117" customFormat="1" ht="15">
      <c r="A27" s="431"/>
      <c r="B27" s="451" t="s">
        <v>2661</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8"/>
      <c r="Q27" s="1798" t="str">
        <f t="shared" si="11"/>
        <v>人流量</v>
      </c>
      <c r="R27" s="770" t="s">
        <v>17</v>
      </c>
      <c r="S27" s="771">
        <f>F27</f>
        <v>100</v>
      </c>
      <c r="T27" s="770" t="s">
        <v>17</v>
      </c>
      <c r="U27" s="771">
        <f>H27</f>
        <v>100</v>
      </c>
      <c r="V27" s="770" t="s">
        <v>17</v>
      </c>
      <c r="W27" s="771">
        <f>J27</f>
        <v>100</v>
      </c>
      <c r="X27" s="772"/>
      <c r="Y27" s="3201"/>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8"/>
      <c r="Q29" s="1813">
        <f t="shared" si="11"/>
        <v>111</v>
      </c>
      <c r="R29" s="774" t="s">
        <v>17</v>
      </c>
      <c r="S29" s="775">
        <f t="shared" si="12"/>
        <v>100</v>
      </c>
      <c r="T29" s="774" t="s">
        <v>17</v>
      </c>
      <c r="U29" s="775">
        <f t="shared" si="13"/>
        <v>100</v>
      </c>
      <c r="V29" s="774" t="s">
        <v>17</v>
      </c>
      <c r="W29" s="775">
        <f t="shared" si="14"/>
        <v>100</v>
      </c>
      <c r="X29" s="1816"/>
      <c r="Y29" s="320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8"/>
      <c r="Q30" s="1813">
        <f t="shared" si="11"/>
        <v>111</v>
      </c>
      <c r="R30" s="774" t="s">
        <v>17</v>
      </c>
      <c r="S30" s="775">
        <f t="shared" si="12"/>
        <v>100</v>
      </c>
      <c r="T30" s="774" t="s">
        <v>17</v>
      </c>
      <c r="U30" s="775">
        <f t="shared" si="13"/>
        <v>100</v>
      </c>
      <c r="V30" s="774" t="s">
        <v>17</v>
      </c>
      <c r="W30" s="775">
        <f t="shared" si="14"/>
        <v>100</v>
      </c>
      <c r="X30" s="1816"/>
      <c r="Y30" s="3201"/>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8"/>
      <c r="Q31" s="1813">
        <f t="shared" si="11"/>
        <v>111</v>
      </c>
      <c r="R31" s="774" t="s">
        <v>17</v>
      </c>
      <c r="S31" s="775">
        <f t="shared" si="12"/>
        <v>100</v>
      </c>
      <c r="T31" s="774" t="s">
        <v>17</v>
      </c>
      <c r="U31" s="775">
        <f t="shared" si="13"/>
        <v>100</v>
      </c>
      <c r="V31" s="774" t="s">
        <v>17</v>
      </c>
      <c r="W31" s="775">
        <f t="shared" si="14"/>
        <v>100</v>
      </c>
      <c r="X31" s="1816"/>
      <c r="Y31" s="3201"/>
      <c r="Z31" s="1817">
        <f t="shared" si="15"/>
        <v>111</v>
      </c>
      <c r="AA31" s="1814">
        <f t="shared" si="3"/>
        <v>1</v>
      </c>
      <c r="AB31" s="1814">
        <f t="shared" si="4"/>
        <v>1</v>
      </c>
      <c r="AC31" s="1814">
        <f t="shared" si="5"/>
        <v>1</v>
      </c>
    </row>
    <row r="32" spans="1:29" ht="15">
      <c r="A32" s="440" t="s">
        <v>2566</v>
      </c>
      <c r="B32" s="71" t="s">
        <v>2663</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2" t="s">
        <v>2568</v>
      </c>
      <c r="Q32" s="1813" t="str">
        <f t="shared" si="11"/>
        <v>商业类型</v>
      </c>
      <c r="R32" s="774" t="s">
        <v>17</v>
      </c>
      <c r="S32" s="775">
        <f t="shared" si="12"/>
        <v>100</v>
      </c>
      <c r="T32" s="774" t="s">
        <v>17</v>
      </c>
      <c r="U32" s="775">
        <f t="shared" si="13"/>
        <v>100</v>
      </c>
      <c r="V32" s="774" t="s">
        <v>17</v>
      </c>
      <c r="W32" s="775">
        <f t="shared" si="14"/>
        <v>100</v>
      </c>
      <c r="X32" s="1816"/>
      <c r="Y32" s="3205"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3"/>
      <c r="Q33" s="776" t="str">
        <f t="shared" si="11"/>
        <v>项目建筑规模</v>
      </c>
      <c r="R33" s="777" t="s">
        <v>17</v>
      </c>
      <c r="S33" s="778" t="e">
        <f t="shared" si="12"/>
        <v>#N/A</v>
      </c>
      <c r="T33" s="777" t="s">
        <v>17</v>
      </c>
      <c r="U33" s="778" t="e">
        <f t="shared" si="13"/>
        <v>#N/A</v>
      </c>
      <c r="V33" s="777" t="s">
        <v>17</v>
      </c>
      <c r="W33" s="778" t="e">
        <f t="shared" si="14"/>
        <v>#N/A</v>
      </c>
      <c r="X33" s="779"/>
      <c r="Y33" s="3205"/>
      <c r="Z33" s="780" t="str">
        <f t="shared" si="15"/>
        <v>项目建筑规模</v>
      </c>
      <c r="AA33" s="1814" t="e">
        <f t="shared" si="3"/>
        <v>#N/A</v>
      </c>
      <c r="AB33" s="1814" t="e">
        <f t="shared" si="4"/>
        <v>#N/A</v>
      </c>
      <c r="AC33" s="1814" t="e">
        <f t="shared" si="5"/>
        <v>#N/A</v>
      </c>
    </row>
    <row r="34" spans="1:29" ht="15">
      <c r="A34" s="472"/>
      <c r="B34" s="422" t="s">
        <v>2570</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3"/>
      <c r="Q34" s="1813" t="str">
        <f t="shared" si="11"/>
        <v>建筑结构</v>
      </c>
      <c r="R34" s="774" t="s">
        <v>17</v>
      </c>
      <c r="S34" s="775">
        <f t="shared" si="12"/>
        <v>100</v>
      </c>
      <c r="T34" s="774" t="s">
        <v>17</v>
      </c>
      <c r="U34" s="775">
        <f t="shared" si="13"/>
        <v>100</v>
      </c>
      <c r="V34" s="774" t="s">
        <v>17</v>
      </c>
      <c r="W34" s="775">
        <f t="shared" si="14"/>
        <v>100</v>
      </c>
      <c r="X34" s="1816"/>
      <c r="Y34" s="3205"/>
      <c r="Z34" s="1817" t="str">
        <f t="shared" si="15"/>
        <v>建筑结构</v>
      </c>
      <c r="AA34" s="1814">
        <f t="shared" si="3"/>
        <v>1</v>
      </c>
      <c r="AB34" s="1814">
        <f t="shared" si="4"/>
        <v>1</v>
      </c>
      <c r="AC34" s="1814">
        <f t="shared" si="5"/>
        <v>1</v>
      </c>
    </row>
    <row r="35" spans="1:29" ht="15">
      <c r="A35" s="472"/>
      <c r="B35" s="422" t="s">
        <v>2664</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3"/>
      <c r="Q35" s="1813" t="str">
        <f t="shared" si="11"/>
        <v>公共部分装修</v>
      </c>
      <c r="R35" s="774" t="s">
        <v>17</v>
      </c>
      <c r="S35" s="775">
        <f t="shared" si="12"/>
        <v>100</v>
      </c>
      <c r="T35" s="774" t="s">
        <v>17</v>
      </c>
      <c r="U35" s="775">
        <f t="shared" si="13"/>
        <v>100</v>
      </c>
      <c r="V35" s="774" t="s">
        <v>17</v>
      </c>
      <c r="W35" s="775">
        <f t="shared" si="14"/>
        <v>100</v>
      </c>
      <c r="X35" s="1816"/>
      <c r="Y35" s="3205"/>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3"/>
      <c r="Q36" s="1813" t="str">
        <f t="shared" si="11"/>
        <v>成新度</v>
      </c>
      <c r="R36" s="774" t="s">
        <v>17</v>
      </c>
      <c r="S36" s="775" t="e">
        <f t="shared" si="12"/>
        <v>#N/A</v>
      </c>
      <c r="T36" s="774" t="s">
        <v>17</v>
      </c>
      <c r="U36" s="775" t="e">
        <f t="shared" si="13"/>
        <v>#N/A</v>
      </c>
      <c r="V36" s="774" t="s">
        <v>17</v>
      </c>
      <c r="W36" s="775" t="e">
        <f t="shared" si="14"/>
        <v>#N/A</v>
      </c>
      <c r="X36" s="1816"/>
      <c r="Y36" s="3205"/>
      <c r="Z36" s="1817" t="str">
        <f t="shared" si="15"/>
        <v>成新度</v>
      </c>
      <c r="AA36" s="1814" t="e">
        <f t="shared" si="3"/>
        <v>#N/A</v>
      </c>
      <c r="AB36" s="1814" t="e">
        <f t="shared" si="4"/>
        <v>#N/A</v>
      </c>
      <c r="AC36" s="1814" t="e">
        <f t="shared" si="5"/>
        <v>#N/A</v>
      </c>
    </row>
    <row r="37" spans="1:29" s="117" customFormat="1" ht="15">
      <c r="A37" s="473"/>
      <c r="B37" s="422" t="s">
        <v>2666</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3"/>
      <c r="Q37" s="1798"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3" t="s">
        <v>2568</v>
      </c>
      <c r="Q38" s="1813" t="str">
        <f t="shared" si="11"/>
        <v>业态</v>
      </c>
      <c r="R38" s="774" t="s">
        <v>17</v>
      </c>
      <c r="S38" s="775">
        <f t="shared" si="12"/>
        <v>100</v>
      </c>
      <c r="T38" s="774" t="s">
        <v>17</v>
      </c>
      <c r="U38" s="775">
        <f t="shared" si="13"/>
        <v>100</v>
      </c>
      <c r="V38" s="774" t="s">
        <v>17</v>
      </c>
      <c r="W38" s="775">
        <f t="shared" si="14"/>
        <v>100</v>
      </c>
      <c r="X38" s="1816"/>
      <c r="Y38" s="3205" t="s">
        <v>2568</v>
      </c>
      <c r="Z38" s="1817" t="str">
        <f t="shared" si="15"/>
        <v>业态</v>
      </c>
      <c r="AA38" s="1814">
        <f t="shared" si="3"/>
        <v>1</v>
      </c>
      <c r="AB38" s="1814">
        <f t="shared" si="4"/>
        <v>1</v>
      </c>
      <c r="AC38" s="1814">
        <f t="shared" si="5"/>
        <v>1</v>
      </c>
    </row>
    <row r="39" spans="1:29" ht="15">
      <c r="A39" s="472"/>
      <c r="B39" s="422" t="s">
        <v>2668</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3"/>
      <c r="Q39" s="1813" t="str">
        <f t="shared" si="11"/>
        <v>层高</v>
      </c>
      <c r="R39" s="774" t="s">
        <v>17</v>
      </c>
      <c r="S39" s="775">
        <f t="shared" si="12"/>
        <v>100</v>
      </c>
      <c r="T39" s="774" t="s">
        <v>17</v>
      </c>
      <c r="U39" s="775">
        <f t="shared" si="13"/>
        <v>100</v>
      </c>
      <c r="V39" s="774" t="s">
        <v>17</v>
      </c>
      <c r="W39" s="775">
        <f t="shared" si="14"/>
        <v>100</v>
      </c>
      <c r="X39" s="1816"/>
      <c r="Y39" s="3205"/>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3"/>
      <c r="Q40" s="1813" t="str">
        <f t="shared" si="11"/>
        <v>单套建筑面积</v>
      </c>
      <c r="R40" s="774" t="s">
        <v>17</v>
      </c>
      <c r="S40" s="775">
        <f t="shared" si="12"/>
        <v>100</v>
      </c>
      <c r="T40" s="774" t="s">
        <v>17</v>
      </c>
      <c r="U40" s="775">
        <f t="shared" si="13"/>
        <v>100</v>
      </c>
      <c r="V40" s="774" t="s">
        <v>17</v>
      </c>
      <c r="W40" s="775">
        <f t="shared" si="14"/>
        <v>100</v>
      </c>
      <c r="X40" s="1816"/>
      <c r="Y40" s="3205"/>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3"/>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814">
        <f t="shared" si="3"/>
        <v>1</v>
      </c>
      <c r="AB41" s="1814">
        <f t="shared" si="4"/>
        <v>1</v>
      </c>
      <c r="AC41" s="1814">
        <f t="shared" si="5"/>
        <v>1</v>
      </c>
    </row>
    <row r="42" spans="1:29" ht="15">
      <c r="A42" s="472"/>
      <c r="B42" s="422" t="s">
        <v>2671</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3"/>
      <c r="Q42" s="1813" t="str">
        <f t="shared" si="11"/>
        <v>内部装修</v>
      </c>
      <c r="R42" s="774" t="s">
        <v>17</v>
      </c>
      <c r="S42" s="775">
        <f t="shared" si="12"/>
        <v>100</v>
      </c>
      <c r="T42" s="774" t="s">
        <v>17</v>
      </c>
      <c r="U42" s="775">
        <f t="shared" si="13"/>
        <v>100</v>
      </c>
      <c r="V42" s="774" t="s">
        <v>17</v>
      </c>
      <c r="W42" s="775">
        <f t="shared" si="14"/>
        <v>100</v>
      </c>
      <c r="X42" s="1816"/>
      <c r="Y42" s="3205"/>
      <c r="Z42" s="1817" t="str">
        <f t="shared" si="15"/>
        <v>内部装修</v>
      </c>
      <c r="AA42" s="1814">
        <f t="shared" si="3"/>
        <v>1</v>
      </c>
      <c r="AB42" s="1814">
        <f t="shared" si="4"/>
        <v>1</v>
      </c>
      <c r="AC42" s="1814">
        <f t="shared" si="5"/>
        <v>1</v>
      </c>
    </row>
    <row r="43" spans="1:29" ht="28.8">
      <c r="A43" s="472"/>
      <c r="B43" s="422" t="s">
        <v>2579</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3"/>
      <c r="Q43" s="1813" t="str">
        <f t="shared" si="11"/>
        <v>内部装修维护情况</v>
      </c>
      <c r="R43" s="774" t="s">
        <v>17</v>
      </c>
      <c r="S43" s="775">
        <f t="shared" si="12"/>
        <v>100</v>
      </c>
      <c r="T43" s="774" t="s">
        <v>17</v>
      </c>
      <c r="U43" s="775">
        <f t="shared" si="13"/>
        <v>100</v>
      </c>
      <c r="V43" s="774" t="s">
        <v>17</v>
      </c>
      <c r="W43" s="775">
        <f t="shared" si="14"/>
        <v>100</v>
      </c>
      <c r="X43" s="1816"/>
      <c r="Y43" s="320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3"/>
      <c r="Q44" s="1798">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3"/>
      <c r="Q45" s="1813">
        <f t="shared" si="11"/>
        <v>111</v>
      </c>
      <c r="R45" s="774" t="s">
        <v>17</v>
      </c>
      <c r="S45" s="775">
        <f t="shared" si="12"/>
        <v>100</v>
      </c>
      <c r="T45" s="774" t="s">
        <v>17</v>
      </c>
      <c r="U45" s="775">
        <f t="shared" si="13"/>
        <v>100</v>
      </c>
      <c r="V45" s="774" t="s">
        <v>17</v>
      </c>
      <c r="W45" s="775">
        <f t="shared" si="14"/>
        <v>100</v>
      </c>
      <c r="X45" s="1816"/>
      <c r="Y45" s="3205"/>
      <c r="Z45" s="1817">
        <f t="shared" si="15"/>
        <v>111</v>
      </c>
      <c r="AA45" s="1814">
        <f t="shared" si="3"/>
        <v>1</v>
      </c>
      <c r="AB45" s="1814">
        <f t="shared" si="4"/>
        <v>1</v>
      </c>
      <c r="AC45" s="1814">
        <f t="shared" si="5"/>
        <v>1</v>
      </c>
    </row>
    <row r="46" spans="1:29" ht="15.6"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4"/>
      <c r="Q46" s="1813">
        <f t="shared" si="11"/>
        <v>111</v>
      </c>
      <c r="R46" s="774" t="s">
        <v>17</v>
      </c>
      <c r="S46" s="775">
        <f t="shared" si="12"/>
        <v>100</v>
      </c>
      <c r="T46" s="774" t="s">
        <v>17</v>
      </c>
      <c r="U46" s="775">
        <f t="shared" si="13"/>
        <v>100</v>
      </c>
      <c r="V46" s="774" t="s">
        <v>17</v>
      </c>
      <c r="W46" s="775">
        <f t="shared" si="14"/>
        <v>100</v>
      </c>
      <c r="X46" s="1816"/>
      <c r="Y46" s="3206"/>
      <c r="Z46" s="1817">
        <f t="shared" si="15"/>
        <v>111</v>
      </c>
      <c r="AA46" s="1814">
        <f t="shared" si="3"/>
        <v>1</v>
      </c>
      <c r="AB46" s="1814">
        <f t="shared" si="4"/>
        <v>1</v>
      </c>
      <c r="AC46" s="1814">
        <f t="shared" si="5"/>
        <v>1</v>
      </c>
    </row>
    <row r="47" spans="1:29" ht="14.4">
      <c r="A47" s="479" t="s">
        <v>2580</v>
      </c>
      <c r="B47" s="480"/>
      <c r="C47" s="1410" t="s">
        <v>1</v>
      </c>
      <c r="D47" s="1411"/>
      <c r="E47" s="1412"/>
      <c r="F47" s="1413"/>
      <c r="G47" s="1414"/>
      <c r="H47" s="1415"/>
      <c r="I47" s="1412"/>
      <c r="J47" s="1415"/>
      <c r="K47" s="783"/>
      <c r="L47" s="1146"/>
      <c r="M47" s="1147"/>
      <c r="N47" s="1134"/>
      <c r="O47" s="1147"/>
      <c r="P47" s="3198" t="str">
        <f>A47</f>
        <v>成交单价（元/平方米）</v>
      </c>
      <c r="Q47" s="3198"/>
      <c r="R47" s="3193">
        <f>E47</f>
        <v>0</v>
      </c>
      <c r="S47" s="3193"/>
      <c r="T47" s="3193">
        <f>G47</f>
        <v>0</v>
      </c>
      <c r="U47" s="3193"/>
      <c r="V47" s="3193">
        <f>I47</f>
        <v>0</v>
      </c>
      <c r="W47" s="3193"/>
      <c r="X47" s="759"/>
      <c r="Y47" s="781"/>
      <c r="Z47" s="759"/>
      <c r="AA47" s="759"/>
      <c r="AB47" s="759"/>
      <c r="AC47" s="759"/>
    </row>
    <row r="48" spans="1:29" ht="1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 thickBot="1">
      <c r="A49" s="492" t="s">
        <v>2673</v>
      </c>
      <c r="B49" s="493"/>
      <c r="C49" s="1420" t="e">
        <f>R49</f>
        <v>#DIV/0!</v>
      </c>
      <c r="D49" s="1420"/>
      <c r="E49" s="1420"/>
      <c r="F49" s="1420"/>
      <c r="G49" s="1420"/>
      <c r="H49" s="1420"/>
      <c r="I49" s="1420"/>
      <c r="J49" s="1420"/>
      <c r="K49" s="785"/>
      <c r="L49" s="1146"/>
      <c r="M49" s="1147"/>
      <c r="N49" s="1134"/>
      <c r="O49" s="1147"/>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4.4">
      <c r="A58" s="505" t="s">
        <v>2551</v>
      </c>
      <c r="B58" s="506"/>
      <c r="C58" s="1577" t="str">
        <f>YEAR(C7)&amp;"-"&amp;MONTH(C7)</f>
        <v>1900-1</v>
      </c>
      <c r="D58" s="1578" t="e">
        <f>EDATE(C58,-1)</f>
        <v>#NUM!</v>
      </c>
      <c r="E58" s="1578" t="e">
        <f t="shared" ref="E58:N58" si="16">EDATE(D58,-1)</f>
        <v>#NUM!</v>
      </c>
      <c r="F58" s="1578" t="e">
        <f t="shared" si="16"/>
        <v>#NUM!</v>
      </c>
      <c r="G58" s="1578" t="e">
        <f t="shared" si="16"/>
        <v>#NUM!</v>
      </c>
      <c r="H58" s="1578" t="e">
        <f t="shared" si="16"/>
        <v>#NUM!</v>
      </c>
      <c r="I58" s="1578" t="e">
        <f t="shared" si="16"/>
        <v>#NUM!</v>
      </c>
      <c r="J58" s="1578" t="e">
        <f t="shared" si="16"/>
        <v>#NUM!</v>
      </c>
      <c r="K58" s="1578" t="e">
        <f t="shared" si="16"/>
        <v>#NUM!</v>
      </c>
      <c r="L58" s="1578" t="e">
        <f t="shared" si="16"/>
        <v>#NUM!</v>
      </c>
      <c r="M58" s="1578" t="e">
        <f t="shared" si="16"/>
        <v>#NUM!</v>
      </c>
      <c r="N58" s="1578" t="e">
        <f t="shared" si="16"/>
        <v>#NUM!</v>
      </c>
      <c r="O58" s="1578" t="e">
        <f>EDATE(N58,-1)</f>
        <v>#NUM!</v>
      </c>
      <c r="P58" s="1573"/>
    </row>
    <row r="59" spans="1:29" s="117" customFormat="1">
      <c r="A59" s="509"/>
      <c r="B59" s="510"/>
      <c r="C59" s="1576">
        <v>100</v>
      </c>
      <c r="D59" s="512"/>
      <c r="E59" s="512"/>
      <c r="F59" s="512"/>
      <c r="G59" s="512"/>
      <c r="H59" s="512"/>
      <c r="I59" s="512"/>
      <c r="J59" s="512"/>
      <c r="K59" s="512"/>
      <c r="L59" s="512"/>
      <c r="M59" s="513"/>
      <c r="N59" s="512"/>
      <c r="O59" s="513"/>
      <c r="P59" s="2635"/>
    </row>
    <row r="60" spans="1:29" s="117" customFormat="1" ht="15" thickBot="1">
      <c r="A60" s="515" t="s">
        <v>2588</v>
      </c>
      <c r="B60" s="516"/>
      <c r="C60" s="517"/>
      <c r="D60" s="518"/>
      <c r="E60" s="518"/>
      <c r="F60" s="518"/>
      <c r="G60" s="518"/>
      <c r="H60" s="518"/>
      <c r="I60" s="518"/>
      <c r="J60" s="518"/>
      <c r="K60" s="518"/>
      <c r="L60" s="518"/>
      <c r="M60" s="519"/>
      <c r="N60" s="518"/>
      <c r="O60" s="519"/>
      <c r="P60" s="2635"/>
      <c r="Q60" s="504"/>
    </row>
    <row r="61" spans="1:29" s="117" customFormat="1" ht="14.4">
      <c r="A61" s="521" t="s">
        <v>2553</v>
      </c>
      <c r="B61" s="510"/>
      <c r="C61" s="522" t="s">
        <v>2655</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2591</v>
      </c>
      <c r="B63" s="528" t="s">
        <v>2557</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36"/>
      <c r="E73" s="536"/>
      <c r="F73" s="536"/>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2683</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4.4"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4.4" thickBot="1">
      <c r="A89" s="579"/>
      <c r="B89" s="543"/>
      <c r="C89" s="560"/>
      <c r="D89" s="536"/>
      <c r="E89" s="536"/>
      <c r="F89" s="536"/>
      <c r="G89" s="536"/>
      <c r="H89" s="536"/>
      <c r="I89" s="536"/>
      <c r="J89" s="536"/>
      <c r="K89" s="536"/>
      <c r="L89" s="536"/>
      <c r="M89" s="536"/>
      <c r="N89" s="1156"/>
      <c r="O89" s="1156"/>
      <c r="P89" s="2637"/>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4.4" thickTop="1">
      <c r="A92" s="534"/>
      <c r="B92" s="538" t="str">
        <f>B28</f>
        <v>楼层</v>
      </c>
      <c r="C92" s="554"/>
      <c r="D92" s="554"/>
      <c r="E92" s="554"/>
      <c r="F92" s="554"/>
      <c r="G92" s="554"/>
      <c r="H92" s="554"/>
      <c r="I92" s="554"/>
      <c r="J92" s="554"/>
      <c r="K92" s="554"/>
      <c r="L92" s="580"/>
      <c r="M92" s="581"/>
      <c r="N92" s="1155"/>
      <c r="O92" s="1155"/>
      <c r="P92" s="2637"/>
      <c r="Q92" s="504"/>
    </row>
    <row r="93" spans="1:17" ht="14.4" thickBot="1">
      <c r="A93" s="534"/>
      <c r="B93" s="543"/>
      <c r="C93" s="536"/>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36"/>
      <c r="E95" s="536"/>
      <c r="F95" s="536"/>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60"/>
      <c r="D97" s="536"/>
      <c r="E97" s="536"/>
      <c r="F97" s="536"/>
      <c r="G97" s="536"/>
      <c r="H97" s="536"/>
      <c r="I97" s="536"/>
      <c r="J97" s="536"/>
      <c r="K97" s="536"/>
      <c r="L97" s="536"/>
      <c r="M97" s="537"/>
      <c r="N97" s="1156"/>
      <c r="O97" s="1156"/>
      <c r="P97" s="2637"/>
      <c r="Q97" s="504"/>
    </row>
    <row r="98" spans="1:17" ht="14.4" thickTop="1">
      <c r="A98" s="534"/>
      <c r="B98" s="546">
        <f>B31</f>
        <v>111</v>
      </c>
      <c r="C98" s="554"/>
      <c r="D98" s="554"/>
      <c r="E98" s="554"/>
      <c r="F98" s="554"/>
      <c r="G98" s="587"/>
      <c r="H98" s="587"/>
      <c r="I98" s="587"/>
      <c r="J98" s="587"/>
      <c r="K98" s="588"/>
      <c r="L98" s="589"/>
      <c r="M98" s="590"/>
      <c r="N98" s="1155"/>
      <c r="O98" s="1155"/>
      <c r="P98" s="2637"/>
      <c r="Q98" s="504"/>
    </row>
    <row r="99" spans="1:17" ht="14.4" thickBot="1">
      <c r="A99" s="2643"/>
      <c r="B99" s="569"/>
      <c r="C99" s="570"/>
      <c r="D99" s="570"/>
      <c r="E99" s="570"/>
      <c r="F99" s="570"/>
      <c r="G99" s="591"/>
      <c r="H99" s="591"/>
      <c r="I99" s="591"/>
      <c r="J99" s="591"/>
      <c r="K99" s="591"/>
      <c r="L99" s="591"/>
      <c r="M99" s="592"/>
      <c r="N99" s="1156"/>
      <c r="O99" s="1156"/>
      <c r="P99" s="2637"/>
      <c r="Q99" s="504"/>
    </row>
    <row r="100" spans="1:17" ht="14.4">
      <c r="A100" s="527" t="s">
        <v>2566</v>
      </c>
      <c r="B100" s="528" t="s">
        <v>2684</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4.4"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36"/>
      <c r="E129" s="536"/>
      <c r="F129" s="536"/>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676" t="s">
        <v>2689</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0</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215" t="s">
        <v>2654</v>
      </c>
      <c r="Q4" s="3216"/>
      <c r="R4" s="3210" t="s">
        <v>2650</v>
      </c>
      <c r="S4" s="3211"/>
      <c r="T4" s="3210" t="s">
        <v>2651</v>
      </c>
      <c r="U4" s="3211"/>
      <c r="V4" s="3219" t="s">
        <v>2652</v>
      </c>
      <c r="W4" s="3219"/>
      <c r="X4" s="2677"/>
      <c r="Y4" s="3210" t="s">
        <v>2654</v>
      </c>
      <c r="Z4" s="3211"/>
      <c r="AA4" s="3209" t="s">
        <v>2650</v>
      </c>
      <c r="AB4" s="3209" t="s">
        <v>2651</v>
      </c>
      <c r="AC4" s="3212" t="s">
        <v>2652</v>
      </c>
    </row>
    <row r="5" spans="1:29">
      <c r="A5" s="404"/>
      <c r="B5" s="405"/>
      <c r="C5" s="3174" t="s">
        <v>2545</v>
      </c>
      <c r="D5" s="3175"/>
      <c r="E5" s="3172" t="s">
        <v>2546</v>
      </c>
      <c r="F5" s="3173"/>
      <c r="G5" s="3174" t="s">
        <v>2547</v>
      </c>
      <c r="H5" s="3175"/>
      <c r="I5" s="3174" t="s">
        <v>2548</v>
      </c>
      <c r="J5" s="3175"/>
      <c r="K5" s="610"/>
      <c r="L5" s="1133"/>
      <c r="M5" s="1134"/>
      <c r="N5" s="1134"/>
      <c r="O5" s="1134"/>
      <c r="P5" s="3217"/>
      <c r="Q5" s="3188"/>
      <c r="R5" s="3170"/>
      <c r="S5" s="3171"/>
      <c r="T5" s="3170"/>
      <c r="U5" s="3171"/>
      <c r="V5" s="3193"/>
      <c r="W5" s="3193"/>
      <c r="X5" s="1816"/>
      <c r="Y5" s="3170"/>
      <c r="Z5" s="3171"/>
      <c r="AA5" s="3164"/>
      <c r="AB5" s="3164"/>
      <c r="AC5" s="3213"/>
    </row>
    <row r="6" spans="1:29" ht="15" thickBot="1">
      <c r="A6" s="406"/>
      <c r="B6" s="407"/>
      <c r="C6" s="3176" t="s">
        <v>2549</v>
      </c>
      <c r="D6" s="3177"/>
      <c r="E6" s="3178" t="s">
        <v>2549</v>
      </c>
      <c r="F6" s="3179"/>
      <c r="G6" s="3176" t="s">
        <v>2549</v>
      </c>
      <c r="H6" s="3177"/>
      <c r="I6" s="3176" t="s">
        <v>2549</v>
      </c>
      <c r="J6" s="3177"/>
      <c r="K6" s="610" t="s">
        <v>2550</v>
      </c>
      <c r="L6" s="1133"/>
      <c r="M6" s="1134"/>
      <c r="N6" s="1134"/>
      <c r="O6" s="1134"/>
      <c r="P6" s="3218"/>
      <c r="Q6" s="3190"/>
      <c r="R6" s="3170"/>
      <c r="S6" s="3171"/>
      <c r="T6" s="3191"/>
      <c r="U6" s="3192"/>
      <c r="V6" s="3193"/>
      <c r="W6" s="3193"/>
      <c r="X6" s="1816"/>
      <c r="Y6" s="3191"/>
      <c r="Z6" s="3192"/>
      <c r="AA6" s="3165"/>
      <c r="AB6" s="3165"/>
      <c r="AC6" s="3214"/>
    </row>
    <row r="7" spans="1:29" s="117" customFormat="1" ht="15" thickBot="1">
      <c r="A7" s="408" t="s">
        <v>2551</v>
      </c>
      <c r="B7" s="409"/>
      <c r="C7" s="410">
        <f>'数据-取费表'!B2</f>
        <v>0</v>
      </c>
      <c r="D7" s="411">
        <v>100</v>
      </c>
      <c r="E7" s="412"/>
      <c r="F7" s="413">
        <f>SUMIF(59:59,YEAR(E7)&amp;"-"&amp;MONTH(E7),60:60)</f>
        <v>100</v>
      </c>
      <c r="G7" s="412"/>
      <c r="H7" s="411">
        <f>SUMIF(59:59,YEAR(G7)&amp;"-"&amp;MONTH(G7),60:60)</f>
        <v>100</v>
      </c>
      <c r="I7" s="412"/>
      <c r="J7" s="411">
        <f>SUMIF(59:59,YEAR(I7)&amp;"-"&amp;MONTH(I7),60:60)</f>
        <v>100</v>
      </c>
      <c r="K7" s="611"/>
      <c r="L7" s="1135"/>
      <c r="M7" s="1136"/>
      <c r="N7" s="1136"/>
      <c r="O7" s="1136"/>
      <c r="P7" s="3220" t="s">
        <v>2552</v>
      </c>
      <c r="Q7" s="3194"/>
      <c r="R7" s="770" t="s">
        <v>17</v>
      </c>
      <c r="S7" s="771">
        <f t="shared" ref="S7:S15" si="0">F7</f>
        <v>100</v>
      </c>
      <c r="T7" s="770" t="s">
        <v>17</v>
      </c>
      <c r="U7" s="771">
        <f t="shared" ref="U7:U15" si="1">H7</f>
        <v>100</v>
      </c>
      <c r="V7" s="770" t="s">
        <v>17</v>
      </c>
      <c r="W7" s="771">
        <f t="shared" ref="W7:W15" si="2">J7</f>
        <v>100</v>
      </c>
      <c r="X7" s="772"/>
      <c r="Y7" s="3166" t="s">
        <v>2552</v>
      </c>
      <c r="Z7" s="3167"/>
      <c r="AA7" s="773">
        <f>D7/F7</f>
        <v>1</v>
      </c>
      <c r="AB7" s="773">
        <f>D7/H7</f>
        <v>1</v>
      </c>
      <c r="AC7" s="2678">
        <f>D7/J7</f>
        <v>1</v>
      </c>
    </row>
    <row r="8" spans="1:29" s="117" customFormat="1" ht="1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0" t="s">
        <v>2555</v>
      </c>
      <c r="Q8" s="3167"/>
      <c r="R8" s="770" t="s">
        <v>17</v>
      </c>
      <c r="S8" s="771">
        <f t="shared" si="0"/>
        <v>0</v>
      </c>
      <c r="T8" s="770" t="s">
        <v>17</v>
      </c>
      <c r="U8" s="771">
        <f t="shared" si="1"/>
        <v>0</v>
      </c>
      <c r="V8" s="770" t="s">
        <v>17</v>
      </c>
      <c r="W8" s="771">
        <f t="shared" si="2"/>
        <v>0</v>
      </c>
      <c r="X8" s="772"/>
      <c r="Y8" s="3166" t="s">
        <v>2555</v>
      </c>
      <c r="Z8" s="3167"/>
      <c r="AA8" s="773" t="e">
        <f t="shared" ref="AA8:AA47" si="3">D8/F8</f>
        <v>#DIV/0!</v>
      </c>
      <c r="AB8" s="773" t="e">
        <f t="shared" ref="AB8:AB47" si="4">D8/H8</f>
        <v>#DIV/0!</v>
      </c>
      <c r="AC8" s="2678" t="e">
        <f t="shared" ref="AC8:AC47" si="5">D8/J8</f>
        <v>#DIV/0!</v>
      </c>
    </row>
    <row r="9" spans="1:29" s="117" customFormat="1" ht="14.4">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2678">
        <f t="shared" si="5"/>
        <v>1</v>
      </c>
    </row>
    <row r="10" spans="1:29" s="427" customFormat="1" ht="28.8">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78">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2678">
        <f t="shared" si="5"/>
        <v>1</v>
      </c>
    </row>
    <row r="14" spans="1:29" ht="15.6"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2678">
        <f t="shared" si="5"/>
        <v>1</v>
      </c>
    </row>
    <row r="15" spans="1:29" ht="69">
      <c r="A15" s="440" t="s">
        <v>2562</v>
      </c>
      <c r="B15" s="629" t="s">
        <v>2690</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7" t="s">
        <v>2563</v>
      </c>
      <c r="Q15" s="1813" t="str">
        <f t="shared" si="6"/>
        <v>办公集聚程度</v>
      </c>
      <c r="R15" s="774" t="s">
        <v>17</v>
      </c>
      <c r="S15" s="775">
        <f t="shared" si="0"/>
        <v>100</v>
      </c>
      <c r="T15" s="774" t="s">
        <v>17</v>
      </c>
      <c r="U15" s="775">
        <f t="shared" si="1"/>
        <v>100</v>
      </c>
      <c r="V15" s="774" t="s">
        <v>17</v>
      </c>
      <c r="W15" s="775">
        <f t="shared" si="2"/>
        <v>100</v>
      </c>
      <c r="X15" s="1816"/>
      <c r="Y15" s="3200" t="s">
        <v>2563</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8"/>
      <c r="Q16" s="1813"/>
      <c r="R16" s="774"/>
      <c r="S16" s="775"/>
      <c r="T16" s="774"/>
      <c r="U16" s="775"/>
      <c r="V16" s="774"/>
      <c r="W16" s="775"/>
      <c r="X16" s="1816"/>
      <c r="Y16" s="3201"/>
      <c r="Z16" s="1817"/>
      <c r="AA16" s="1814">
        <v>1</v>
      </c>
      <c r="AB16" s="1814">
        <v>1</v>
      </c>
      <c r="AC16" s="2681">
        <v>1</v>
      </c>
    </row>
    <row r="17" spans="1:29" ht="82.8">
      <c r="A17" s="428"/>
      <c r="B17" s="631" t="s">
        <v>2098</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8"/>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8"/>
      <c r="Q18" s="1813"/>
      <c r="R18" s="774"/>
      <c r="S18" s="775"/>
      <c r="T18" s="774"/>
      <c r="U18" s="775"/>
      <c r="V18" s="774"/>
      <c r="W18" s="775"/>
      <c r="X18" s="1816"/>
      <c r="Y18" s="3201"/>
      <c r="Z18" s="1817"/>
      <c r="AA18" s="1814">
        <v>1</v>
      </c>
      <c r="AB18" s="1814">
        <v>1</v>
      </c>
      <c r="AC18" s="2681">
        <v>1</v>
      </c>
    </row>
    <row r="19" spans="1:29" ht="41.4">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8"/>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8"/>
      <c r="Q20" s="1813"/>
      <c r="R20" s="774"/>
      <c r="S20" s="775"/>
      <c r="T20" s="774"/>
      <c r="U20" s="775"/>
      <c r="V20" s="774"/>
      <c r="W20" s="775"/>
      <c r="X20" s="1816"/>
      <c r="Y20" s="3201"/>
      <c r="Z20" s="1817"/>
      <c r="AA20" s="1814">
        <v>1</v>
      </c>
      <c r="AB20" s="1814">
        <v>1</v>
      </c>
      <c r="AC20" s="2681">
        <v>1</v>
      </c>
    </row>
    <row r="21" spans="1:29" ht="27.6">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8"/>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8"/>
      <c r="Q22" s="1813"/>
      <c r="R22" s="774"/>
      <c r="S22" s="775"/>
      <c r="T22" s="774"/>
      <c r="U22" s="775"/>
      <c r="V22" s="774"/>
      <c r="W22" s="775"/>
      <c r="X22" s="1816"/>
      <c r="Y22" s="3201"/>
      <c r="Z22" s="1817"/>
      <c r="AA22" s="1814">
        <v>1</v>
      </c>
      <c r="AB22" s="1814">
        <v>1</v>
      </c>
      <c r="AC22" s="2681">
        <v>1</v>
      </c>
    </row>
    <row r="23" spans="1:29" ht="55.2">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8"/>
      <c r="Q23" s="1813" t="str">
        <f>B23</f>
        <v>环境质量</v>
      </c>
      <c r="R23" s="774" t="s">
        <v>17</v>
      </c>
      <c r="S23" s="775">
        <f>F23</f>
        <v>100</v>
      </c>
      <c r="T23" s="774" t="s">
        <v>17</v>
      </c>
      <c r="U23" s="775">
        <f>H23</f>
        <v>100</v>
      </c>
      <c r="V23" s="774" t="s">
        <v>17</v>
      </c>
      <c r="W23" s="775">
        <f>J23</f>
        <v>100</v>
      </c>
      <c r="X23" s="1816"/>
      <c r="Y23" s="3201"/>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8"/>
      <c r="Q24" s="1813"/>
      <c r="R24" s="774"/>
      <c r="S24" s="775"/>
      <c r="T24" s="774"/>
      <c r="U24" s="775"/>
      <c r="V24" s="774"/>
      <c r="W24" s="775"/>
      <c r="X24" s="1816"/>
      <c r="Y24" s="3201"/>
      <c r="Z24" s="1817"/>
      <c r="AA24" s="1814">
        <v>1</v>
      </c>
      <c r="AB24" s="1814">
        <v>1</v>
      </c>
      <c r="AC24" s="2681">
        <v>1</v>
      </c>
    </row>
    <row r="25" spans="1:29" ht="28.8">
      <c r="A25" s="404"/>
      <c r="B25" s="631" t="s">
        <v>2694</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8"/>
      <c r="Q25" s="1813" t="str">
        <f>B25</f>
        <v>毗邻道路的类型与等级</v>
      </c>
      <c r="R25" s="774" t="s">
        <v>17</v>
      </c>
      <c r="S25" s="775">
        <f>F25</f>
        <v>100</v>
      </c>
      <c r="T25" s="774" t="s">
        <v>17</v>
      </c>
      <c r="U25" s="775">
        <f>H25</f>
        <v>100</v>
      </c>
      <c r="V25" s="774" t="s">
        <v>17</v>
      </c>
      <c r="W25" s="775">
        <f>J25</f>
        <v>100</v>
      </c>
      <c r="X25" s="1816"/>
      <c r="Y25" s="3201"/>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8"/>
      <c r="Q26" s="1813"/>
      <c r="R26" s="774"/>
      <c r="S26" s="775"/>
      <c r="T26" s="774"/>
      <c r="U26" s="775"/>
      <c r="V26" s="774"/>
      <c r="W26" s="775"/>
      <c r="X26" s="1816"/>
      <c r="Y26" s="3201"/>
      <c r="Z26" s="1817"/>
      <c r="AA26" s="1814">
        <v>1</v>
      </c>
      <c r="AB26" s="1814">
        <v>1</v>
      </c>
      <c r="AC26" s="2681">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8"/>
      <c r="Q27" s="1813" t="str">
        <f t="shared" ref="Q27:Q47" si="11">B27</f>
        <v>楼层</v>
      </c>
      <c r="R27" s="774" t="s">
        <v>17</v>
      </c>
      <c r="S27" s="775">
        <f>F27</f>
        <v>100</v>
      </c>
      <c r="T27" s="774" t="s">
        <v>17</v>
      </c>
      <c r="U27" s="775">
        <f>H27</f>
        <v>100</v>
      </c>
      <c r="V27" s="774" t="s">
        <v>17</v>
      </c>
      <c r="W27" s="775">
        <f>J27</f>
        <v>100</v>
      </c>
      <c r="X27" s="1816"/>
      <c r="Y27" s="3201"/>
      <c r="Z27" s="1817" t="str">
        <f>Q27</f>
        <v>楼层</v>
      </c>
      <c r="AA27" s="1814">
        <f t="shared" si="3"/>
        <v>1</v>
      </c>
      <c r="AB27" s="1814">
        <f t="shared" si="4"/>
        <v>1</v>
      </c>
      <c r="AC27" s="2681">
        <f t="shared" si="5"/>
        <v>1</v>
      </c>
    </row>
    <row r="28" spans="1:29" s="117" customFormat="1" ht="15">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8"/>
      <c r="Q28" s="1798" t="str">
        <f t="shared" si="11"/>
        <v>朝向</v>
      </c>
      <c r="R28" s="770" t="s">
        <v>17</v>
      </c>
      <c r="S28" s="771">
        <f>F28</f>
        <v>100</v>
      </c>
      <c r="T28" s="770" t="s">
        <v>17</v>
      </c>
      <c r="U28" s="771">
        <f>H28</f>
        <v>100</v>
      </c>
      <c r="V28" s="770" t="s">
        <v>17</v>
      </c>
      <c r="W28" s="771">
        <f>J28</f>
        <v>100</v>
      </c>
      <c r="X28" s="772"/>
      <c r="Y28" s="3201"/>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8"/>
      <c r="Q29" s="1813">
        <f t="shared" si="11"/>
        <v>111</v>
      </c>
      <c r="R29" s="774" t="s">
        <v>17</v>
      </c>
      <c r="S29" s="775">
        <f t="shared" ref="S29:S47" si="12">F29</f>
        <v>100</v>
      </c>
      <c r="T29" s="774" t="s">
        <v>17</v>
      </c>
      <c r="U29" s="775">
        <f t="shared" ref="U29:U47" si="13">H29</f>
        <v>100</v>
      </c>
      <c r="V29" s="774" t="s">
        <v>17</v>
      </c>
      <c r="W29" s="775">
        <f t="shared" ref="W29:W47" si="14">J29</f>
        <v>100</v>
      </c>
      <c r="X29" s="1816"/>
      <c r="Y29" s="3201"/>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8"/>
      <c r="Q30" s="1813">
        <f t="shared" si="11"/>
        <v>111</v>
      </c>
      <c r="R30" s="774" t="s">
        <v>17</v>
      </c>
      <c r="S30" s="775">
        <f t="shared" si="12"/>
        <v>100</v>
      </c>
      <c r="T30" s="774" t="s">
        <v>17</v>
      </c>
      <c r="U30" s="775">
        <f t="shared" si="13"/>
        <v>100</v>
      </c>
      <c r="V30" s="774" t="s">
        <v>17</v>
      </c>
      <c r="W30" s="775">
        <f t="shared" si="14"/>
        <v>100</v>
      </c>
      <c r="X30" s="1816"/>
      <c r="Y30" s="3201"/>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8"/>
      <c r="Q31" s="1813">
        <f t="shared" si="11"/>
        <v>111</v>
      </c>
      <c r="R31" s="774" t="s">
        <v>17</v>
      </c>
      <c r="S31" s="775">
        <f t="shared" si="12"/>
        <v>100</v>
      </c>
      <c r="T31" s="774" t="s">
        <v>17</v>
      </c>
      <c r="U31" s="775">
        <f t="shared" si="13"/>
        <v>100</v>
      </c>
      <c r="V31" s="774" t="s">
        <v>17</v>
      </c>
      <c r="W31" s="775">
        <f t="shared" si="14"/>
        <v>100</v>
      </c>
      <c r="X31" s="1816"/>
      <c r="Y31" s="3201"/>
      <c r="Z31" s="1817">
        <f t="shared" si="15"/>
        <v>111</v>
      </c>
      <c r="AA31" s="1814">
        <f t="shared" si="3"/>
        <v>1</v>
      </c>
      <c r="AB31" s="1814">
        <f t="shared" si="4"/>
        <v>1</v>
      </c>
      <c r="AC31" s="2681">
        <f t="shared" si="5"/>
        <v>1</v>
      </c>
    </row>
    <row r="32" spans="1:29" ht="15.6"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8"/>
      <c r="Q32" s="1813">
        <f t="shared" si="11"/>
        <v>111</v>
      </c>
      <c r="R32" s="774" t="s">
        <v>17</v>
      </c>
      <c r="S32" s="775">
        <f t="shared" si="12"/>
        <v>100</v>
      </c>
      <c r="T32" s="774" t="s">
        <v>17</v>
      </c>
      <c r="U32" s="775">
        <f t="shared" si="13"/>
        <v>100</v>
      </c>
      <c r="V32" s="774" t="s">
        <v>17</v>
      </c>
      <c r="W32" s="775">
        <f t="shared" si="14"/>
        <v>100</v>
      </c>
      <c r="X32" s="1816"/>
      <c r="Y32" s="3201"/>
      <c r="Z32" s="1817">
        <f t="shared" si="15"/>
        <v>111</v>
      </c>
      <c r="AA32" s="1814">
        <f t="shared" si="3"/>
        <v>1</v>
      </c>
      <c r="AB32" s="1814">
        <f t="shared" si="4"/>
        <v>1</v>
      </c>
      <c r="AC32" s="2681">
        <f t="shared" si="5"/>
        <v>1</v>
      </c>
    </row>
    <row r="33" spans="1:29" ht="15">
      <c r="A33" s="440" t="s">
        <v>2566</v>
      </c>
      <c r="B33" s="71" t="s">
        <v>2696</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2" t="s">
        <v>2568</v>
      </c>
      <c r="Q33" s="1813" t="str">
        <f t="shared" si="11"/>
        <v>建筑类型</v>
      </c>
      <c r="R33" s="774" t="s">
        <v>17</v>
      </c>
      <c r="S33" s="775">
        <f t="shared" si="12"/>
        <v>100</v>
      </c>
      <c r="T33" s="774" t="s">
        <v>17</v>
      </c>
      <c r="U33" s="775">
        <f t="shared" si="13"/>
        <v>100</v>
      </c>
      <c r="V33" s="774" t="s">
        <v>17</v>
      </c>
      <c r="W33" s="775">
        <f t="shared" si="14"/>
        <v>100</v>
      </c>
      <c r="X33" s="1816"/>
      <c r="Y33" s="3205" t="s">
        <v>2568</v>
      </c>
      <c r="Z33" s="1817" t="str">
        <f t="shared" si="15"/>
        <v>建筑类型</v>
      </c>
      <c r="AA33" s="1814">
        <f t="shared" si="3"/>
        <v>1</v>
      </c>
      <c r="AB33" s="1814">
        <f t="shared" si="4"/>
        <v>1</v>
      </c>
      <c r="AC33" s="2681">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3"/>
      <c r="Q34" s="776" t="str">
        <f t="shared" si="11"/>
        <v>项目建筑规模</v>
      </c>
      <c r="R34" s="777" t="s">
        <v>17</v>
      </c>
      <c r="S34" s="778" t="e">
        <f t="shared" si="12"/>
        <v>#N/A</v>
      </c>
      <c r="T34" s="777" t="s">
        <v>17</v>
      </c>
      <c r="U34" s="778" t="e">
        <f t="shared" si="13"/>
        <v>#N/A</v>
      </c>
      <c r="V34" s="777" t="s">
        <v>17</v>
      </c>
      <c r="W34" s="778" t="e">
        <f t="shared" si="14"/>
        <v>#N/A</v>
      </c>
      <c r="X34" s="779"/>
      <c r="Y34" s="3205"/>
      <c r="Z34" s="780" t="str">
        <f t="shared" si="15"/>
        <v>项目建筑规模</v>
      </c>
      <c r="AA34" s="1814" t="e">
        <f t="shared" si="3"/>
        <v>#N/A</v>
      </c>
      <c r="AB34" s="1814" t="e">
        <f t="shared" si="4"/>
        <v>#N/A</v>
      </c>
      <c r="AC34" s="2681"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3"/>
      <c r="Q35" s="1813" t="str">
        <f t="shared" si="11"/>
        <v>建筑结构</v>
      </c>
      <c r="R35" s="774" t="s">
        <v>17</v>
      </c>
      <c r="S35" s="775">
        <f t="shared" si="12"/>
        <v>100</v>
      </c>
      <c r="T35" s="774" t="s">
        <v>17</v>
      </c>
      <c r="U35" s="775">
        <f t="shared" si="13"/>
        <v>100</v>
      </c>
      <c r="V35" s="774" t="s">
        <v>17</v>
      </c>
      <c r="W35" s="775">
        <f t="shared" si="14"/>
        <v>100</v>
      </c>
      <c r="X35" s="1816"/>
      <c r="Y35" s="3205"/>
      <c r="Z35" s="1817" t="str">
        <f t="shared" si="15"/>
        <v>建筑结构</v>
      </c>
      <c r="AA35" s="1814">
        <f t="shared" si="3"/>
        <v>1</v>
      </c>
      <c r="AB35" s="1814">
        <f t="shared" si="4"/>
        <v>1</v>
      </c>
      <c r="AC35" s="2681">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3"/>
      <c r="Q36" s="1813" t="str">
        <f t="shared" si="11"/>
        <v>公共部分装修</v>
      </c>
      <c r="R36" s="774" t="s">
        <v>17</v>
      </c>
      <c r="S36" s="775">
        <f t="shared" si="12"/>
        <v>100</v>
      </c>
      <c r="T36" s="774" t="s">
        <v>17</v>
      </c>
      <c r="U36" s="775">
        <f t="shared" si="13"/>
        <v>100</v>
      </c>
      <c r="V36" s="774" t="s">
        <v>17</v>
      </c>
      <c r="W36" s="775">
        <f t="shared" si="14"/>
        <v>100</v>
      </c>
      <c r="X36" s="1816"/>
      <c r="Y36" s="3205"/>
      <c r="Z36" s="1817" t="str">
        <f t="shared" si="15"/>
        <v>公共部分装修</v>
      </c>
      <c r="AA36" s="1814">
        <f t="shared" si="3"/>
        <v>1</v>
      </c>
      <c r="AB36" s="1814">
        <f t="shared" si="4"/>
        <v>1</v>
      </c>
      <c r="AC36" s="2681">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3"/>
      <c r="Q37" s="1813" t="str">
        <f t="shared" si="11"/>
        <v>成新度</v>
      </c>
      <c r="R37" s="774" t="s">
        <v>17</v>
      </c>
      <c r="S37" s="775" t="e">
        <f t="shared" si="12"/>
        <v>#N/A</v>
      </c>
      <c r="T37" s="774" t="s">
        <v>17</v>
      </c>
      <c r="U37" s="775" t="e">
        <f t="shared" si="13"/>
        <v>#N/A</v>
      </c>
      <c r="V37" s="774" t="s">
        <v>17</v>
      </c>
      <c r="W37" s="775" t="e">
        <f t="shared" si="14"/>
        <v>#N/A</v>
      </c>
      <c r="X37" s="1816"/>
      <c r="Y37" s="3205"/>
      <c r="Z37" s="1817" t="str">
        <f t="shared" si="15"/>
        <v>成新度</v>
      </c>
      <c r="AA37" s="1814" t="e">
        <f t="shared" si="3"/>
        <v>#N/A</v>
      </c>
      <c r="AB37" s="1814" t="e">
        <f t="shared" si="4"/>
        <v>#N/A</v>
      </c>
      <c r="AC37" s="2681"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3"/>
      <c r="Q38" s="1798"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678">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3" t="s">
        <v>2568</v>
      </c>
      <c r="Q39" s="1813" t="str">
        <f t="shared" si="11"/>
        <v>物业管理</v>
      </c>
      <c r="R39" s="774" t="s">
        <v>17</v>
      </c>
      <c r="S39" s="775">
        <f t="shared" si="12"/>
        <v>100</v>
      </c>
      <c r="T39" s="774" t="s">
        <v>17</v>
      </c>
      <c r="U39" s="775">
        <f t="shared" si="13"/>
        <v>100</v>
      </c>
      <c r="V39" s="774" t="s">
        <v>17</v>
      </c>
      <c r="W39" s="775">
        <f t="shared" si="14"/>
        <v>100</v>
      </c>
      <c r="X39" s="1816"/>
      <c r="Y39" s="3205" t="s">
        <v>2568</v>
      </c>
      <c r="Z39" s="1817" t="str">
        <f t="shared" si="15"/>
        <v>物业管理</v>
      </c>
      <c r="AA39" s="1814">
        <f t="shared" si="3"/>
        <v>1</v>
      </c>
      <c r="AB39" s="1814">
        <f t="shared" si="4"/>
        <v>1</v>
      </c>
      <c r="AC39" s="2681">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3"/>
      <c r="Q40" s="1813" t="str">
        <f t="shared" si="11"/>
        <v>市政基础设施</v>
      </c>
      <c r="R40" s="774" t="s">
        <v>17</v>
      </c>
      <c r="S40" s="775">
        <f t="shared" si="12"/>
        <v>100</v>
      </c>
      <c r="T40" s="774" t="s">
        <v>17</v>
      </c>
      <c r="U40" s="775">
        <f t="shared" si="13"/>
        <v>100</v>
      </c>
      <c r="V40" s="774" t="s">
        <v>17</v>
      </c>
      <c r="W40" s="775">
        <f t="shared" si="14"/>
        <v>100</v>
      </c>
      <c r="X40" s="1816"/>
      <c r="Y40" s="3205"/>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3"/>
      <c r="Q41" s="1813" t="str">
        <f t="shared" si="11"/>
        <v>层高</v>
      </c>
      <c r="R41" s="774" t="s">
        <v>17</v>
      </c>
      <c r="S41" s="775">
        <f t="shared" si="12"/>
        <v>100</v>
      </c>
      <c r="T41" s="774" t="s">
        <v>17</v>
      </c>
      <c r="U41" s="775">
        <f t="shared" si="13"/>
        <v>100</v>
      </c>
      <c r="V41" s="774" t="s">
        <v>17</v>
      </c>
      <c r="W41" s="775">
        <f t="shared" si="14"/>
        <v>100</v>
      </c>
      <c r="X41" s="1816"/>
      <c r="Y41" s="3205"/>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3"/>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814">
        <f t="shared" si="3"/>
        <v>1</v>
      </c>
      <c r="AB42" s="1814">
        <f t="shared" si="4"/>
        <v>1</v>
      </c>
      <c r="AC42" s="2681">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3"/>
      <c r="Q43" s="1813" t="str">
        <f t="shared" si="11"/>
        <v>内部装修</v>
      </c>
      <c r="R43" s="774" t="s">
        <v>17</v>
      </c>
      <c r="S43" s="775">
        <f t="shared" si="12"/>
        <v>100</v>
      </c>
      <c r="T43" s="774" t="s">
        <v>17</v>
      </c>
      <c r="U43" s="775">
        <f t="shared" si="13"/>
        <v>100</v>
      </c>
      <c r="V43" s="774" t="s">
        <v>17</v>
      </c>
      <c r="W43" s="775">
        <f t="shared" si="14"/>
        <v>100</v>
      </c>
      <c r="X43" s="1816"/>
      <c r="Y43" s="3205"/>
      <c r="Z43" s="1817" t="str">
        <f t="shared" si="15"/>
        <v>内部装修</v>
      </c>
      <c r="AA43" s="1814">
        <f t="shared" si="3"/>
        <v>1</v>
      </c>
      <c r="AB43" s="1814">
        <f t="shared" si="4"/>
        <v>1</v>
      </c>
      <c r="AC43" s="2681">
        <f t="shared" si="5"/>
        <v>1</v>
      </c>
    </row>
    <row r="44" spans="1:29" ht="28.8">
      <c r="A44" s="472"/>
      <c r="B44" s="422" t="s">
        <v>2579</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3"/>
      <c r="Q44" s="1813" t="str">
        <f t="shared" si="11"/>
        <v>内部装修维护情况</v>
      </c>
      <c r="R44" s="774" t="s">
        <v>17</v>
      </c>
      <c r="S44" s="775">
        <f t="shared" si="12"/>
        <v>100</v>
      </c>
      <c r="T44" s="774" t="s">
        <v>17</v>
      </c>
      <c r="U44" s="775">
        <f t="shared" si="13"/>
        <v>100</v>
      </c>
      <c r="V44" s="774" t="s">
        <v>17</v>
      </c>
      <c r="W44" s="775">
        <f t="shared" si="14"/>
        <v>100</v>
      </c>
      <c r="X44" s="1816"/>
      <c r="Y44" s="3205"/>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3"/>
      <c r="Q45" s="1798">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2681">
        <f t="shared" si="5"/>
        <v>1</v>
      </c>
    </row>
    <row r="47" spans="1:29" ht="15.6"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4"/>
      <c r="Q47" s="1813">
        <f t="shared" si="11"/>
        <v>111</v>
      </c>
      <c r="R47" s="774" t="s">
        <v>17</v>
      </c>
      <c r="S47" s="775">
        <f t="shared" si="12"/>
        <v>100</v>
      </c>
      <c r="T47" s="774" t="s">
        <v>17</v>
      </c>
      <c r="U47" s="775">
        <f t="shared" si="13"/>
        <v>100</v>
      </c>
      <c r="V47" s="774" t="s">
        <v>17</v>
      </c>
      <c r="W47" s="775">
        <f t="shared" si="14"/>
        <v>100</v>
      </c>
      <c r="X47" s="1816"/>
      <c r="Y47" s="3206"/>
      <c r="Z47" s="1817">
        <f t="shared" si="15"/>
        <v>111</v>
      </c>
      <c r="AA47" s="1814">
        <f t="shared" si="3"/>
        <v>1</v>
      </c>
      <c r="AB47" s="1814">
        <f t="shared" si="4"/>
        <v>1</v>
      </c>
      <c r="AC47" s="2681">
        <f t="shared" si="5"/>
        <v>1</v>
      </c>
    </row>
    <row r="48" spans="1:29" ht="14.4">
      <c r="A48" s="479" t="s">
        <v>2580</v>
      </c>
      <c r="B48" s="480"/>
      <c r="C48" s="1410" t="s">
        <v>1</v>
      </c>
      <c r="D48" s="1411"/>
      <c r="E48" s="1412"/>
      <c r="F48" s="1413"/>
      <c r="G48" s="1414"/>
      <c r="H48" s="1415"/>
      <c r="I48" s="1412"/>
      <c r="J48" s="485"/>
      <c r="K48" s="783"/>
      <c r="L48" s="1146"/>
      <c r="M48" s="1134"/>
      <c r="N48" s="1134"/>
      <c r="O48" s="1134"/>
      <c r="P48" s="3180" t="str">
        <f>A48</f>
        <v>成交单价（元/平方米）</v>
      </c>
      <c r="Q48" s="3198"/>
      <c r="R48" s="3199">
        <f>E48</f>
        <v>0</v>
      </c>
      <c r="S48" s="3199"/>
      <c r="T48" s="3199">
        <f>G48</f>
        <v>0</v>
      </c>
      <c r="U48" s="3199"/>
      <c r="V48" s="3199">
        <f>I48</f>
        <v>0</v>
      </c>
      <c r="W48" s="3199"/>
      <c r="X48" s="446"/>
      <c r="Y48" s="781"/>
      <c r="Z48" s="446"/>
      <c r="AA48" s="446"/>
      <c r="AB48" s="446"/>
      <c r="AC48" s="630"/>
    </row>
    <row r="49" spans="1:29" ht="1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 thickBot="1">
      <c r="A50" s="492" t="s">
        <v>2673</v>
      </c>
      <c r="B50" s="493"/>
      <c r="C50" s="1420" t="e">
        <f>R50</f>
        <v>#DIV/0!</v>
      </c>
      <c r="D50" s="1420"/>
      <c r="E50" s="1420"/>
      <c r="F50" s="1420"/>
      <c r="G50" s="1420"/>
      <c r="H50" s="1420"/>
      <c r="I50" s="1420"/>
      <c r="J50" s="494"/>
      <c r="K50" s="785"/>
      <c r="L50" s="1146"/>
      <c r="M50" s="1134"/>
      <c r="N50" s="1134"/>
      <c r="O50" s="1134"/>
      <c r="P50" s="3221" t="str">
        <f>A50</f>
        <v>估价对象XX用房的比较价值（楼面单价，元/平方米）</v>
      </c>
      <c r="Q50" s="3222"/>
      <c r="R50" s="3223" t="e">
        <f>IF(F1="售价",ROUND(AVERAGE(R49:V49),0),ROUND(AVERAGE(R49:V49),1))</f>
        <v>#DIV/0!</v>
      </c>
      <c r="S50" s="3223"/>
      <c r="T50" s="3223"/>
      <c r="U50" s="3223"/>
      <c r="V50" s="3223"/>
      <c r="W50" s="3223"/>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2.2" thickBot="1">
      <c r="A58" s="763" t="s">
        <v>2677</v>
      </c>
      <c r="B58" s="759"/>
      <c r="C58" s="764"/>
      <c r="D58" s="764"/>
      <c r="E58" s="764"/>
      <c r="F58" s="765"/>
      <c r="G58" s="765"/>
      <c r="H58" s="764"/>
      <c r="I58" s="764"/>
      <c r="J58" s="764"/>
      <c r="K58" s="766"/>
      <c r="L58" s="1164"/>
      <c r="M58" s="1162"/>
      <c r="N58" s="1162"/>
      <c r="O58" s="1162"/>
      <c r="P58" s="2688"/>
      <c r="Q58" s="504"/>
    </row>
    <row r="59" spans="1:29" s="508" customFormat="1" ht="14.4">
      <c r="A59" s="505" t="s">
        <v>2551</v>
      </c>
      <c r="B59" s="506"/>
      <c r="C59" s="1577" t="str">
        <f>YEAR(C7)&amp;"-"&amp;MONTH(C7)</f>
        <v>1900-1</v>
      </c>
      <c r="D59" s="1578" t="e">
        <f>EDATE(C59,-1)</f>
        <v>#NUM!</v>
      </c>
      <c r="E59" s="1578" t="e">
        <f>EDATE(D59,-1)</f>
        <v>#NUM!</v>
      </c>
      <c r="F59" s="1578" t="e">
        <f t="shared" ref="F59:O59" si="16">EDATE(E59,-1)</f>
        <v>#NUM!</v>
      </c>
      <c r="G59" s="1578" t="e">
        <f t="shared" si="16"/>
        <v>#NUM!</v>
      </c>
      <c r="H59" s="1578" t="e">
        <f t="shared" si="16"/>
        <v>#NUM!</v>
      </c>
      <c r="I59" s="1578" t="e">
        <f t="shared" si="16"/>
        <v>#NUM!</v>
      </c>
      <c r="J59" s="1578" t="e">
        <f t="shared" si="16"/>
        <v>#NUM!</v>
      </c>
      <c r="K59" s="1578" t="e">
        <f t="shared" si="16"/>
        <v>#NUM!</v>
      </c>
      <c r="L59" s="1578" t="e">
        <f t="shared" si="16"/>
        <v>#NUM!</v>
      </c>
      <c r="M59" s="1578" t="e">
        <f t="shared" si="16"/>
        <v>#NUM!</v>
      </c>
      <c r="N59" s="1578" t="e">
        <f t="shared" si="16"/>
        <v>#NUM!</v>
      </c>
      <c r="O59" s="1578" t="e">
        <f t="shared" si="16"/>
        <v>#NUM!</v>
      </c>
      <c r="P59" s="1574"/>
    </row>
    <row r="60" spans="1:29" s="117" customFormat="1">
      <c r="A60" s="509"/>
      <c r="B60" s="510"/>
      <c r="C60" s="1576">
        <v>100</v>
      </c>
      <c r="D60" s="512"/>
      <c r="E60" s="512"/>
      <c r="F60" s="512"/>
      <c r="G60" s="512"/>
      <c r="H60" s="512"/>
      <c r="I60" s="512"/>
      <c r="J60" s="512"/>
      <c r="K60" s="512"/>
      <c r="L60" s="512"/>
      <c r="M60" s="513"/>
      <c r="N60" s="512"/>
      <c r="O60" s="513"/>
      <c r="P60" s="2689"/>
    </row>
    <row r="61" spans="1:29" s="117" customFormat="1" ht="15" thickBot="1">
      <c r="A61" s="515" t="s">
        <v>2588</v>
      </c>
      <c r="B61" s="516"/>
      <c r="C61" s="517"/>
      <c r="D61" s="518"/>
      <c r="E61" s="518"/>
      <c r="F61" s="518"/>
      <c r="G61" s="518"/>
      <c r="H61" s="518"/>
      <c r="I61" s="518"/>
      <c r="J61" s="518"/>
      <c r="K61" s="518"/>
      <c r="L61" s="518"/>
      <c r="M61" s="519"/>
      <c r="N61" s="518"/>
      <c r="O61" s="519"/>
      <c r="P61" s="2689"/>
      <c r="Q61" s="504"/>
    </row>
    <row r="62" spans="1:29" s="117" customFormat="1" ht="14.4">
      <c r="A62" s="521" t="s">
        <v>2553</v>
      </c>
      <c r="B62" s="510"/>
      <c r="C62" s="522" t="s">
        <v>2655</v>
      </c>
      <c r="D62" s="523"/>
      <c r="E62" s="523"/>
      <c r="F62" s="523"/>
      <c r="G62" s="523"/>
      <c r="H62" s="523"/>
      <c r="I62" s="523"/>
      <c r="J62" s="523"/>
      <c r="K62" s="523"/>
      <c r="L62" s="524"/>
      <c r="M62" s="525"/>
      <c r="N62" s="1154"/>
      <c r="O62" s="1154"/>
      <c r="P62" s="2690"/>
      <c r="Q62" s="504"/>
    </row>
    <row r="63" spans="1:29" s="117" customFormat="1" ht="14.4" thickBot="1">
      <c r="A63" s="521"/>
      <c r="B63" s="510"/>
      <c r="C63" s="511">
        <v>100</v>
      </c>
      <c r="D63" s="512"/>
      <c r="E63" s="512"/>
      <c r="F63" s="512"/>
      <c r="G63" s="512"/>
      <c r="H63" s="512"/>
      <c r="I63" s="512"/>
      <c r="J63" s="512"/>
      <c r="K63" s="512"/>
      <c r="L63" s="512"/>
      <c r="M63" s="514"/>
      <c r="N63" s="1154"/>
      <c r="O63" s="1154"/>
      <c r="P63" s="2689"/>
      <c r="Q63" s="504"/>
    </row>
    <row r="64" spans="1:29" ht="14.4">
      <c r="A64" s="527" t="s">
        <v>2591</v>
      </c>
      <c r="B64" s="528" t="s">
        <v>2557</v>
      </c>
      <c r="C64" s="529">
        <f>C9</f>
        <v>0</v>
      </c>
      <c r="D64" s="530"/>
      <c r="E64" s="530"/>
      <c r="F64" s="530"/>
      <c r="G64" s="530"/>
      <c r="H64" s="530"/>
      <c r="I64" s="530"/>
      <c r="J64" s="530"/>
      <c r="K64" s="531"/>
      <c r="L64" s="532"/>
      <c r="M64" s="533"/>
      <c r="N64" s="1155"/>
      <c r="O64" s="1155"/>
      <c r="P64" s="2691"/>
      <c r="Q64" s="504"/>
    </row>
    <row r="65" spans="1:17" ht="14.4" thickBot="1">
      <c r="A65" s="534"/>
      <c r="B65" s="535"/>
      <c r="C65" s="536">
        <v>100</v>
      </c>
      <c r="D65" s="536"/>
      <c r="E65" s="536"/>
      <c r="F65" s="536"/>
      <c r="G65" s="536"/>
      <c r="H65" s="536"/>
      <c r="I65" s="536"/>
      <c r="J65" s="536"/>
      <c r="K65" s="536"/>
      <c r="L65" s="536"/>
      <c r="M65" s="537"/>
      <c r="N65" s="1156"/>
      <c r="O65" s="1156"/>
      <c r="P65" s="2691"/>
      <c r="Q65" s="504"/>
    </row>
    <row r="66" spans="1:17" ht="29.4"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c r="A69" s="534"/>
      <c r="B69" s="548"/>
      <c r="C69" s="549"/>
      <c r="D69" s="549"/>
      <c r="E69" s="549"/>
      <c r="F69" s="549"/>
      <c r="G69" s="549"/>
      <c r="H69" s="549"/>
      <c r="I69" s="549"/>
      <c r="J69" s="549"/>
      <c r="K69" s="550"/>
      <c r="L69" s="551"/>
      <c r="M69" s="552"/>
      <c r="N69" s="1155"/>
      <c r="O69" s="1155"/>
      <c r="P69" s="269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4.4" thickTop="1">
      <c r="A71" s="553"/>
      <c r="B71" s="538">
        <f>B12</f>
        <v>111</v>
      </c>
      <c r="C71" s="554"/>
      <c r="D71" s="554"/>
      <c r="E71" s="554"/>
      <c r="F71" s="554"/>
      <c r="G71" s="554"/>
      <c r="H71" s="555"/>
      <c r="I71" s="555"/>
      <c r="J71" s="555"/>
      <c r="K71" s="555"/>
      <c r="L71" s="556"/>
      <c r="M71" s="557"/>
      <c r="N71" s="1157"/>
      <c r="O71" s="1157"/>
      <c r="P71" s="2692"/>
      <c r="Q71" s="559"/>
    </row>
    <row r="72" spans="1:17" s="471" customFormat="1" ht="14.4" thickBot="1">
      <c r="A72" s="553"/>
      <c r="B72" s="543"/>
      <c r="C72" s="560"/>
      <c r="D72" s="536"/>
      <c r="E72" s="536"/>
      <c r="F72" s="536"/>
      <c r="G72" s="536"/>
      <c r="H72" s="536"/>
      <c r="I72" s="536"/>
      <c r="J72" s="536"/>
      <c r="K72" s="536"/>
      <c r="L72" s="536"/>
      <c r="M72" s="537"/>
      <c r="N72" s="1156"/>
      <c r="O72" s="1156"/>
      <c r="P72" s="2692"/>
      <c r="Q72" s="559"/>
    </row>
    <row r="73" spans="1:17" s="471" customFormat="1" ht="14.4" thickTop="1">
      <c r="A73" s="553"/>
      <c r="B73" s="538">
        <f>B13</f>
        <v>111</v>
      </c>
      <c r="C73" s="554"/>
      <c r="D73" s="554"/>
      <c r="E73" s="554"/>
      <c r="F73" s="554"/>
      <c r="G73" s="554"/>
      <c r="H73" s="555"/>
      <c r="I73" s="555"/>
      <c r="J73" s="555"/>
      <c r="K73" s="555"/>
      <c r="L73" s="556"/>
      <c r="M73" s="557"/>
      <c r="N73" s="1157"/>
      <c r="O73" s="1157"/>
      <c r="P73" s="2693"/>
      <c r="Q73" s="561"/>
    </row>
    <row r="74" spans="1:17" s="471" customFormat="1" ht="14.4" thickBot="1">
      <c r="A74" s="553"/>
      <c r="B74" s="543"/>
      <c r="C74" s="560"/>
      <c r="D74" s="560"/>
      <c r="E74" s="560"/>
      <c r="F74" s="560"/>
      <c r="G74" s="560"/>
      <c r="H74" s="562"/>
      <c r="I74" s="562"/>
      <c r="J74" s="562"/>
      <c r="K74" s="562"/>
      <c r="L74" s="562"/>
      <c r="M74" s="563"/>
      <c r="N74" s="1157"/>
      <c r="O74" s="1157"/>
      <c r="P74" s="2692"/>
      <c r="Q74" s="559"/>
    </row>
    <row r="75" spans="1:17" s="471" customFormat="1" ht="14.4" thickTop="1">
      <c r="A75" s="553"/>
      <c r="B75" s="546">
        <f>B14</f>
        <v>111</v>
      </c>
      <c r="C75" s="523"/>
      <c r="D75" s="523"/>
      <c r="E75" s="523"/>
      <c r="F75" s="523"/>
      <c r="G75" s="523"/>
      <c r="H75" s="564"/>
      <c r="I75" s="564"/>
      <c r="J75" s="564"/>
      <c r="K75" s="564"/>
      <c r="L75" s="565"/>
      <c r="M75" s="566"/>
      <c r="N75" s="1157"/>
      <c r="O75" s="1157"/>
      <c r="P75" s="2694"/>
      <c r="Q75" s="559"/>
    </row>
    <row r="76" spans="1:17" s="471" customFormat="1" ht="14.4" thickBot="1">
      <c r="A76" s="568"/>
      <c r="B76" s="569"/>
      <c r="C76" s="570"/>
      <c r="D76" s="570"/>
      <c r="E76" s="570"/>
      <c r="F76" s="570"/>
      <c r="G76" s="570"/>
      <c r="H76" s="571"/>
      <c r="I76" s="571"/>
      <c r="J76" s="571"/>
      <c r="K76" s="571"/>
      <c r="L76" s="571"/>
      <c r="M76" s="572"/>
      <c r="N76" s="1157"/>
      <c r="O76" s="1157"/>
      <c r="P76" s="2692"/>
      <c r="Q76" s="559"/>
    </row>
    <row r="77" spans="1:17" ht="14.4">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9.4" thickTop="1">
      <c r="A87" s="579"/>
      <c r="B87" s="538" t="s">
        <v>2702</v>
      </c>
      <c r="C87" s="554"/>
      <c r="D87" s="554"/>
      <c r="E87" s="554"/>
      <c r="F87" s="554"/>
      <c r="G87" s="554"/>
      <c r="H87" s="554"/>
      <c r="I87" s="554"/>
      <c r="J87" s="554"/>
      <c r="K87" s="554"/>
      <c r="L87" s="580"/>
      <c r="M87" s="581"/>
      <c r="N87" s="1154"/>
      <c r="O87" s="1154"/>
      <c r="P87" s="269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4.4"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4.4" thickTop="1">
      <c r="A93" s="534"/>
      <c r="B93" s="538">
        <f>B29</f>
        <v>111</v>
      </c>
      <c r="C93" s="554"/>
      <c r="D93" s="554"/>
      <c r="E93" s="554"/>
      <c r="F93" s="554"/>
      <c r="G93" s="554"/>
      <c r="H93" s="554"/>
      <c r="I93" s="554"/>
      <c r="J93" s="554"/>
      <c r="K93" s="554"/>
      <c r="L93" s="580"/>
      <c r="M93" s="581"/>
      <c r="N93" s="1155"/>
      <c r="O93" s="1155"/>
      <c r="P93" s="2691"/>
      <c r="Q93" s="504"/>
    </row>
    <row r="94" spans="1:17" ht="14.4" thickBot="1">
      <c r="A94" s="534"/>
      <c r="B94" s="543"/>
      <c r="C94" s="560"/>
      <c r="D94" s="536"/>
      <c r="E94" s="536"/>
      <c r="F94" s="536"/>
      <c r="G94" s="536"/>
      <c r="H94" s="536"/>
      <c r="I94" s="536"/>
      <c r="J94" s="536"/>
      <c r="K94" s="536"/>
      <c r="L94" s="536"/>
      <c r="M94" s="537"/>
      <c r="N94" s="1156"/>
      <c r="O94" s="1156"/>
      <c r="P94" s="2691"/>
      <c r="Q94" s="504"/>
    </row>
    <row r="95" spans="1:17" ht="14.4" thickTop="1">
      <c r="A95" s="534"/>
      <c r="B95" s="538">
        <f>B30</f>
        <v>111</v>
      </c>
      <c r="C95" s="554"/>
      <c r="D95" s="554"/>
      <c r="E95" s="554"/>
      <c r="F95" s="554"/>
      <c r="G95" s="583"/>
      <c r="H95" s="583"/>
      <c r="I95" s="583"/>
      <c r="J95" s="583"/>
      <c r="K95" s="584"/>
      <c r="L95" s="585"/>
      <c r="M95" s="586"/>
      <c r="N95" s="1155"/>
      <c r="O95" s="1155"/>
      <c r="P95" s="2691"/>
      <c r="Q95" s="504"/>
    </row>
    <row r="96" spans="1:17" ht="14.4" thickBot="1">
      <c r="A96" s="534"/>
      <c r="B96" s="543"/>
      <c r="C96" s="560"/>
      <c r="D96" s="560"/>
      <c r="E96" s="560"/>
      <c r="F96" s="560"/>
      <c r="G96" s="536"/>
      <c r="H96" s="536"/>
      <c r="I96" s="536"/>
      <c r="J96" s="536"/>
      <c r="K96" s="536"/>
      <c r="L96" s="536"/>
      <c r="M96" s="537"/>
      <c r="N96" s="1156"/>
      <c r="O96" s="1156"/>
      <c r="P96" s="2691"/>
      <c r="Q96" s="504"/>
    </row>
    <row r="97" spans="1:17" ht="14.4" thickTop="1">
      <c r="A97" s="534"/>
      <c r="B97" s="538">
        <f>B31</f>
        <v>111</v>
      </c>
      <c r="C97" s="554"/>
      <c r="D97" s="554"/>
      <c r="E97" s="554"/>
      <c r="F97" s="554"/>
      <c r="G97" s="583"/>
      <c r="H97" s="583"/>
      <c r="I97" s="583"/>
      <c r="J97" s="583"/>
      <c r="K97" s="584"/>
      <c r="L97" s="585"/>
      <c r="M97" s="586"/>
      <c r="N97" s="1155"/>
      <c r="O97" s="1155"/>
      <c r="P97" s="2691"/>
      <c r="Q97" s="504"/>
    </row>
    <row r="98" spans="1:17" ht="14.4" thickBot="1">
      <c r="A98" s="534"/>
      <c r="B98" s="543"/>
      <c r="C98" s="560"/>
      <c r="D98" s="536"/>
      <c r="E98" s="536"/>
      <c r="F98" s="536"/>
      <c r="G98" s="536"/>
      <c r="H98" s="536"/>
      <c r="I98" s="536"/>
      <c r="J98" s="536"/>
      <c r="K98" s="536"/>
      <c r="L98" s="536"/>
      <c r="M98" s="537"/>
      <c r="N98" s="1156"/>
      <c r="O98" s="1156"/>
      <c r="P98" s="2691"/>
      <c r="Q98" s="504"/>
    </row>
    <row r="99" spans="1:17" ht="14.4" thickTop="1">
      <c r="A99" s="534"/>
      <c r="B99" s="546">
        <f>B32</f>
        <v>111</v>
      </c>
      <c r="C99" s="523"/>
      <c r="D99" s="523"/>
      <c r="E99" s="523"/>
      <c r="F99" s="523"/>
      <c r="G99" s="587"/>
      <c r="H99" s="587"/>
      <c r="I99" s="587"/>
      <c r="J99" s="587"/>
      <c r="K99" s="588"/>
      <c r="L99" s="589"/>
      <c r="M99" s="590"/>
      <c r="N99" s="1155"/>
      <c r="O99" s="1155"/>
      <c r="P99" s="2691"/>
      <c r="Q99" s="504"/>
    </row>
    <row r="100" spans="1:17" ht="14.4" thickBot="1">
      <c r="A100" s="2643"/>
      <c r="B100" s="569"/>
      <c r="C100" s="570"/>
      <c r="D100" s="570"/>
      <c r="E100" s="570"/>
      <c r="F100" s="570"/>
      <c r="G100" s="591"/>
      <c r="H100" s="591"/>
      <c r="I100" s="591"/>
      <c r="J100" s="591"/>
      <c r="K100" s="591"/>
      <c r="L100" s="591"/>
      <c r="M100" s="592"/>
      <c r="N100" s="1156"/>
      <c r="O100" s="1156"/>
      <c r="P100" s="2691"/>
      <c r="Q100" s="504"/>
    </row>
    <row r="101" spans="1:17" ht="14.4">
      <c r="A101" s="527" t="s">
        <v>2566</v>
      </c>
      <c r="B101" s="528" t="s">
        <v>2615</v>
      </c>
      <c r="C101" s="530"/>
      <c r="D101" s="530"/>
      <c r="E101" s="530"/>
      <c r="F101" s="530"/>
      <c r="G101" s="530"/>
      <c r="H101" s="530"/>
      <c r="I101" s="530"/>
      <c r="J101" s="530"/>
      <c r="K101" s="531"/>
      <c r="L101" s="532"/>
      <c r="M101" s="533"/>
      <c r="N101" s="1155"/>
      <c r="O101" s="1155"/>
      <c r="P101" s="269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29.4"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2"/>
      <c r="Q128" s="559"/>
    </row>
    <row r="129" spans="1:17" ht="14.4" thickTop="1">
      <c r="A129" s="599"/>
      <c r="B129" s="538">
        <f>B46</f>
        <v>111</v>
      </c>
      <c r="C129" s="554"/>
      <c r="D129" s="554"/>
      <c r="E129" s="554"/>
      <c r="F129" s="554"/>
      <c r="G129" s="583"/>
      <c r="H129" s="583"/>
      <c r="I129" s="583"/>
      <c r="J129" s="583"/>
      <c r="K129" s="584"/>
      <c r="L129" s="585"/>
      <c r="M129" s="586"/>
      <c r="N129" s="1155"/>
      <c r="O129" s="1155"/>
      <c r="P129" s="2691"/>
      <c r="Q129" s="504"/>
    </row>
    <row r="130" spans="1:17" ht="14.4" thickBot="1">
      <c r="A130" s="534"/>
      <c r="B130" s="543"/>
      <c r="C130" s="560"/>
      <c r="D130" s="560"/>
      <c r="E130" s="560"/>
      <c r="F130" s="560"/>
      <c r="G130" s="536"/>
      <c r="H130" s="536"/>
      <c r="I130" s="536"/>
      <c r="J130" s="536"/>
      <c r="K130" s="536"/>
      <c r="L130" s="536"/>
      <c r="M130" s="537"/>
      <c r="N130" s="1156"/>
      <c r="O130" s="1156"/>
      <c r="P130" s="2691"/>
      <c r="Q130" s="504"/>
    </row>
    <row r="131" spans="1:17" ht="14.4" thickTop="1">
      <c r="A131" s="599"/>
      <c r="B131" s="546">
        <f>B47</f>
        <v>111</v>
      </c>
      <c r="C131" s="523"/>
      <c r="D131" s="523"/>
      <c r="E131" s="523"/>
      <c r="F131" s="523"/>
      <c r="G131" s="587"/>
      <c r="H131" s="587"/>
      <c r="I131" s="587"/>
      <c r="J131" s="587"/>
      <c r="K131" s="523"/>
      <c r="L131" s="524"/>
      <c r="M131" s="590"/>
      <c r="N131" s="1155"/>
      <c r="O131" s="1155"/>
      <c r="P131" s="2691"/>
      <c r="Q131" s="504"/>
    </row>
    <row r="132" spans="1:17" ht="14.4"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64" t="s">
        <v>2651</v>
      </c>
      <c r="AC4" s="3163" t="s">
        <v>2652</v>
      </c>
    </row>
    <row r="5" spans="1:29">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64"/>
      <c r="AC5" s="3164"/>
    </row>
    <row r="6" spans="1:29" ht="15" thickBot="1">
      <c r="A6" s="406"/>
      <c r="B6" s="407"/>
      <c r="C6" s="3176" t="s">
        <v>2549</v>
      </c>
      <c r="D6" s="3177"/>
      <c r="E6" s="3178" t="s">
        <v>2549</v>
      </c>
      <c r="F6" s="3179"/>
      <c r="G6" s="3176" t="s">
        <v>2549</v>
      </c>
      <c r="H6" s="3177"/>
      <c r="I6" s="3176" t="s">
        <v>2549</v>
      </c>
      <c r="J6" s="3177"/>
      <c r="K6" s="610" t="s">
        <v>2550</v>
      </c>
      <c r="L6" s="1133"/>
      <c r="M6" s="1134"/>
      <c r="N6" s="1134"/>
      <c r="O6" s="1134"/>
      <c r="P6" s="3189"/>
      <c r="Q6" s="3190"/>
      <c r="R6" s="3170"/>
      <c r="S6" s="3171"/>
      <c r="T6" s="3191"/>
      <c r="U6" s="3192"/>
      <c r="V6" s="3193"/>
      <c r="W6" s="3193"/>
      <c r="X6" s="1816"/>
      <c r="Y6" s="3191"/>
      <c r="Z6" s="3192"/>
      <c r="AA6" s="3165"/>
      <c r="AB6" s="3165"/>
      <c r="AC6" s="3165"/>
    </row>
    <row r="7" spans="1:29" s="117" customFormat="1" ht="15" thickBot="1">
      <c r="A7" s="408" t="s">
        <v>2551</v>
      </c>
      <c r="B7" s="409"/>
      <c r="C7" s="410">
        <f>'数据-取费表'!B2</f>
        <v>0</v>
      </c>
      <c r="D7" s="411">
        <v>100</v>
      </c>
      <c r="E7" s="412"/>
      <c r="F7" s="413">
        <f>SUMIF(52:52,YEAR(E7)&amp;"-"&amp;MONTH(E7),53:53)</f>
        <v>100</v>
      </c>
      <c r="G7" s="412"/>
      <c r="H7" s="411">
        <f>SUMIF(52:52,YEAR(G7)&amp;"-"&amp;MONTH(G7),53:53)</f>
        <v>100</v>
      </c>
      <c r="I7" s="412"/>
      <c r="J7" s="411">
        <f>SUMIF(52:52,YEAR(I7)&amp;"-"&amp;MONTH(I7),53:53)</f>
        <v>100</v>
      </c>
      <c r="K7" s="611"/>
      <c r="L7" s="1135"/>
      <c r="M7" s="1136"/>
      <c r="N7" s="1136"/>
      <c r="O7" s="1136"/>
      <c r="P7" s="3166" t="s">
        <v>2552</v>
      </c>
      <c r="Q7" s="3194"/>
      <c r="R7" s="770" t="s">
        <v>17</v>
      </c>
      <c r="S7" s="771">
        <f t="shared" ref="S7:S15" si="0">F7</f>
        <v>100</v>
      </c>
      <c r="T7" s="770" t="s">
        <v>17</v>
      </c>
      <c r="U7" s="771">
        <f t="shared" ref="U7:U15" si="1">H7</f>
        <v>100</v>
      </c>
      <c r="V7" s="770" t="s">
        <v>17</v>
      </c>
      <c r="W7" s="771">
        <f t="shared" ref="W7:W15" si="2">J7</f>
        <v>100</v>
      </c>
      <c r="X7" s="772"/>
      <c r="Y7" s="3166" t="s">
        <v>2552</v>
      </c>
      <c r="Z7" s="3167"/>
      <c r="AA7" s="773">
        <f>D7/F7</f>
        <v>1</v>
      </c>
      <c r="AB7" s="773">
        <f>D7/H7</f>
        <v>1</v>
      </c>
      <c r="AC7" s="773">
        <f>D7/J7</f>
        <v>1</v>
      </c>
    </row>
    <row r="8" spans="1:29" s="117" customFormat="1" ht="1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40" si="3">D8/F8</f>
        <v>#DIV/0!</v>
      </c>
      <c r="AB8" s="773" t="e">
        <f t="shared" ref="AB8:AB40" si="4">D8/H8</f>
        <v>#DIV/0!</v>
      </c>
      <c r="AC8" s="773" t="e">
        <f t="shared" ref="AC8:AC40" si="5">D8/J8</f>
        <v>#DIV/0!</v>
      </c>
    </row>
    <row r="9" spans="1:29" s="117" customFormat="1" ht="14.4">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8"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69">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0" t="s">
        <v>2563</v>
      </c>
      <c r="Q15" s="1813" t="str">
        <f t="shared" si="6"/>
        <v>产业集聚程度</v>
      </c>
      <c r="R15" s="774" t="s">
        <v>17</v>
      </c>
      <c r="S15" s="775">
        <f t="shared" si="0"/>
        <v>100</v>
      </c>
      <c r="T15" s="774" t="s">
        <v>17</v>
      </c>
      <c r="U15" s="775">
        <f t="shared" si="1"/>
        <v>100</v>
      </c>
      <c r="V15" s="774" t="s">
        <v>17</v>
      </c>
      <c r="W15" s="775">
        <f t="shared" si="2"/>
        <v>100</v>
      </c>
      <c r="X15" s="1816"/>
      <c r="Y15" s="3200"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1"/>
      <c r="Q16" s="1813"/>
      <c r="R16" s="774"/>
      <c r="S16" s="775"/>
      <c r="T16" s="774"/>
      <c r="U16" s="775"/>
      <c r="V16" s="774"/>
      <c r="W16" s="775"/>
      <c r="X16" s="1816"/>
      <c r="Y16" s="3201"/>
      <c r="Z16" s="1817"/>
      <c r="AA16" s="1814">
        <v>1</v>
      </c>
      <c r="AB16" s="1814">
        <v>1</v>
      </c>
      <c r="AC16" s="1814">
        <v>1</v>
      </c>
    </row>
    <row r="17" spans="1:29" ht="96.6">
      <c r="A17" s="428"/>
      <c r="B17" s="451" t="s">
        <v>2098</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1"/>
      <c r="Q18" s="1813"/>
      <c r="R18" s="774"/>
      <c r="S18" s="775"/>
      <c r="T18" s="774"/>
      <c r="U18" s="775"/>
      <c r="V18" s="774"/>
      <c r="W18" s="775"/>
      <c r="X18" s="1816"/>
      <c r="Y18" s="3201"/>
      <c r="Z18" s="1817"/>
      <c r="AA18" s="1814">
        <v>1</v>
      </c>
      <c r="AB18" s="1814">
        <v>1</v>
      </c>
      <c r="AC18" s="1814">
        <v>1</v>
      </c>
    </row>
    <row r="19" spans="1:29" ht="41.4">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1"/>
      <c r="Q19" s="1813" t="str">
        <f>B19</f>
        <v>公共配套设施</v>
      </c>
      <c r="R19" s="774" t="s">
        <v>17</v>
      </c>
      <c r="S19" s="775">
        <f>F19</f>
        <v>100</v>
      </c>
      <c r="T19" s="774" t="s">
        <v>17</v>
      </c>
      <c r="U19" s="775">
        <f>H19</f>
        <v>100</v>
      </c>
      <c r="V19" s="774" t="s">
        <v>17</v>
      </c>
      <c r="W19" s="775">
        <f>J19</f>
        <v>100</v>
      </c>
      <c r="X19" s="1816"/>
      <c r="Y19" s="320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1"/>
      <c r="Q20" s="1813"/>
      <c r="R20" s="774"/>
      <c r="S20" s="775"/>
      <c r="T20" s="774"/>
      <c r="U20" s="775"/>
      <c r="V20" s="774"/>
      <c r="W20" s="775"/>
      <c r="X20" s="1816"/>
      <c r="Y20" s="3201"/>
      <c r="Z20" s="1817"/>
      <c r="AA20" s="1814">
        <v>1</v>
      </c>
      <c r="AB20" s="1814">
        <v>1</v>
      </c>
      <c r="AC20" s="1814">
        <v>1</v>
      </c>
    </row>
    <row r="21" spans="1:29" ht="41.4">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1"/>
      <c r="Q21" s="1813" t="str">
        <f>B21</f>
        <v>基础设施水平</v>
      </c>
      <c r="R21" s="774" t="s">
        <v>17</v>
      </c>
      <c r="S21" s="775">
        <f>F21</f>
        <v>100</v>
      </c>
      <c r="T21" s="774" t="s">
        <v>17</v>
      </c>
      <c r="U21" s="775">
        <f>H21</f>
        <v>100</v>
      </c>
      <c r="V21" s="774" t="s">
        <v>17</v>
      </c>
      <c r="W21" s="775">
        <f>J21</f>
        <v>100</v>
      </c>
      <c r="X21" s="1816"/>
      <c r="Y21" s="320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1"/>
      <c r="Q22" s="1813"/>
      <c r="R22" s="774"/>
      <c r="S22" s="775"/>
      <c r="T22" s="774"/>
      <c r="U22" s="775"/>
      <c r="V22" s="774"/>
      <c r="W22" s="775"/>
      <c r="X22" s="1816"/>
      <c r="Y22" s="3201"/>
      <c r="Z22" s="1817"/>
      <c r="AA22" s="1814">
        <v>1</v>
      </c>
      <c r="AB22" s="1814">
        <v>1</v>
      </c>
      <c r="AC22" s="1814">
        <v>1</v>
      </c>
    </row>
    <row r="23" spans="1:29" ht="82.8">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1"/>
      <c r="Q23" s="1813" t="str">
        <f>B23</f>
        <v>环境质量</v>
      </c>
      <c r="R23" s="774" t="s">
        <v>17</v>
      </c>
      <c r="S23" s="775">
        <f>F23</f>
        <v>100</v>
      </c>
      <c r="T23" s="774" t="s">
        <v>17</v>
      </c>
      <c r="U23" s="775">
        <f>H23</f>
        <v>100</v>
      </c>
      <c r="V23" s="774" t="s">
        <v>17</v>
      </c>
      <c r="W23" s="775">
        <f>J23</f>
        <v>100</v>
      </c>
      <c r="X23" s="1816"/>
      <c r="Y23" s="3201"/>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1"/>
      <c r="Q24" s="1813"/>
      <c r="R24" s="774"/>
      <c r="S24" s="775"/>
      <c r="T24" s="774"/>
      <c r="U24" s="775"/>
      <c r="V24" s="774"/>
      <c r="W24" s="775"/>
      <c r="X24" s="1816"/>
      <c r="Y24" s="320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1"/>
      <c r="Q25" s="1813">
        <f>B25</f>
        <v>111</v>
      </c>
      <c r="R25" s="774" t="s">
        <v>17</v>
      </c>
      <c r="S25" s="775">
        <f>F25</f>
        <v>100</v>
      </c>
      <c r="T25" s="774" t="s">
        <v>17</v>
      </c>
      <c r="U25" s="775">
        <f>H25</f>
        <v>100</v>
      </c>
      <c r="V25" s="774" t="s">
        <v>17</v>
      </c>
      <c r="W25" s="775">
        <f>J25</f>
        <v>100</v>
      </c>
      <c r="X25" s="1816"/>
      <c r="Y25" s="320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1"/>
      <c r="Q26" s="1813">
        <f t="shared" ref="Q26:Q40" si="11">B26</f>
        <v>111</v>
      </c>
      <c r="R26" s="774" t="s">
        <v>17</v>
      </c>
      <c r="S26" s="775">
        <f>F26</f>
        <v>100</v>
      </c>
      <c r="T26" s="774" t="s">
        <v>17</v>
      </c>
      <c r="U26" s="775">
        <f>H26</f>
        <v>100</v>
      </c>
      <c r="V26" s="774" t="s">
        <v>17</v>
      </c>
      <c r="W26" s="775">
        <f>J26</f>
        <v>100</v>
      </c>
      <c r="X26" s="1816"/>
      <c r="Y26" s="320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1"/>
      <c r="Q27" s="1798">
        <f t="shared" si="11"/>
        <v>111</v>
      </c>
      <c r="R27" s="770" t="s">
        <v>17</v>
      </c>
      <c r="S27" s="771">
        <f>F27</f>
        <v>100</v>
      </c>
      <c r="T27" s="770" t="s">
        <v>17</v>
      </c>
      <c r="U27" s="771">
        <f>H27</f>
        <v>100</v>
      </c>
      <c r="V27" s="770" t="s">
        <v>17</v>
      </c>
      <c r="W27" s="771">
        <f>J27</f>
        <v>100</v>
      </c>
      <c r="X27" s="772"/>
      <c r="Y27" s="320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1"/>
      <c r="Q28" s="1813">
        <f t="shared" si="11"/>
        <v>111</v>
      </c>
      <c r="R28" s="774" t="s">
        <v>17</v>
      </c>
      <c r="S28" s="775">
        <f t="shared" ref="S28:S40" si="12">F28</f>
        <v>100</v>
      </c>
      <c r="T28" s="774" t="s">
        <v>17</v>
      </c>
      <c r="U28" s="775">
        <f t="shared" ref="U28:U40" si="13">H28</f>
        <v>100</v>
      </c>
      <c r="V28" s="774" t="s">
        <v>17</v>
      </c>
      <c r="W28" s="775">
        <f t="shared" ref="W28:W40" si="14">J28</f>
        <v>100</v>
      </c>
      <c r="X28" s="1816"/>
      <c r="Y28" s="3201"/>
      <c r="Z28" s="1817">
        <f t="shared" ref="Z28:Z40" si="15">Q28</f>
        <v>111</v>
      </c>
      <c r="AA28" s="1814">
        <f t="shared" si="3"/>
        <v>1</v>
      </c>
      <c r="AB28" s="1814">
        <f t="shared" si="4"/>
        <v>1</v>
      </c>
      <c r="AC28" s="1814">
        <f t="shared" si="5"/>
        <v>1</v>
      </c>
    </row>
    <row r="29" spans="1:29" ht="30">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4" t="s">
        <v>2568</v>
      </c>
      <c r="Q29" s="1813" t="str">
        <f t="shared" si="11"/>
        <v>建筑类型</v>
      </c>
      <c r="R29" s="774" t="s">
        <v>17</v>
      </c>
      <c r="S29" s="775">
        <f t="shared" si="12"/>
        <v>100</v>
      </c>
      <c r="T29" s="774" t="s">
        <v>17</v>
      </c>
      <c r="U29" s="775">
        <f t="shared" si="13"/>
        <v>100</v>
      </c>
      <c r="V29" s="774" t="s">
        <v>17</v>
      </c>
      <c r="W29" s="775">
        <f t="shared" si="14"/>
        <v>100</v>
      </c>
      <c r="X29" s="1816"/>
      <c r="Y29" s="3205"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5"/>
      <c r="Q31" s="1813" t="str">
        <f t="shared" si="11"/>
        <v>建筑结构</v>
      </c>
      <c r="R31" s="774" t="s">
        <v>17</v>
      </c>
      <c r="S31" s="775">
        <f t="shared" si="12"/>
        <v>100</v>
      </c>
      <c r="T31" s="774" t="s">
        <v>17</v>
      </c>
      <c r="U31" s="775">
        <f t="shared" si="13"/>
        <v>100</v>
      </c>
      <c r="V31" s="774" t="s">
        <v>17</v>
      </c>
      <c r="W31" s="775">
        <f t="shared" si="14"/>
        <v>100</v>
      </c>
      <c r="X31" s="1816"/>
      <c r="Y31" s="3205"/>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5"/>
      <c r="Q32" s="1813" t="str">
        <f t="shared" si="11"/>
        <v>公共部分装修</v>
      </c>
      <c r="R32" s="774" t="s">
        <v>17</v>
      </c>
      <c r="S32" s="775">
        <f t="shared" si="12"/>
        <v>100</v>
      </c>
      <c r="T32" s="774" t="s">
        <v>17</v>
      </c>
      <c r="U32" s="775">
        <f t="shared" si="13"/>
        <v>100</v>
      </c>
      <c r="V32" s="774" t="s">
        <v>17</v>
      </c>
      <c r="W32" s="775">
        <f t="shared" si="14"/>
        <v>100</v>
      </c>
      <c r="X32" s="1816"/>
      <c r="Y32" s="3205"/>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5"/>
      <c r="Q33" s="1813" t="str">
        <f t="shared" si="11"/>
        <v>成新度</v>
      </c>
      <c r="R33" s="774" t="s">
        <v>17</v>
      </c>
      <c r="S33" s="775" t="e">
        <f t="shared" si="12"/>
        <v>#N/A</v>
      </c>
      <c r="T33" s="774" t="s">
        <v>17</v>
      </c>
      <c r="U33" s="775" t="e">
        <f t="shared" si="13"/>
        <v>#N/A</v>
      </c>
      <c r="V33" s="774" t="s">
        <v>17</v>
      </c>
      <c r="W33" s="775" t="e">
        <f t="shared" si="14"/>
        <v>#N/A</v>
      </c>
      <c r="X33" s="1816"/>
      <c r="Y33" s="3205"/>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5"/>
      <c r="Q34" s="1798"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5" t="s">
        <v>2568</v>
      </c>
      <c r="Q35" s="1813" t="str">
        <f t="shared" si="11"/>
        <v>市政基础设施</v>
      </c>
      <c r="R35" s="774" t="s">
        <v>17</v>
      </c>
      <c r="S35" s="775">
        <f t="shared" si="12"/>
        <v>100</v>
      </c>
      <c r="T35" s="774" t="s">
        <v>17</v>
      </c>
      <c r="U35" s="775">
        <f t="shared" si="13"/>
        <v>100</v>
      </c>
      <c r="V35" s="774" t="s">
        <v>17</v>
      </c>
      <c r="W35" s="775">
        <f t="shared" si="14"/>
        <v>100</v>
      </c>
      <c r="X35" s="1816"/>
      <c r="Y35" s="3205"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5"/>
      <c r="Q36" s="1813" t="str">
        <f t="shared" si="11"/>
        <v>内部装修</v>
      </c>
      <c r="R36" s="774" t="s">
        <v>17</v>
      </c>
      <c r="S36" s="775">
        <f t="shared" si="12"/>
        <v>100</v>
      </c>
      <c r="T36" s="774" t="s">
        <v>17</v>
      </c>
      <c r="U36" s="775">
        <f t="shared" si="13"/>
        <v>100</v>
      </c>
      <c r="V36" s="774" t="s">
        <v>17</v>
      </c>
      <c r="W36" s="775">
        <f t="shared" si="14"/>
        <v>100</v>
      </c>
      <c r="X36" s="1816"/>
      <c r="Y36" s="3205"/>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5"/>
      <c r="Q37" s="1813" t="str">
        <f t="shared" si="11"/>
        <v>内部装修状况</v>
      </c>
      <c r="R37" s="774" t="s">
        <v>17</v>
      </c>
      <c r="S37" s="775">
        <f t="shared" si="12"/>
        <v>100</v>
      </c>
      <c r="T37" s="774" t="s">
        <v>17</v>
      </c>
      <c r="U37" s="775">
        <f t="shared" si="13"/>
        <v>100</v>
      </c>
      <c r="V37" s="774" t="s">
        <v>17</v>
      </c>
      <c r="W37" s="775">
        <f t="shared" si="14"/>
        <v>100</v>
      </c>
      <c r="X37" s="1816"/>
      <c r="Y37" s="320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5"/>
      <c r="Q39" s="1813">
        <f t="shared" si="11"/>
        <v>111</v>
      </c>
      <c r="R39" s="774" t="s">
        <v>17</v>
      </c>
      <c r="S39" s="775">
        <f t="shared" si="12"/>
        <v>100</v>
      </c>
      <c r="T39" s="774" t="s">
        <v>17</v>
      </c>
      <c r="U39" s="775">
        <f t="shared" si="13"/>
        <v>100</v>
      </c>
      <c r="V39" s="774" t="s">
        <v>17</v>
      </c>
      <c r="W39" s="775">
        <f t="shared" si="14"/>
        <v>100</v>
      </c>
      <c r="X39" s="1816"/>
      <c r="Y39" s="3205"/>
      <c r="Z39" s="1817">
        <f t="shared" si="15"/>
        <v>111</v>
      </c>
      <c r="AA39" s="1814">
        <f t="shared" si="3"/>
        <v>1</v>
      </c>
      <c r="AB39" s="1814">
        <f t="shared" si="4"/>
        <v>1</v>
      </c>
      <c r="AC39" s="1814">
        <f t="shared" si="5"/>
        <v>1</v>
      </c>
    </row>
    <row r="40" spans="1:29" ht="15.6"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6"/>
      <c r="Q40" s="1813">
        <f t="shared" si="11"/>
        <v>111</v>
      </c>
      <c r="R40" s="774" t="s">
        <v>17</v>
      </c>
      <c r="S40" s="775">
        <f t="shared" si="12"/>
        <v>100</v>
      </c>
      <c r="T40" s="774" t="s">
        <v>17</v>
      </c>
      <c r="U40" s="775">
        <f t="shared" si="13"/>
        <v>100</v>
      </c>
      <c r="V40" s="774" t="s">
        <v>17</v>
      </c>
      <c r="W40" s="775">
        <f t="shared" si="14"/>
        <v>100</v>
      </c>
      <c r="X40" s="1816"/>
      <c r="Y40" s="3206"/>
      <c r="Z40" s="1817">
        <f t="shared" si="15"/>
        <v>111</v>
      </c>
      <c r="AA40" s="1814">
        <f t="shared" si="3"/>
        <v>1</v>
      </c>
      <c r="AB40" s="1814">
        <f t="shared" si="4"/>
        <v>1</v>
      </c>
      <c r="AC40" s="1814">
        <f t="shared" si="5"/>
        <v>1</v>
      </c>
    </row>
    <row r="41" spans="1:29" ht="14.4">
      <c r="A41" s="479" t="s">
        <v>2580</v>
      </c>
      <c r="B41" s="480"/>
      <c r="C41" s="1410" t="s">
        <v>1</v>
      </c>
      <c r="D41" s="1411"/>
      <c r="E41" s="1412"/>
      <c r="F41" s="1413"/>
      <c r="G41" s="1414"/>
      <c r="H41" s="1415"/>
      <c r="I41" s="1412"/>
      <c r="J41" s="1415"/>
      <c r="K41" s="783"/>
      <c r="L41" s="1146"/>
      <c r="M41" s="1147"/>
      <c r="N41" s="1134"/>
      <c r="O41" s="1147"/>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 thickBot="1">
      <c r="A43" s="492" t="s">
        <v>2673</v>
      </c>
      <c r="B43" s="493"/>
      <c r="C43" s="1420" t="e">
        <f>R43</f>
        <v>#DIV/0!</v>
      </c>
      <c r="D43" s="1420"/>
      <c r="E43" s="1420"/>
      <c r="F43" s="1420"/>
      <c r="G43" s="1420"/>
      <c r="H43" s="1420"/>
      <c r="I43" s="1420"/>
      <c r="J43" s="1420"/>
      <c r="K43" s="785"/>
      <c r="L43" s="1146"/>
      <c r="M43" s="1147"/>
      <c r="N43" s="1147"/>
      <c r="O43" s="1147"/>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2677</v>
      </c>
      <c r="B51" s="759"/>
      <c r="C51" s="764"/>
      <c r="D51" s="764"/>
      <c r="E51" s="764"/>
      <c r="F51" s="765"/>
      <c r="G51" s="765"/>
      <c r="H51" s="764"/>
      <c r="I51" s="764"/>
      <c r="J51" s="764"/>
      <c r="K51" s="1163"/>
      <c r="L51" s="1164"/>
      <c r="M51" s="1162"/>
      <c r="N51" s="1162"/>
      <c r="O51" s="1162"/>
      <c r="P51" s="503"/>
      <c r="Q51" s="504"/>
    </row>
    <row r="52" spans="1:17" s="508" customFormat="1" ht="14.4">
      <c r="A52" s="505" t="s">
        <v>2551</v>
      </c>
      <c r="B52" s="506"/>
      <c r="C52" s="1577" t="str">
        <f>YEAR(C7)&amp;"-"&amp;MONTH(C7)</f>
        <v>1900-1</v>
      </c>
      <c r="D52" s="1578" t="e">
        <f>EDATE(C52,-1)</f>
        <v>#NUM!</v>
      </c>
      <c r="E52" s="1578" t="e">
        <f t="shared" ref="E52:O52" si="16">EDATE(D52,-1)</f>
        <v>#NUM!</v>
      </c>
      <c r="F52" s="1578" t="e">
        <f t="shared" si="16"/>
        <v>#NUM!</v>
      </c>
      <c r="G52" s="1578" t="e">
        <f t="shared" si="16"/>
        <v>#NUM!</v>
      </c>
      <c r="H52" s="1578" t="e">
        <f t="shared" si="16"/>
        <v>#NUM!</v>
      </c>
      <c r="I52" s="1578" t="e">
        <f t="shared" si="16"/>
        <v>#NUM!</v>
      </c>
      <c r="J52" s="1578" t="e">
        <f t="shared" si="16"/>
        <v>#NUM!</v>
      </c>
      <c r="K52" s="1578" t="e">
        <f t="shared" si="16"/>
        <v>#NUM!</v>
      </c>
      <c r="L52" s="1578" t="e">
        <f t="shared" si="16"/>
        <v>#NUM!</v>
      </c>
      <c r="M52" s="1578" t="e">
        <f t="shared" si="16"/>
        <v>#NUM!</v>
      </c>
      <c r="N52" s="1578" t="e">
        <f t="shared" si="16"/>
        <v>#NUM!</v>
      </c>
      <c r="O52" s="1578" t="e">
        <f t="shared" si="16"/>
        <v>#NUM!</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2588</v>
      </c>
      <c r="B54" s="516"/>
      <c r="C54" s="517"/>
      <c r="D54" s="518"/>
      <c r="E54" s="518"/>
      <c r="F54" s="518"/>
      <c r="G54" s="518"/>
      <c r="H54" s="518"/>
      <c r="I54" s="518"/>
      <c r="J54" s="518"/>
      <c r="K54" s="518"/>
      <c r="L54" s="518"/>
      <c r="M54" s="519"/>
      <c r="N54" s="518"/>
      <c r="O54" s="520"/>
      <c r="P54" s="504"/>
      <c r="Q54" s="504"/>
    </row>
    <row r="55" spans="1:17" s="117" customFormat="1" ht="14.4">
      <c r="A55" s="521" t="s">
        <v>2553</v>
      </c>
      <c r="B55" s="510"/>
      <c r="C55" s="522" t="s">
        <v>2655</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2591</v>
      </c>
      <c r="B57" s="528" t="s">
        <v>2557</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3"/>
      <c r="B87" s="569"/>
      <c r="C87" s="570"/>
      <c r="D87" s="570"/>
      <c r="E87" s="570"/>
      <c r="F87" s="570"/>
      <c r="G87" s="591"/>
      <c r="H87" s="591"/>
      <c r="I87" s="591"/>
      <c r="J87" s="591"/>
      <c r="K87" s="591"/>
      <c r="L87" s="591"/>
      <c r="M87" s="592"/>
      <c r="N87" s="1156"/>
      <c r="O87" s="1156"/>
      <c r="P87" s="45"/>
      <c r="Q87" s="504"/>
    </row>
    <row r="88" spans="1:17" ht="14.4">
      <c r="A88" s="527" t="s">
        <v>2566</v>
      </c>
      <c r="B88" s="528" t="s">
        <v>2615</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受贵公司委托，我公司对出让国有建设用地使用权及在建建筑物房地产抵押价值进行了预评估。</v>
      </c>
    </row>
    <row r="5" spans="1:1" ht="17.399999999999999">
      <c r="A5" s="1952" t="s">
        <v>1608</v>
      </c>
    </row>
    <row r="6" spans="1:1" ht="17.399999999999999">
      <c r="A6" s="1953" t="s">
        <v>1609</v>
      </c>
    </row>
    <row r="7" spans="1:1" ht="17.399999999999999">
      <c r="A7" s="195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954" t="s">
        <v>1610</v>
      </c>
    </row>
    <row r="9" spans="1:1" ht="17.399999999999999">
      <c r="A9" s="1953" t="s">
        <v>1611</v>
      </c>
    </row>
    <row r="10" spans="1:1" ht="17.399999999999999">
      <c r="A10" s="195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954" t="s">
        <v>1612</v>
      </c>
    </row>
    <row r="12" spans="1:1" ht="17.399999999999999">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7.399999999999999">
      <c r="A14" s="1956" t="s">
        <v>1614</v>
      </c>
    </row>
    <row r="15" spans="1:1" ht="17.399999999999999">
      <c r="A15" s="1957" t="str">
        <f>TEXT(项目基本情况!D3,"yyyy年m月d日;;")&amp;IF(项目基本情况!D3=项目基本情况!B3,"（评估专业人员实地查勘之日）","")</f>
        <v>（评估专业人员实地查勘之日）</v>
      </c>
    </row>
    <row r="16" spans="1:1" ht="17.399999999999999">
      <c r="A16" s="1956" t="s">
        <v>1615</v>
      </c>
    </row>
    <row r="17" spans="1:1" ht="69.599999999999994">
      <c r="A17" s="1951" t="s">
        <v>1616</v>
      </c>
    </row>
    <row r="18" spans="1:1" ht="52.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1605</v>
      </c>
    </row>
    <row r="24" spans="1:1" ht="17.399999999999999">
      <c r="A24" s="1958" t="str">
        <f>"本次评估采用的主估价方法为"&amp;结果表!K4&amp;"和"&amp;结果表!L4&amp;"。"</f>
        <v>本次评估采用的主估价方法为基准地价系数修正法和基准地价系数修正法。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64" t="s">
        <v>2651</v>
      </c>
      <c r="AC4" s="3163" t="s">
        <v>2652</v>
      </c>
    </row>
    <row r="5" spans="1:29">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64"/>
      <c r="AC5" s="3164"/>
    </row>
    <row r="6" spans="1:29" ht="15" thickBot="1">
      <c r="A6" s="406"/>
      <c r="B6" s="407"/>
      <c r="C6" s="3176" t="s">
        <v>2549</v>
      </c>
      <c r="D6" s="3177"/>
      <c r="E6" s="3178" t="s">
        <v>2549</v>
      </c>
      <c r="F6" s="3179"/>
      <c r="G6" s="3176" t="s">
        <v>2549</v>
      </c>
      <c r="H6" s="3177"/>
      <c r="I6" s="3176" t="s">
        <v>2549</v>
      </c>
      <c r="J6" s="3177"/>
      <c r="K6" s="610" t="s">
        <v>2550</v>
      </c>
      <c r="L6" s="1133"/>
      <c r="M6" s="1134"/>
      <c r="N6" s="1134"/>
      <c r="O6" s="1134"/>
      <c r="P6" s="3189"/>
      <c r="Q6" s="3190"/>
      <c r="R6" s="3170"/>
      <c r="S6" s="3171"/>
      <c r="T6" s="3191"/>
      <c r="U6" s="3192"/>
      <c r="V6" s="3193"/>
      <c r="W6" s="3193"/>
      <c r="X6" s="1816"/>
      <c r="Y6" s="3191"/>
      <c r="Z6" s="3192"/>
      <c r="AA6" s="3165"/>
      <c r="AB6" s="3165"/>
      <c r="AC6" s="3165"/>
    </row>
    <row r="7" spans="1:29" s="117" customFormat="1" ht="15" thickBot="1">
      <c r="A7" s="408" t="s">
        <v>2551</v>
      </c>
      <c r="B7" s="409"/>
      <c r="C7" s="410">
        <f>'数据-取费表'!B2</f>
        <v>0</v>
      </c>
      <c r="D7" s="411">
        <v>100</v>
      </c>
      <c r="E7" s="412"/>
      <c r="F7" s="413">
        <f>SUMIF(48:48,YEAR(E7)&amp;"-"&amp;MONTH(E7),49:49)</f>
        <v>100</v>
      </c>
      <c r="G7" s="412"/>
      <c r="H7" s="411">
        <f>SUMIF(48:48,YEAR(G7)&amp;"-"&amp;MONTH(G7),49:49)</f>
        <v>100</v>
      </c>
      <c r="I7" s="412"/>
      <c r="J7" s="411">
        <f>SUMIF(48:48,YEAR(I7)&amp;"-"&amp;MONTH(I7),49:49)</f>
        <v>100</v>
      </c>
      <c r="K7" s="611"/>
      <c r="L7" s="1135"/>
      <c r="M7" s="1136"/>
      <c r="N7" s="1136"/>
      <c r="O7" s="1136"/>
      <c r="P7" s="3166" t="s">
        <v>2552</v>
      </c>
      <c r="Q7" s="3194"/>
      <c r="R7" s="770" t="s">
        <v>17</v>
      </c>
      <c r="S7" s="771">
        <f t="shared" ref="S7:S14" si="0">F7</f>
        <v>100</v>
      </c>
      <c r="T7" s="770" t="s">
        <v>17</v>
      </c>
      <c r="U7" s="771">
        <f t="shared" ref="U7:U14" si="1">H7</f>
        <v>100</v>
      </c>
      <c r="V7" s="770" t="s">
        <v>17</v>
      </c>
      <c r="W7" s="771">
        <f t="shared" ref="W7:W14" si="2">J7</f>
        <v>100</v>
      </c>
      <c r="X7" s="772"/>
      <c r="Y7" s="3166" t="s">
        <v>2552</v>
      </c>
      <c r="Z7" s="3167"/>
      <c r="AA7" s="773">
        <f>D7/F7</f>
        <v>1</v>
      </c>
      <c r="AB7" s="773">
        <f>D7/H7</f>
        <v>1</v>
      </c>
      <c r="AC7" s="773">
        <f>D7/J7</f>
        <v>1</v>
      </c>
    </row>
    <row r="8" spans="1:29" s="117" customFormat="1" ht="1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36" si="3">D8/F8</f>
        <v>#DIV/0!</v>
      </c>
      <c r="AB8" s="773" t="e">
        <f t="shared" ref="AB8:AB36" si="4">D8/H8</f>
        <v>#DIV/0!</v>
      </c>
      <c r="AC8" s="773" t="e">
        <f t="shared" ref="AC8:AC36" si="5">D8/J8</f>
        <v>#DIV/0!</v>
      </c>
    </row>
    <row r="9" spans="1:29" s="117" customFormat="1" ht="14.4">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8" t="s">
        <v>2558</v>
      </c>
      <c r="Q9" s="1798" t="str">
        <f t="shared" ref="Q9:Q14" si="6">B9</f>
        <v>用途</v>
      </c>
      <c r="R9" s="770" t="s">
        <v>17</v>
      </c>
      <c r="S9" s="771">
        <f t="shared" si="0"/>
        <v>100</v>
      </c>
      <c r="T9" s="770" t="s">
        <v>17</v>
      </c>
      <c r="U9" s="771">
        <f t="shared" si="1"/>
        <v>100</v>
      </c>
      <c r="V9" s="770" t="s">
        <v>17</v>
      </c>
      <c r="W9" s="771">
        <f t="shared" si="2"/>
        <v>100</v>
      </c>
      <c r="X9" s="772"/>
      <c r="Y9" s="3013" t="s">
        <v>2559</v>
      </c>
      <c r="Z9" s="55" t="str">
        <f t="shared" ref="Z9:Z14" si="7">Q9</f>
        <v>用途</v>
      </c>
      <c r="AA9" s="773">
        <f t="shared" si="3"/>
        <v>1</v>
      </c>
      <c r="AB9" s="773">
        <f t="shared" si="4"/>
        <v>1</v>
      </c>
      <c r="AC9" s="773">
        <f t="shared" si="5"/>
        <v>1</v>
      </c>
    </row>
    <row r="10" spans="1:29" s="427" customFormat="1" ht="28.8">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6.6">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0" t="s">
        <v>2563</v>
      </c>
      <c r="Q14" s="1813" t="str">
        <f t="shared" si="6"/>
        <v>交通便捷度</v>
      </c>
      <c r="R14" s="774" t="s">
        <v>17</v>
      </c>
      <c r="S14" s="775">
        <f t="shared" si="0"/>
        <v>100</v>
      </c>
      <c r="T14" s="774" t="s">
        <v>17</v>
      </c>
      <c r="U14" s="775">
        <f t="shared" si="1"/>
        <v>100</v>
      </c>
      <c r="V14" s="774" t="s">
        <v>17</v>
      </c>
      <c r="W14" s="775">
        <f t="shared" si="2"/>
        <v>100</v>
      </c>
      <c r="X14" s="1816"/>
      <c r="Y14" s="3200"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1"/>
      <c r="Q15" s="1813"/>
      <c r="R15" s="774"/>
      <c r="S15" s="775"/>
      <c r="T15" s="774"/>
      <c r="U15" s="775"/>
      <c r="V15" s="774"/>
      <c r="W15" s="775"/>
      <c r="X15" s="1816"/>
      <c r="Y15" s="3201"/>
      <c r="Z15" s="1817"/>
      <c r="AA15" s="1814">
        <v>1</v>
      </c>
      <c r="AB15" s="1814">
        <v>1</v>
      </c>
      <c r="AC15" s="1814">
        <v>1</v>
      </c>
    </row>
    <row r="16" spans="1:29" ht="41.4">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1"/>
      <c r="Q17" s="1813"/>
      <c r="R17" s="774"/>
      <c r="S17" s="775"/>
      <c r="T17" s="774"/>
      <c r="U17" s="775"/>
      <c r="V17" s="774"/>
      <c r="W17" s="775"/>
      <c r="X17" s="1816"/>
      <c r="Y17" s="3201"/>
      <c r="Z17" s="1817"/>
      <c r="AA17" s="1814">
        <v>1</v>
      </c>
      <c r="AB17" s="1814">
        <v>1</v>
      </c>
      <c r="AC17" s="1814">
        <v>1</v>
      </c>
    </row>
    <row r="18" spans="1:29" ht="41.4">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1"/>
      <c r="Q19" s="1813"/>
      <c r="R19" s="774"/>
      <c r="S19" s="775"/>
      <c r="T19" s="774"/>
      <c r="U19" s="775"/>
      <c r="V19" s="774"/>
      <c r="W19" s="775"/>
      <c r="X19" s="1816"/>
      <c r="Y19" s="3201"/>
      <c r="Z19" s="1817"/>
      <c r="AA19" s="1814">
        <v>1</v>
      </c>
      <c r="AB19" s="1814">
        <v>1</v>
      </c>
      <c r="AC19" s="1814">
        <v>1</v>
      </c>
    </row>
    <row r="20" spans="1:29" ht="55.2">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1"/>
      <c r="Q21" s="1813"/>
      <c r="R21" s="774"/>
      <c r="S21" s="775"/>
      <c r="T21" s="774"/>
      <c r="U21" s="775"/>
      <c r="V21" s="774"/>
      <c r="W21" s="775"/>
      <c r="X21" s="1816"/>
      <c r="Y21" s="3201"/>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1"/>
      <c r="Q24" s="1813">
        <f t="shared" ref="Q24:Q36" si="11">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1"/>
      <c r="Q25" s="1798">
        <f t="shared" si="11"/>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30">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5"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5"/>
      <c r="Q28" s="1813" t="str">
        <f t="shared" si="11"/>
        <v>公共部分装修</v>
      </c>
      <c r="R28" s="774" t="s">
        <v>17</v>
      </c>
      <c r="S28" s="775">
        <f t="shared" si="12"/>
        <v>100</v>
      </c>
      <c r="T28" s="774" t="s">
        <v>17</v>
      </c>
      <c r="U28" s="775">
        <f t="shared" si="13"/>
        <v>100</v>
      </c>
      <c r="V28" s="774" t="s">
        <v>17</v>
      </c>
      <c r="W28" s="775">
        <f t="shared" si="14"/>
        <v>100</v>
      </c>
      <c r="X28" s="1816"/>
      <c r="Y28" s="3205"/>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5"/>
      <c r="Q29" s="1813" t="str">
        <f t="shared" si="11"/>
        <v>成新率</v>
      </c>
      <c r="R29" s="774" t="s">
        <v>17</v>
      </c>
      <c r="S29" s="775" t="e">
        <f t="shared" si="12"/>
        <v>#N/A</v>
      </c>
      <c r="T29" s="774" t="s">
        <v>17</v>
      </c>
      <c r="U29" s="775" t="e">
        <f t="shared" si="13"/>
        <v>#N/A</v>
      </c>
      <c r="V29" s="774" t="s">
        <v>17</v>
      </c>
      <c r="W29" s="775" t="e">
        <f t="shared" si="14"/>
        <v>#N/A</v>
      </c>
      <c r="X29" s="1816"/>
      <c r="Y29" s="3205"/>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5"/>
      <c r="Q30" s="1813" t="str">
        <f t="shared" si="11"/>
        <v>物业等级</v>
      </c>
      <c r="R30" s="774" t="s">
        <v>17</v>
      </c>
      <c r="S30" s="775">
        <f t="shared" si="12"/>
        <v>100</v>
      </c>
      <c r="T30" s="774" t="s">
        <v>17</v>
      </c>
      <c r="U30" s="775">
        <f t="shared" si="13"/>
        <v>100</v>
      </c>
      <c r="V30" s="774" t="s">
        <v>17</v>
      </c>
      <c r="W30" s="775">
        <f t="shared" si="14"/>
        <v>100</v>
      </c>
      <c r="X30" s="1816"/>
      <c r="Y30" s="3205"/>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5"/>
      <c r="Q31" s="1798"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5" t="s">
        <v>2568</v>
      </c>
      <c r="Q32" s="1813" t="str">
        <f t="shared" si="11"/>
        <v>车位类型</v>
      </c>
      <c r="R32" s="774" t="s">
        <v>17</v>
      </c>
      <c r="S32" s="775">
        <f t="shared" si="12"/>
        <v>100</v>
      </c>
      <c r="T32" s="774" t="s">
        <v>17</v>
      </c>
      <c r="U32" s="775">
        <f t="shared" si="13"/>
        <v>100</v>
      </c>
      <c r="V32" s="774" t="s">
        <v>17</v>
      </c>
      <c r="W32" s="775">
        <f t="shared" si="14"/>
        <v>100</v>
      </c>
      <c r="X32" s="1816"/>
      <c r="Y32" s="3205"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5"/>
      <c r="Q33" s="1813" t="str">
        <f t="shared" si="11"/>
        <v>是否直接入户</v>
      </c>
      <c r="R33" s="774" t="s">
        <v>17</v>
      </c>
      <c r="S33" s="775">
        <f t="shared" si="12"/>
        <v>100</v>
      </c>
      <c r="T33" s="774" t="s">
        <v>17</v>
      </c>
      <c r="U33" s="775">
        <f t="shared" si="13"/>
        <v>100</v>
      </c>
      <c r="V33" s="774" t="s">
        <v>17</v>
      </c>
      <c r="W33" s="775">
        <f t="shared" si="14"/>
        <v>100</v>
      </c>
      <c r="X33" s="1816"/>
      <c r="Y33" s="320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5"/>
      <c r="Q36" s="1813">
        <f t="shared" si="11"/>
        <v>111</v>
      </c>
      <c r="R36" s="774" t="s">
        <v>17</v>
      </c>
      <c r="S36" s="775">
        <f t="shared" si="12"/>
        <v>100</v>
      </c>
      <c r="T36" s="774" t="s">
        <v>17</v>
      </c>
      <c r="U36" s="775">
        <f t="shared" si="13"/>
        <v>100</v>
      </c>
      <c r="V36" s="774" t="s">
        <v>17</v>
      </c>
      <c r="W36" s="775">
        <f t="shared" si="14"/>
        <v>100</v>
      </c>
      <c r="X36" s="1816"/>
      <c r="Y36" s="3205"/>
      <c r="Z36" s="1817">
        <f t="shared" si="15"/>
        <v>111</v>
      </c>
      <c r="AA36" s="1814">
        <f t="shared" si="3"/>
        <v>1</v>
      </c>
      <c r="AB36" s="1814">
        <f t="shared" si="4"/>
        <v>1</v>
      </c>
      <c r="AC36" s="1814">
        <f t="shared" si="5"/>
        <v>1</v>
      </c>
    </row>
    <row r="37" spans="1:29" ht="14.4">
      <c r="A37" s="479" t="s">
        <v>2723</v>
      </c>
      <c r="B37" s="2702" t="s">
        <v>2724</v>
      </c>
      <c r="C37" s="1410" t="s">
        <v>1</v>
      </c>
      <c r="D37" s="1411"/>
      <c r="E37" s="1412"/>
      <c r="F37" s="1413"/>
      <c r="G37" s="1414"/>
      <c r="H37" s="1415"/>
      <c r="I37" s="1412"/>
      <c r="J37" s="1415"/>
      <c r="K37" s="619"/>
      <c r="L37" s="1146"/>
      <c r="M37" s="1147"/>
      <c r="N37" s="1134"/>
      <c r="O37" s="1147"/>
      <c r="P37" s="3198" t="str">
        <f>A37</f>
        <v>成交单价</v>
      </c>
      <c r="Q37" s="3198"/>
      <c r="R37" s="3199">
        <f>E37</f>
        <v>0</v>
      </c>
      <c r="S37" s="3199"/>
      <c r="T37" s="3199">
        <f>G37</f>
        <v>0</v>
      </c>
      <c r="U37" s="3199"/>
      <c r="V37" s="3199">
        <f>I37</f>
        <v>0</v>
      </c>
      <c r="W37" s="3199"/>
      <c r="X37" s="759"/>
      <c r="Y37" s="781"/>
      <c r="Z37" s="759"/>
      <c r="AA37" s="759"/>
      <c r="AB37" s="759"/>
      <c r="AC37" s="759"/>
    </row>
    <row r="38" spans="1:29" ht="1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 thickBot="1">
      <c r="A39" s="492" t="s">
        <v>2726</v>
      </c>
      <c r="B39" s="493"/>
      <c r="C39" s="1420" t="e">
        <f>R39</f>
        <v>#DIV/0!</v>
      </c>
      <c r="D39" s="1420"/>
      <c r="E39" s="1420"/>
      <c r="F39" s="1420"/>
      <c r="G39" s="1420"/>
      <c r="H39" s="1420"/>
      <c r="I39" s="1420"/>
      <c r="J39" s="1420"/>
      <c r="K39" s="621"/>
      <c r="L39" s="1146"/>
      <c r="M39" s="1147"/>
      <c r="N39" s="1147"/>
      <c r="O39" s="1147"/>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2731</v>
      </c>
      <c r="B48" s="506"/>
      <c r="C48" s="1577" t="str">
        <f>YEAR(C7)&amp;"-"&amp;MONTH(C7)</f>
        <v>1900-1</v>
      </c>
      <c r="D48" s="1578" t="e">
        <f>EDATE(C48,-1)</f>
        <v>#NUM!</v>
      </c>
      <c r="E48" s="1578" t="e">
        <f t="shared" ref="E48:O48" si="16">EDATE(D48,-1)</f>
        <v>#NUM!</v>
      </c>
      <c r="F48" s="1578" t="e">
        <f t="shared" si="16"/>
        <v>#NUM!</v>
      </c>
      <c r="G48" s="1578" t="e">
        <f t="shared" si="16"/>
        <v>#NUM!</v>
      </c>
      <c r="H48" s="1578" t="e">
        <f t="shared" si="16"/>
        <v>#NUM!</v>
      </c>
      <c r="I48" s="1578" t="e">
        <f t="shared" si="16"/>
        <v>#NUM!</v>
      </c>
      <c r="J48" s="1578" t="e">
        <f t="shared" si="16"/>
        <v>#NUM!</v>
      </c>
      <c r="K48" s="1578" t="e">
        <f t="shared" si="16"/>
        <v>#NUM!</v>
      </c>
      <c r="L48" s="1578" t="e">
        <f t="shared" si="16"/>
        <v>#NUM!</v>
      </c>
      <c r="M48" s="1578" t="e">
        <f t="shared" si="16"/>
        <v>#NUM!</v>
      </c>
      <c r="N48" s="1578" t="e">
        <f t="shared" si="16"/>
        <v>#NUM!</v>
      </c>
      <c r="O48" s="1578" t="e">
        <f t="shared" si="16"/>
        <v>#NUM!</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64" t="s">
        <v>2651</v>
      </c>
      <c r="AC4" s="3163" t="s">
        <v>2652</v>
      </c>
    </row>
    <row r="5" spans="1:29">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64"/>
      <c r="AC5" s="3164"/>
    </row>
    <row r="6" spans="1:29" ht="15" thickBot="1">
      <c r="A6" s="406"/>
      <c r="B6" s="407"/>
      <c r="C6" s="3176" t="s">
        <v>2549</v>
      </c>
      <c r="D6" s="3177"/>
      <c r="E6" s="3178" t="s">
        <v>2549</v>
      </c>
      <c r="F6" s="3179"/>
      <c r="G6" s="3176" t="s">
        <v>2549</v>
      </c>
      <c r="H6" s="3177"/>
      <c r="I6" s="3176" t="s">
        <v>2549</v>
      </c>
      <c r="J6" s="3177"/>
      <c r="K6" s="610" t="s">
        <v>2550</v>
      </c>
      <c r="L6" s="1133"/>
      <c r="M6" s="1134"/>
      <c r="N6" s="1134"/>
      <c r="O6" s="1134"/>
      <c r="P6" s="3189"/>
      <c r="Q6" s="3190"/>
      <c r="R6" s="3170"/>
      <c r="S6" s="3171"/>
      <c r="T6" s="3191"/>
      <c r="U6" s="3192"/>
      <c r="V6" s="3193"/>
      <c r="W6" s="3193"/>
      <c r="X6" s="1816"/>
      <c r="Y6" s="3191"/>
      <c r="Z6" s="3192"/>
      <c r="AA6" s="3165"/>
      <c r="AB6" s="3165"/>
      <c r="AC6" s="3165"/>
    </row>
    <row r="7" spans="1:29" s="117" customFormat="1" ht="15" thickBot="1">
      <c r="A7" s="408" t="s">
        <v>2551</v>
      </c>
      <c r="B7" s="409"/>
      <c r="C7" s="410">
        <f>'数据-取费表'!B2</f>
        <v>0</v>
      </c>
      <c r="D7" s="411">
        <v>100</v>
      </c>
      <c r="E7" s="412"/>
      <c r="F7" s="413">
        <f>SUMIF(46:46,YEAR(E7)&amp;"-"&amp;MONTH(E7),47:47)</f>
        <v>100</v>
      </c>
      <c r="G7" s="2703"/>
      <c r="H7" s="411">
        <f>SUMIF(46:46,YEAR(G7)&amp;"-"&amp;MONTH(G7),47:47)</f>
        <v>100</v>
      </c>
      <c r="I7" s="412"/>
      <c r="J7" s="411">
        <f>SUMIF(46:46,YEAR(I7)&amp;"-"&amp;MONTH(I7),47:47)</f>
        <v>100</v>
      </c>
      <c r="K7" s="611"/>
      <c r="L7" s="1135"/>
      <c r="M7" s="1136"/>
      <c r="N7" s="1136"/>
      <c r="O7" s="1136"/>
      <c r="P7" s="3166" t="s">
        <v>2552</v>
      </c>
      <c r="Q7" s="3194"/>
      <c r="R7" s="770" t="s">
        <v>17</v>
      </c>
      <c r="S7" s="771">
        <f t="shared" ref="S7:S14" si="0">F7</f>
        <v>100</v>
      </c>
      <c r="T7" s="770" t="s">
        <v>17</v>
      </c>
      <c r="U7" s="771">
        <f t="shared" ref="U7:U14" si="1">H7</f>
        <v>100</v>
      </c>
      <c r="V7" s="770" t="s">
        <v>17</v>
      </c>
      <c r="W7" s="771">
        <f t="shared" ref="W7:W14" si="2">J7</f>
        <v>100</v>
      </c>
      <c r="X7" s="772"/>
      <c r="Y7" s="3166" t="s">
        <v>2552</v>
      </c>
      <c r="Z7" s="3167"/>
      <c r="AA7" s="773">
        <f>D7/F7</f>
        <v>1</v>
      </c>
      <c r="AB7" s="773">
        <f>D7/H7</f>
        <v>1</v>
      </c>
      <c r="AC7" s="773">
        <f>D7/J7</f>
        <v>1</v>
      </c>
    </row>
    <row r="8" spans="1:29" s="117" customFormat="1" ht="1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34" si="3">D8/F8</f>
        <v>#DIV/0!</v>
      </c>
      <c r="AB8" s="773" t="e">
        <f t="shared" ref="AB8:AB34" si="4">D8/H8</f>
        <v>#DIV/0!</v>
      </c>
      <c r="AC8" s="773" t="e">
        <f t="shared" ref="AC8:AC34" si="5">D8/J8</f>
        <v>#DIV/0!</v>
      </c>
    </row>
    <row r="9" spans="1:29" s="117" customFormat="1" ht="14.4">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2558</v>
      </c>
      <c r="Q9" s="1798" t="str">
        <f t="shared" ref="Q9:Q14" si="6">B9</f>
        <v>用途</v>
      </c>
      <c r="R9" s="770" t="s">
        <v>17</v>
      </c>
      <c r="S9" s="771">
        <f t="shared" si="0"/>
        <v>100</v>
      </c>
      <c r="T9" s="770" t="s">
        <v>17</v>
      </c>
      <c r="U9" s="771">
        <f t="shared" si="1"/>
        <v>100</v>
      </c>
      <c r="V9" s="770" t="s">
        <v>17</v>
      </c>
      <c r="W9" s="771">
        <f t="shared" si="2"/>
        <v>100</v>
      </c>
      <c r="X9" s="772"/>
      <c r="Y9" s="3013" t="s">
        <v>2559</v>
      </c>
      <c r="Z9" s="55" t="str">
        <f t="shared" ref="Z9:Z14" si="7">Q9</f>
        <v>用途</v>
      </c>
      <c r="AA9" s="773">
        <f t="shared" si="3"/>
        <v>1</v>
      </c>
      <c r="AB9" s="773">
        <f t="shared" si="4"/>
        <v>1</v>
      </c>
      <c r="AC9" s="773">
        <f t="shared" si="5"/>
        <v>1</v>
      </c>
    </row>
    <row r="10" spans="1:29" s="427" customFormat="1" ht="28.8">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6"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96.6">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0" t="s">
        <v>2563</v>
      </c>
      <c r="Q14" s="1813" t="str">
        <f t="shared" si="6"/>
        <v>交通便捷度</v>
      </c>
      <c r="R14" s="774" t="s">
        <v>17</v>
      </c>
      <c r="S14" s="775">
        <f t="shared" si="0"/>
        <v>100</v>
      </c>
      <c r="T14" s="774" t="s">
        <v>17</v>
      </c>
      <c r="U14" s="775">
        <f t="shared" si="1"/>
        <v>100</v>
      </c>
      <c r="V14" s="774" t="s">
        <v>17</v>
      </c>
      <c r="W14" s="775">
        <f t="shared" si="2"/>
        <v>100</v>
      </c>
      <c r="X14" s="1816"/>
      <c r="Y14" s="3200"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1"/>
      <c r="Q15" s="1813"/>
      <c r="R15" s="774"/>
      <c r="S15" s="775"/>
      <c r="T15" s="774"/>
      <c r="U15" s="775"/>
      <c r="V15" s="774"/>
      <c r="W15" s="775"/>
      <c r="X15" s="1816"/>
      <c r="Y15" s="3201"/>
      <c r="Z15" s="1817"/>
      <c r="AA15" s="1814">
        <v>1</v>
      </c>
      <c r="AB15" s="1814">
        <v>1</v>
      </c>
      <c r="AC15" s="1814">
        <v>1</v>
      </c>
    </row>
    <row r="16" spans="1:29" ht="41.4">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1"/>
      <c r="Q16" s="1813" t="str">
        <f>B16</f>
        <v>公共配套设施</v>
      </c>
      <c r="R16" s="774" t="s">
        <v>17</v>
      </c>
      <c r="S16" s="775">
        <f>F16</f>
        <v>100</v>
      </c>
      <c r="T16" s="774" t="s">
        <v>17</v>
      </c>
      <c r="U16" s="775">
        <f>H16</f>
        <v>100</v>
      </c>
      <c r="V16" s="774" t="s">
        <v>17</v>
      </c>
      <c r="W16" s="775">
        <f>J16</f>
        <v>100</v>
      </c>
      <c r="X16" s="1816"/>
      <c r="Y16" s="3201"/>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1"/>
      <c r="Q17" s="1813"/>
      <c r="R17" s="774"/>
      <c r="S17" s="775"/>
      <c r="T17" s="774"/>
      <c r="U17" s="775"/>
      <c r="V17" s="774"/>
      <c r="W17" s="775"/>
      <c r="X17" s="1816"/>
      <c r="Y17" s="3201"/>
      <c r="Z17" s="1817"/>
      <c r="AA17" s="1814">
        <v>1</v>
      </c>
      <c r="AB17" s="1814">
        <v>1</v>
      </c>
      <c r="AC17" s="1814">
        <v>1</v>
      </c>
    </row>
    <row r="18" spans="1:29" ht="41.4">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1"/>
      <c r="Q18" s="1813" t="str">
        <f>B18</f>
        <v>基础设施水平</v>
      </c>
      <c r="R18" s="774" t="s">
        <v>17</v>
      </c>
      <c r="S18" s="775">
        <f>F18</f>
        <v>100</v>
      </c>
      <c r="T18" s="774" t="s">
        <v>17</v>
      </c>
      <c r="U18" s="775">
        <f>H18</f>
        <v>100</v>
      </c>
      <c r="V18" s="774" t="s">
        <v>17</v>
      </c>
      <c r="W18" s="775">
        <f>J18</f>
        <v>100</v>
      </c>
      <c r="X18" s="1816"/>
      <c r="Y18" s="3201"/>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1"/>
      <c r="Q19" s="1813"/>
      <c r="R19" s="774"/>
      <c r="S19" s="775"/>
      <c r="T19" s="774"/>
      <c r="U19" s="775"/>
      <c r="V19" s="774"/>
      <c r="W19" s="775"/>
      <c r="X19" s="1816"/>
      <c r="Y19" s="3201"/>
      <c r="Z19" s="1817"/>
      <c r="AA19" s="1814">
        <v>1</v>
      </c>
      <c r="AB19" s="1814">
        <v>1</v>
      </c>
      <c r="AC19" s="1814">
        <v>1</v>
      </c>
    </row>
    <row r="20" spans="1:29" ht="55.2">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1"/>
      <c r="Q20" s="1813" t="str">
        <f>B20</f>
        <v>自然及人文环境</v>
      </c>
      <c r="R20" s="774" t="s">
        <v>17</v>
      </c>
      <c r="S20" s="775">
        <f>F20</f>
        <v>100</v>
      </c>
      <c r="T20" s="774" t="s">
        <v>17</v>
      </c>
      <c r="U20" s="775">
        <f>H20</f>
        <v>100</v>
      </c>
      <c r="V20" s="774" t="s">
        <v>17</v>
      </c>
      <c r="W20" s="775">
        <f>J20</f>
        <v>100</v>
      </c>
      <c r="X20" s="1816"/>
      <c r="Y20" s="320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1"/>
      <c r="Q21" s="1813"/>
      <c r="R21" s="774"/>
      <c r="S21" s="775"/>
      <c r="T21" s="774"/>
      <c r="U21" s="775"/>
      <c r="V21" s="774"/>
      <c r="W21" s="775"/>
      <c r="X21" s="1816"/>
      <c r="Y21" s="3201"/>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1"/>
      <c r="Q22" s="1813" t="str">
        <f>B22</f>
        <v>楼层</v>
      </c>
      <c r="R22" s="774" t="s">
        <v>17</v>
      </c>
      <c r="S22" s="775">
        <f>F22</f>
        <v>100</v>
      </c>
      <c r="T22" s="774" t="s">
        <v>17</v>
      </c>
      <c r="U22" s="775">
        <f>H22</f>
        <v>100</v>
      </c>
      <c r="V22" s="774" t="s">
        <v>17</v>
      </c>
      <c r="W22" s="775">
        <f>J22</f>
        <v>100</v>
      </c>
      <c r="X22" s="1816"/>
      <c r="Y22" s="3201"/>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1"/>
      <c r="Q23" s="1813">
        <f>B23</f>
        <v>111</v>
      </c>
      <c r="R23" s="774" t="s">
        <v>17</v>
      </c>
      <c r="S23" s="775">
        <f>F23</f>
        <v>100</v>
      </c>
      <c r="T23" s="774" t="s">
        <v>17</v>
      </c>
      <c r="U23" s="775">
        <f>H23</f>
        <v>100</v>
      </c>
      <c r="V23" s="774" t="s">
        <v>17</v>
      </c>
      <c r="W23" s="775">
        <f>J23</f>
        <v>100</v>
      </c>
      <c r="X23" s="1816"/>
      <c r="Y23" s="3201"/>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1"/>
      <c r="Q24" s="1813">
        <f t="shared" ref="Q24:Q34" si="11">B24</f>
        <v>111</v>
      </c>
      <c r="R24" s="774" t="s">
        <v>17</v>
      </c>
      <c r="S24" s="775">
        <f>F24</f>
        <v>100</v>
      </c>
      <c r="T24" s="774" t="s">
        <v>17</v>
      </c>
      <c r="U24" s="775">
        <f>H24</f>
        <v>100</v>
      </c>
      <c r="V24" s="774" t="s">
        <v>17</v>
      </c>
      <c r="W24" s="775">
        <f>J24</f>
        <v>100</v>
      </c>
      <c r="X24" s="1816"/>
      <c r="Y24" s="3201"/>
      <c r="Z24" s="1817">
        <f>Q24</f>
        <v>111</v>
      </c>
      <c r="AA24" s="1814">
        <f t="shared" si="3"/>
        <v>1</v>
      </c>
      <c r="AB24" s="1814">
        <f t="shared" si="4"/>
        <v>1</v>
      </c>
      <c r="AC24" s="1814">
        <f t="shared" si="5"/>
        <v>1</v>
      </c>
    </row>
    <row r="25" spans="1:29" s="117" customFormat="1" ht="15.6"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1"/>
      <c r="Q25" s="1798">
        <f t="shared" si="11"/>
        <v>111</v>
      </c>
      <c r="R25" s="770" t="s">
        <v>17</v>
      </c>
      <c r="S25" s="771">
        <f>F25</f>
        <v>100</v>
      </c>
      <c r="T25" s="770" t="s">
        <v>17</v>
      </c>
      <c r="U25" s="771">
        <f>H25</f>
        <v>100</v>
      </c>
      <c r="V25" s="770" t="s">
        <v>17</v>
      </c>
      <c r="W25" s="771">
        <f>J25</f>
        <v>100</v>
      </c>
      <c r="X25" s="772"/>
      <c r="Y25" s="3201"/>
      <c r="Z25" s="55">
        <f>Q25</f>
        <v>111</v>
      </c>
      <c r="AA25" s="1814">
        <f>D25/F25</f>
        <v>1</v>
      </c>
      <c r="AB25" s="1814">
        <f>D25/H25</f>
        <v>1</v>
      </c>
      <c r="AC25" s="1814">
        <f>D25/J25</f>
        <v>1</v>
      </c>
    </row>
    <row r="26" spans="1:29" ht="30">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4"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5"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5"/>
      <c r="Q28" s="1813" t="str">
        <f t="shared" si="11"/>
        <v>物业等级</v>
      </c>
      <c r="R28" s="774" t="s">
        <v>17</v>
      </c>
      <c r="S28" s="775">
        <f t="shared" si="12"/>
        <v>100</v>
      </c>
      <c r="T28" s="774" t="s">
        <v>17</v>
      </c>
      <c r="U28" s="775">
        <f t="shared" si="13"/>
        <v>100</v>
      </c>
      <c r="V28" s="774" t="s">
        <v>17</v>
      </c>
      <c r="W28" s="775">
        <f t="shared" si="14"/>
        <v>100</v>
      </c>
      <c r="X28" s="1816"/>
      <c r="Y28" s="3205"/>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5"/>
      <c r="Q29" s="1813" t="str">
        <f t="shared" si="11"/>
        <v>有无电梯</v>
      </c>
      <c r="R29" s="774" t="s">
        <v>17</v>
      </c>
      <c r="S29" s="775">
        <f t="shared" si="12"/>
        <v>100</v>
      </c>
      <c r="T29" s="774" t="s">
        <v>17</v>
      </c>
      <c r="U29" s="775">
        <f t="shared" si="13"/>
        <v>100</v>
      </c>
      <c r="V29" s="774" t="s">
        <v>17</v>
      </c>
      <c r="W29" s="775">
        <f t="shared" si="14"/>
        <v>100</v>
      </c>
      <c r="X29" s="1816"/>
      <c r="Y29" s="3205"/>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5"/>
      <c r="Q30" s="1813" t="str">
        <f t="shared" si="11"/>
        <v>建筑面积</v>
      </c>
      <c r="R30" s="774" t="s">
        <v>17</v>
      </c>
      <c r="S30" s="775" t="e">
        <f t="shared" si="12"/>
        <v>#N/A</v>
      </c>
      <c r="T30" s="774" t="s">
        <v>17</v>
      </c>
      <c r="U30" s="775" t="e">
        <f t="shared" si="13"/>
        <v>#N/A</v>
      </c>
      <c r="V30" s="774" t="s">
        <v>17</v>
      </c>
      <c r="W30" s="775" t="e">
        <f t="shared" si="14"/>
        <v>#N/A</v>
      </c>
      <c r="X30" s="1816"/>
      <c r="Y30" s="3205"/>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5"/>
      <c r="Q31" s="1798"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5" t="s">
        <v>2568</v>
      </c>
      <c r="Q32" s="1813">
        <f t="shared" si="11"/>
        <v>111</v>
      </c>
      <c r="R32" s="774" t="s">
        <v>17</v>
      </c>
      <c r="S32" s="775">
        <f t="shared" si="12"/>
        <v>100</v>
      </c>
      <c r="T32" s="774" t="s">
        <v>17</v>
      </c>
      <c r="U32" s="775">
        <f t="shared" si="13"/>
        <v>100</v>
      </c>
      <c r="V32" s="774" t="s">
        <v>17</v>
      </c>
      <c r="W32" s="775">
        <f t="shared" si="14"/>
        <v>100</v>
      </c>
      <c r="X32" s="1816"/>
      <c r="Y32" s="3205"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5"/>
      <c r="Q33" s="1813">
        <f t="shared" si="11"/>
        <v>111</v>
      </c>
      <c r="R33" s="774" t="s">
        <v>17</v>
      </c>
      <c r="S33" s="775">
        <f t="shared" si="12"/>
        <v>100</v>
      </c>
      <c r="T33" s="774" t="s">
        <v>17</v>
      </c>
      <c r="U33" s="775">
        <f t="shared" si="13"/>
        <v>100</v>
      </c>
      <c r="V33" s="774" t="s">
        <v>17</v>
      </c>
      <c r="W33" s="775">
        <f t="shared" si="14"/>
        <v>100</v>
      </c>
      <c r="X33" s="1816"/>
      <c r="Y33" s="3205"/>
      <c r="Z33" s="1817">
        <f t="shared" si="15"/>
        <v>111</v>
      </c>
      <c r="AA33" s="1814">
        <f t="shared" si="3"/>
        <v>1</v>
      </c>
      <c r="AB33" s="1814">
        <f t="shared" si="4"/>
        <v>1</v>
      </c>
      <c r="AC33" s="1814">
        <f t="shared" si="5"/>
        <v>1</v>
      </c>
    </row>
    <row r="34" spans="1:29" ht="15.6"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5"/>
      <c r="Q34" s="1813">
        <f t="shared" si="11"/>
        <v>111</v>
      </c>
      <c r="R34" s="774" t="s">
        <v>17</v>
      </c>
      <c r="S34" s="775">
        <f t="shared" si="12"/>
        <v>100</v>
      </c>
      <c r="T34" s="774" t="s">
        <v>17</v>
      </c>
      <c r="U34" s="775">
        <f t="shared" si="13"/>
        <v>100</v>
      </c>
      <c r="V34" s="774" t="s">
        <v>17</v>
      </c>
      <c r="W34" s="775">
        <f t="shared" si="14"/>
        <v>100</v>
      </c>
      <c r="X34" s="1816"/>
      <c r="Y34" s="3205"/>
      <c r="Z34" s="1817">
        <f t="shared" si="15"/>
        <v>111</v>
      </c>
      <c r="AA34" s="1814">
        <f t="shared" si="3"/>
        <v>1</v>
      </c>
      <c r="AB34" s="1814">
        <f t="shared" si="4"/>
        <v>1</v>
      </c>
      <c r="AC34" s="1814">
        <f t="shared" si="5"/>
        <v>1</v>
      </c>
    </row>
    <row r="35" spans="1:29" ht="14.4">
      <c r="A35" s="479" t="s">
        <v>2580</v>
      </c>
      <c r="B35" s="480"/>
      <c r="C35" s="1410" t="s">
        <v>1</v>
      </c>
      <c r="D35" s="1411"/>
      <c r="E35" s="1412"/>
      <c r="F35" s="1413"/>
      <c r="G35" s="1414"/>
      <c r="H35" s="1415"/>
      <c r="I35" s="1412"/>
      <c r="J35" s="1415"/>
      <c r="K35" s="783"/>
      <c r="L35" s="1146"/>
      <c r="M35" s="1147"/>
      <c r="N35" s="1134"/>
      <c r="O35" s="1147"/>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 thickBot="1">
      <c r="A37" s="492" t="s">
        <v>2673</v>
      </c>
      <c r="B37" s="493"/>
      <c r="C37" s="1420" t="e">
        <f>R37</f>
        <v>#DIV/0!</v>
      </c>
      <c r="D37" s="1420"/>
      <c r="E37" s="1420"/>
      <c r="F37" s="1420"/>
      <c r="G37" s="1420"/>
      <c r="H37" s="1420"/>
      <c r="I37" s="1420"/>
      <c r="J37" s="1420"/>
      <c r="K37" s="785"/>
      <c r="L37" s="1146"/>
      <c r="M37" s="1147"/>
      <c r="N37" s="1147"/>
      <c r="O37" s="1147"/>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2677</v>
      </c>
      <c r="B45" s="759"/>
      <c r="C45" s="764"/>
      <c r="D45" s="764"/>
      <c r="E45" s="764"/>
      <c r="F45" s="765"/>
      <c r="G45" s="765"/>
      <c r="H45" s="764"/>
      <c r="I45" s="764"/>
      <c r="J45" s="764"/>
      <c r="K45" s="766"/>
      <c r="L45" s="767"/>
      <c r="M45" s="764"/>
      <c r="N45" s="764"/>
      <c r="O45" s="764"/>
      <c r="P45" s="503"/>
      <c r="Q45" s="504"/>
    </row>
    <row r="46" spans="1:29" s="508" customFormat="1" ht="14.4">
      <c r="A46" s="505" t="s">
        <v>2551</v>
      </c>
      <c r="B46" s="506"/>
      <c r="C46" s="1577" t="str">
        <f>YEAR(C7)&amp;"-"&amp;MONTH(C7)</f>
        <v>1900-1</v>
      </c>
      <c r="D46" s="1578" t="e">
        <f>EDATE(C46,-1)</f>
        <v>#NUM!</v>
      </c>
      <c r="E46" s="1578" t="e">
        <f t="shared" ref="E46:O46" si="16">EDATE(D46,-1)</f>
        <v>#NUM!</v>
      </c>
      <c r="F46" s="1578" t="e">
        <f t="shared" si="16"/>
        <v>#NUM!</v>
      </c>
      <c r="G46" s="1578" t="e">
        <f t="shared" si="16"/>
        <v>#NUM!</v>
      </c>
      <c r="H46" s="1578" t="e">
        <f t="shared" si="16"/>
        <v>#NUM!</v>
      </c>
      <c r="I46" s="1578" t="e">
        <f t="shared" si="16"/>
        <v>#NUM!</v>
      </c>
      <c r="J46" s="1578" t="e">
        <f t="shared" si="16"/>
        <v>#NUM!</v>
      </c>
      <c r="K46" s="1578" t="e">
        <f t="shared" si="16"/>
        <v>#NUM!</v>
      </c>
      <c r="L46" s="1578" t="e">
        <f t="shared" si="16"/>
        <v>#NUM!</v>
      </c>
      <c r="M46" s="1578" t="e">
        <f t="shared" si="16"/>
        <v>#NUM!</v>
      </c>
      <c r="N46" s="1578" t="e">
        <f t="shared" si="16"/>
        <v>#NUM!</v>
      </c>
      <c r="O46" s="1578" t="e">
        <f t="shared" si="16"/>
        <v>#NUM!</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2588</v>
      </c>
      <c r="B48" s="516"/>
      <c r="C48" s="517"/>
      <c r="D48" s="518"/>
      <c r="E48" s="518"/>
      <c r="F48" s="518"/>
      <c r="G48" s="518"/>
      <c r="H48" s="518"/>
      <c r="I48" s="518"/>
      <c r="J48" s="518"/>
      <c r="K48" s="518"/>
      <c r="L48" s="518"/>
      <c r="M48" s="519"/>
      <c r="N48" s="518"/>
      <c r="O48" s="520"/>
      <c r="P48" s="504"/>
      <c r="Q48" s="504"/>
    </row>
    <row r="49" spans="1:17" s="117" customFormat="1" ht="14.4">
      <c r="A49" s="521" t="s">
        <v>2553</v>
      </c>
      <c r="B49" s="510"/>
      <c r="C49" s="522" t="s">
        <v>2655</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2591</v>
      </c>
      <c r="B51" s="528" t="s">
        <v>2557</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2732</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64" t="s">
        <v>2651</v>
      </c>
      <c r="AC4" s="3163" t="s">
        <v>2652</v>
      </c>
    </row>
    <row r="5" spans="1:30">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64"/>
      <c r="AC5" s="3164"/>
    </row>
    <row r="6" spans="1:30" ht="15" thickBot="1">
      <c r="A6" s="406"/>
      <c r="B6" s="407"/>
      <c r="C6" s="3176" t="s">
        <v>2549</v>
      </c>
      <c r="D6" s="3177"/>
      <c r="E6" s="3178" t="s">
        <v>2549</v>
      </c>
      <c r="F6" s="3179"/>
      <c r="G6" s="3176" t="s">
        <v>2549</v>
      </c>
      <c r="H6" s="3177"/>
      <c r="I6" s="3176" t="s">
        <v>2549</v>
      </c>
      <c r="J6" s="3177"/>
      <c r="K6" s="610" t="s">
        <v>2550</v>
      </c>
      <c r="L6" s="1133"/>
      <c r="M6" s="1134"/>
      <c r="N6" s="1134"/>
      <c r="O6" s="1134"/>
      <c r="P6" s="3189"/>
      <c r="Q6" s="3190"/>
      <c r="R6" s="3170"/>
      <c r="S6" s="3171"/>
      <c r="T6" s="3191"/>
      <c r="U6" s="3192"/>
      <c r="V6" s="3193"/>
      <c r="W6" s="3193"/>
      <c r="X6" s="1816"/>
      <c r="Y6" s="3191"/>
      <c r="Z6" s="3192"/>
      <c r="AA6" s="3165"/>
      <c r="AB6" s="3165"/>
      <c r="AC6" s="3165"/>
    </row>
    <row r="7" spans="1:30" s="117" customFormat="1" ht="15" thickBot="1">
      <c r="A7" s="408" t="s">
        <v>2551</v>
      </c>
      <c r="B7" s="409"/>
      <c r="C7" s="410">
        <f>'数据-取费表'!B2</f>
        <v>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6" t="s">
        <v>2552</v>
      </c>
      <c r="Q7" s="3194"/>
      <c r="R7" s="770" t="s">
        <v>17</v>
      </c>
      <c r="S7" s="771">
        <f t="shared" ref="S7:S15" si="0">F7</f>
        <v>0</v>
      </c>
      <c r="T7" s="770" t="s">
        <v>17</v>
      </c>
      <c r="U7" s="771">
        <f t="shared" ref="U7:U15" si="1">H7</f>
        <v>0</v>
      </c>
      <c r="V7" s="770" t="s">
        <v>17</v>
      </c>
      <c r="W7" s="771">
        <f t="shared" ref="W7:W15" si="2">J7</f>
        <v>0</v>
      </c>
      <c r="X7" s="772"/>
      <c r="Y7" s="3166" t="s">
        <v>2552</v>
      </c>
      <c r="Z7" s="3167"/>
      <c r="AA7" s="773" t="e">
        <f>D7/F7</f>
        <v>#DIV/0!</v>
      </c>
      <c r="AB7" s="773" t="e">
        <f>D7/H7</f>
        <v>#DIV/0!</v>
      </c>
      <c r="AC7" s="773" t="e">
        <f>D7/J7</f>
        <v>#DIV/0!</v>
      </c>
    </row>
    <row r="8" spans="1:30" s="117" customFormat="1" ht="1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45" si="3">D8/F8</f>
        <v>#DIV/0!</v>
      </c>
      <c r="AB8" s="773" t="e">
        <f t="shared" ref="AB8:AB45" si="4">D8/H8</f>
        <v>#DIV/0!</v>
      </c>
      <c r="AC8" s="773" t="e">
        <f t="shared" ref="AC8:AC45" si="5">D8/J8</f>
        <v>#DIV/0!</v>
      </c>
    </row>
    <row r="9" spans="1:30" s="117" customFormat="1" ht="14.4">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8"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773">
        <f t="shared" si="5"/>
        <v>1</v>
      </c>
    </row>
    <row r="10" spans="1:30" s="427" customFormat="1" ht="28.8">
      <c r="A10" s="421"/>
      <c r="B10" s="422" t="s">
        <v>2560</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198"/>
      <c r="Q10" s="1798" t="str">
        <f t="shared" si="6"/>
        <v>土地使用年限（年）</v>
      </c>
      <c r="R10" s="770" t="s">
        <v>17</v>
      </c>
      <c r="S10" s="771" t="e">
        <f t="shared" si="0"/>
        <v>#DIV/0!</v>
      </c>
      <c r="T10" s="770" t="s">
        <v>17</v>
      </c>
      <c r="U10" s="771" t="e">
        <f t="shared" si="1"/>
        <v>#DIV/0!</v>
      </c>
      <c r="V10" s="770" t="s">
        <v>17</v>
      </c>
      <c r="W10" s="771" t="e">
        <f t="shared" si="2"/>
        <v>#DIV/0!</v>
      </c>
      <c r="X10" s="772"/>
      <c r="Y10" s="3013"/>
      <c r="Z10" s="55" t="str">
        <f t="shared" si="7"/>
        <v>土地使用年限（年）</v>
      </c>
      <c r="AA10" s="773" t="e">
        <f t="shared" si="3"/>
        <v>#DIV/0!</v>
      </c>
      <c r="AB10" s="773" t="e">
        <f t="shared" si="4"/>
        <v>#DIV/0!</v>
      </c>
      <c r="AC10" s="773" t="e">
        <f t="shared" si="5"/>
        <v>#DIV/0!</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6"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6.6">
      <c r="A15" s="440" t="s">
        <v>2562</v>
      </c>
      <c r="B15" s="69" t="s">
        <v>2086</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0" t="s">
        <v>2563</v>
      </c>
      <c r="Q15" s="1813" t="str">
        <f t="shared" si="6"/>
        <v>居住社区成熟度</v>
      </c>
      <c r="R15" s="774" t="s">
        <v>17</v>
      </c>
      <c r="S15" s="775">
        <f t="shared" si="0"/>
        <v>100</v>
      </c>
      <c r="T15" s="774" t="s">
        <v>17</v>
      </c>
      <c r="U15" s="775">
        <f t="shared" si="1"/>
        <v>100</v>
      </c>
      <c r="V15" s="774" t="s">
        <v>17</v>
      </c>
      <c r="W15" s="775">
        <f t="shared" si="2"/>
        <v>100</v>
      </c>
      <c r="X15" s="1816"/>
      <c r="Y15" s="3200"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82.8">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1"/>
      <c r="Q17" s="1813" t="str">
        <f>B17</f>
        <v>商业繁华度</v>
      </c>
      <c r="R17" s="774" t="s">
        <v>17</v>
      </c>
      <c r="S17" s="775">
        <f>F17</f>
        <v>100</v>
      </c>
      <c r="T17" s="774" t="s">
        <v>17</v>
      </c>
      <c r="U17" s="775">
        <f>H17</f>
        <v>100</v>
      </c>
      <c r="V17" s="774" t="s">
        <v>17</v>
      </c>
      <c r="W17" s="775">
        <f>J17</f>
        <v>100</v>
      </c>
      <c r="X17" s="1816"/>
      <c r="Y17" s="3201"/>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82.8">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1"/>
      <c r="Q19" s="1813" t="str">
        <f>B19</f>
        <v>办公集聚程度</v>
      </c>
      <c r="R19" s="774" t="s">
        <v>17</v>
      </c>
      <c r="S19" s="775">
        <f>F19</f>
        <v>100</v>
      </c>
      <c r="T19" s="774" t="s">
        <v>17</v>
      </c>
      <c r="U19" s="775">
        <f>H19</f>
        <v>100</v>
      </c>
      <c r="V19" s="774" t="s">
        <v>17</v>
      </c>
      <c r="W19" s="775">
        <f>J19</f>
        <v>100</v>
      </c>
      <c r="X19" s="1816"/>
      <c r="Y19" s="3201"/>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1"/>
      <c r="Q20" s="1813"/>
      <c r="R20" s="774"/>
      <c r="S20" s="775"/>
      <c r="T20" s="774"/>
      <c r="U20" s="775"/>
      <c r="V20" s="774"/>
      <c r="W20" s="775"/>
      <c r="X20" s="1816"/>
      <c r="Y20" s="3201"/>
      <c r="Z20" s="1817"/>
      <c r="AA20" s="1814">
        <v>1</v>
      </c>
      <c r="AB20" s="1814">
        <v>1</v>
      </c>
      <c r="AC20" s="1814">
        <v>1</v>
      </c>
    </row>
    <row r="21" spans="1:29" ht="96.6">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1"/>
      <c r="Q21" s="1813" t="str">
        <f>B21</f>
        <v>交通便捷度</v>
      </c>
      <c r="R21" s="774" t="s">
        <v>17</v>
      </c>
      <c r="S21" s="775">
        <f>F21</f>
        <v>100</v>
      </c>
      <c r="T21" s="774" t="s">
        <v>17</v>
      </c>
      <c r="U21" s="775">
        <f>H21</f>
        <v>100</v>
      </c>
      <c r="V21" s="774" t="s">
        <v>17</v>
      </c>
      <c r="W21" s="775">
        <f>J21</f>
        <v>100</v>
      </c>
      <c r="X21" s="1816"/>
      <c r="Y21" s="3201"/>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ht="28.8">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1"/>
      <c r="Q23" s="1813" t="str">
        <f t="shared" ref="Q23:Q37" si="8">B23</f>
        <v>区域土地利用方向</v>
      </c>
      <c r="R23" s="774" t="s">
        <v>17</v>
      </c>
      <c r="S23" s="775">
        <f>F23</f>
        <v>100</v>
      </c>
      <c r="T23" s="774" t="s">
        <v>17</v>
      </c>
      <c r="U23" s="775">
        <f>H23</f>
        <v>100</v>
      </c>
      <c r="V23" s="774" t="s">
        <v>17</v>
      </c>
      <c r="W23" s="775">
        <f>J23</f>
        <v>100</v>
      </c>
      <c r="X23" s="1816"/>
      <c r="Y23" s="3201"/>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1"/>
      <c r="Q24" s="1813"/>
      <c r="R24" s="774"/>
      <c r="S24" s="775"/>
      <c r="T24" s="774"/>
      <c r="U24" s="775"/>
      <c r="V24" s="774"/>
      <c r="W24" s="775"/>
      <c r="X24" s="1816"/>
      <c r="Y24" s="3201"/>
      <c r="Z24" s="1817"/>
      <c r="AA24" s="1814"/>
      <c r="AB24" s="1814"/>
      <c r="AC24" s="1814"/>
    </row>
    <row r="25" spans="1:29" ht="55.2">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1"/>
      <c r="Q25" s="1813" t="str">
        <f t="shared" si="8"/>
        <v>自然及人文环境状况</v>
      </c>
      <c r="R25" s="774" t="s">
        <v>17</v>
      </c>
      <c r="S25" s="775">
        <f>F25</f>
        <v>100</v>
      </c>
      <c r="T25" s="774" t="s">
        <v>17</v>
      </c>
      <c r="U25" s="775">
        <f>H25</f>
        <v>100</v>
      </c>
      <c r="V25" s="774" t="s">
        <v>17</v>
      </c>
      <c r="W25" s="775">
        <f>J25</f>
        <v>100</v>
      </c>
      <c r="X25" s="1816"/>
      <c r="Y25" s="3201"/>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1"/>
      <c r="Q26" s="1813"/>
      <c r="R26" s="774"/>
      <c r="S26" s="775"/>
      <c r="T26" s="774"/>
      <c r="U26" s="775"/>
      <c r="V26" s="774"/>
      <c r="W26" s="775"/>
      <c r="X26" s="1816"/>
      <c r="Y26" s="3201"/>
      <c r="Z26" s="1817"/>
      <c r="AA26" s="1814">
        <v>1</v>
      </c>
      <c r="AB26" s="1814">
        <v>1</v>
      </c>
      <c r="AC26" s="1814">
        <v>1</v>
      </c>
    </row>
    <row r="27" spans="1:29" s="117" customFormat="1" ht="41.4">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1"/>
      <c r="Q27" s="1798" t="str">
        <f t="shared" si="8"/>
        <v>公共配套设施</v>
      </c>
      <c r="R27" s="770" t="s">
        <v>17</v>
      </c>
      <c r="S27" s="771">
        <f>F27</f>
        <v>100</v>
      </c>
      <c r="T27" s="770" t="s">
        <v>17</v>
      </c>
      <c r="U27" s="771">
        <f>H27</f>
        <v>100</v>
      </c>
      <c r="V27" s="770" t="s">
        <v>17</v>
      </c>
      <c r="W27" s="771">
        <f>J27</f>
        <v>100</v>
      </c>
      <c r="X27" s="772"/>
      <c r="Y27" s="3201"/>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1"/>
      <c r="Q28" s="1798"/>
      <c r="R28" s="770"/>
      <c r="S28" s="771"/>
      <c r="T28" s="770"/>
      <c r="U28" s="771"/>
      <c r="V28" s="770"/>
      <c r="W28" s="771"/>
      <c r="X28" s="772"/>
      <c r="Y28" s="3201"/>
      <c r="Z28" s="55"/>
      <c r="AA28" s="1814">
        <v>1</v>
      </c>
      <c r="AB28" s="1814">
        <v>1</v>
      </c>
      <c r="AC28" s="1814">
        <v>1</v>
      </c>
    </row>
    <row r="29" spans="1:29" s="117" customFormat="1" ht="41.4">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1"/>
      <c r="Q29" s="1798"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1"/>
      <c r="Q30" s="1798"/>
      <c r="R30" s="770"/>
      <c r="S30" s="771"/>
      <c r="T30" s="770"/>
      <c r="U30" s="771"/>
      <c r="V30" s="770"/>
      <c r="W30" s="771"/>
      <c r="X30" s="772"/>
      <c r="Y30" s="3201"/>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1"/>
      <c r="Z31" s="1817" t="str">
        <f t="shared" ref="Z31:Z45" si="13">Q31</f>
        <v>临街状况</v>
      </c>
      <c r="AA31" s="1814">
        <f t="shared" si="3"/>
        <v>1</v>
      </c>
      <c r="AB31" s="1814">
        <f t="shared" si="4"/>
        <v>1</v>
      </c>
      <c r="AC31" s="1814">
        <f t="shared" si="5"/>
        <v>1</v>
      </c>
    </row>
    <row r="32" spans="1:29" ht="28.8">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1"/>
      <c r="Q32" s="1813" t="str">
        <f t="shared" si="8"/>
        <v>毗邻道路的类型与等级</v>
      </c>
      <c r="R32" s="774" t="s">
        <v>17</v>
      </c>
      <c r="S32" s="775">
        <f t="shared" si="10"/>
        <v>100</v>
      </c>
      <c r="T32" s="774" t="s">
        <v>17</v>
      </c>
      <c r="U32" s="775">
        <f t="shared" si="11"/>
        <v>100</v>
      </c>
      <c r="V32" s="774" t="s">
        <v>17</v>
      </c>
      <c r="W32" s="775">
        <f t="shared" si="12"/>
        <v>100</v>
      </c>
      <c r="X32" s="1816"/>
      <c r="Y32" s="3201"/>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1"/>
      <c r="Q33" s="1813"/>
      <c r="R33" s="774"/>
      <c r="S33" s="775"/>
      <c r="T33" s="774"/>
      <c r="U33" s="775"/>
      <c r="V33" s="774"/>
      <c r="W33" s="775"/>
      <c r="X33" s="1816"/>
      <c r="Y33" s="3201"/>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1"/>
      <c r="Q34" s="1813" t="str">
        <f t="shared" si="8"/>
        <v>土地级别</v>
      </c>
      <c r="R34" s="774" t="s">
        <v>17</v>
      </c>
      <c r="S34" s="775">
        <f t="shared" si="10"/>
        <v>100</v>
      </c>
      <c r="T34" s="774" t="s">
        <v>17</v>
      </c>
      <c r="U34" s="775">
        <f t="shared" si="11"/>
        <v>100</v>
      </c>
      <c r="V34" s="774" t="s">
        <v>17</v>
      </c>
      <c r="W34" s="775">
        <f t="shared" si="12"/>
        <v>100</v>
      </c>
      <c r="X34" s="1816"/>
      <c r="Y34" s="320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1"/>
      <c r="Q35" s="1813">
        <f t="shared" si="8"/>
        <v>111</v>
      </c>
      <c r="R35" s="774" t="s">
        <v>17</v>
      </c>
      <c r="S35" s="775">
        <f t="shared" si="10"/>
        <v>100</v>
      </c>
      <c r="T35" s="774" t="s">
        <v>17</v>
      </c>
      <c r="U35" s="775">
        <f t="shared" si="11"/>
        <v>100</v>
      </c>
      <c r="V35" s="774" t="s">
        <v>17</v>
      </c>
      <c r="W35" s="775">
        <f t="shared" si="12"/>
        <v>100</v>
      </c>
      <c r="X35" s="1816"/>
      <c r="Y35" s="320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2568</v>
      </c>
      <c r="Q36" s="1813">
        <f t="shared" si="8"/>
        <v>111</v>
      </c>
      <c r="R36" s="774" t="s">
        <v>17</v>
      </c>
      <c r="S36" s="775">
        <f t="shared" si="10"/>
        <v>100</v>
      </c>
      <c r="T36" s="774" t="s">
        <v>17</v>
      </c>
      <c r="U36" s="775">
        <f t="shared" si="11"/>
        <v>100</v>
      </c>
      <c r="V36" s="774" t="s">
        <v>17</v>
      </c>
      <c r="W36" s="775">
        <f t="shared" si="12"/>
        <v>100</v>
      </c>
      <c r="X36" s="1816"/>
      <c r="Y36" s="3205" t="s">
        <v>2568</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5"/>
      <c r="Q37" s="1813">
        <f t="shared" si="8"/>
        <v>111</v>
      </c>
      <c r="R37" s="777" t="s">
        <v>17</v>
      </c>
      <c r="S37" s="778">
        <f t="shared" si="10"/>
        <v>100</v>
      </c>
      <c r="T37" s="777" t="s">
        <v>17</v>
      </c>
      <c r="U37" s="778">
        <f t="shared" si="11"/>
        <v>100</v>
      </c>
      <c r="V37" s="777" t="s">
        <v>17</v>
      </c>
      <c r="W37" s="778">
        <f t="shared" si="12"/>
        <v>100</v>
      </c>
      <c r="X37" s="779"/>
      <c r="Y37" s="3205"/>
      <c r="Z37" s="780">
        <f t="shared" si="13"/>
        <v>111</v>
      </c>
      <c r="AA37" s="1814">
        <f t="shared" si="3"/>
        <v>1</v>
      </c>
      <c r="AB37" s="1814">
        <f t="shared" si="4"/>
        <v>1</v>
      </c>
      <c r="AC37" s="1814">
        <f t="shared" si="5"/>
        <v>1</v>
      </c>
    </row>
    <row r="38" spans="1:29" ht="15.6">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5"/>
      <c r="Q38" s="1813" t="str">
        <f>B38</f>
        <v>宗地面积</v>
      </c>
      <c r="R38" s="774" t="s">
        <v>17</v>
      </c>
      <c r="S38" s="775" t="e">
        <f t="shared" si="10"/>
        <v>#N/A</v>
      </c>
      <c r="T38" s="774" t="s">
        <v>17</v>
      </c>
      <c r="U38" s="775" t="e">
        <f t="shared" si="11"/>
        <v>#N/A</v>
      </c>
      <c r="V38" s="774" t="s">
        <v>17</v>
      </c>
      <c r="W38" s="775" t="e">
        <f t="shared" si="12"/>
        <v>#N/A</v>
      </c>
      <c r="X38" s="1816"/>
      <c r="Y38" s="3205"/>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5"/>
      <c r="Q39" s="1813" t="str">
        <f t="shared" ref="Q39:Q45" si="14">B39</f>
        <v>宗地形状</v>
      </c>
      <c r="R39" s="774" t="s">
        <v>17</v>
      </c>
      <c r="S39" s="775">
        <f t="shared" si="10"/>
        <v>100</v>
      </c>
      <c r="T39" s="774" t="s">
        <v>17</v>
      </c>
      <c r="U39" s="775">
        <f t="shared" si="11"/>
        <v>100</v>
      </c>
      <c r="V39" s="774" t="s">
        <v>17</v>
      </c>
      <c r="W39" s="775">
        <f t="shared" si="12"/>
        <v>100</v>
      </c>
      <c r="X39" s="1816"/>
      <c r="Y39" s="3205"/>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5"/>
      <c r="Q40" s="1813" t="str">
        <f t="shared" si="14"/>
        <v>临街宽度及深度</v>
      </c>
      <c r="R40" s="774" t="s">
        <v>17</v>
      </c>
      <c r="S40" s="775">
        <f t="shared" si="10"/>
        <v>100</v>
      </c>
      <c r="T40" s="774" t="s">
        <v>17</v>
      </c>
      <c r="U40" s="775">
        <f t="shared" si="11"/>
        <v>100</v>
      </c>
      <c r="V40" s="774" t="s">
        <v>17</v>
      </c>
      <c r="W40" s="775">
        <f t="shared" si="12"/>
        <v>100</v>
      </c>
      <c r="X40" s="1816"/>
      <c r="Y40" s="3205"/>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5"/>
      <c r="Q41" s="1813" t="str">
        <f t="shared" si="14"/>
        <v>宗地开发程度</v>
      </c>
      <c r="R41" s="770" t="s">
        <v>17</v>
      </c>
      <c r="S41" s="771">
        <f t="shared" si="10"/>
        <v>100</v>
      </c>
      <c r="T41" s="770" t="s">
        <v>17</v>
      </c>
      <c r="U41" s="771">
        <f t="shared" si="11"/>
        <v>100</v>
      </c>
      <c r="V41" s="770" t="s">
        <v>17</v>
      </c>
      <c r="W41" s="771">
        <f t="shared" si="12"/>
        <v>100</v>
      </c>
      <c r="X41" s="772"/>
      <c r="Y41" s="3205"/>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5" t="s">
        <v>2568</v>
      </c>
      <c r="Q42" s="1813" t="str">
        <f t="shared" si="14"/>
        <v>工程地质条件</v>
      </c>
      <c r="R42" s="774" t="s">
        <v>17</v>
      </c>
      <c r="S42" s="775">
        <f t="shared" si="10"/>
        <v>100</v>
      </c>
      <c r="T42" s="774" t="s">
        <v>17</v>
      </c>
      <c r="U42" s="775">
        <f t="shared" si="11"/>
        <v>100</v>
      </c>
      <c r="V42" s="774" t="s">
        <v>17</v>
      </c>
      <c r="W42" s="775">
        <f t="shared" si="12"/>
        <v>100</v>
      </c>
      <c r="X42" s="1816"/>
      <c r="Y42" s="3205"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5"/>
      <c r="Q43" s="1813">
        <f t="shared" si="14"/>
        <v>111</v>
      </c>
      <c r="R43" s="774" t="s">
        <v>17</v>
      </c>
      <c r="S43" s="775">
        <f t="shared" si="10"/>
        <v>100</v>
      </c>
      <c r="T43" s="774" t="s">
        <v>17</v>
      </c>
      <c r="U43" s="775">
        <f t="shared" si="11"/>
        <v>100</v>
      </c>
      <c r="V43" s="774" t="s">
        <v>17</v>
      </c>
      <c r="W43" s="775">
        <f t="shared" si="12"/>
        <v>100</v>
      </c>
      <c r="X43" s="1816"/>
      <c r="Y43" s="320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5"/>
      <c r="Q44" s="1813">
        <f t="shared" si="14"/>
        <v>111</v>
      </c>
      <c r="R44" s="774" t="s">
        <v>17</v>
      </c>
      <c r="S44" s="775">
        <f t="shared" si="10"/>
        <v>100</v>
      </c>
      <c r="T44" s="774" t="s">
        <v>17</v>
      </c>
      <c r="U44" s="775">
        <f t="shared" si="11"/>
        <v>100</v>
      </c>
      <c r="V44" s="774" t="s">
        <v>17</v>
      </c>
      <c r="W44" s="775">
        <f t="shared" si="12"/>
        <v>100</v>
      </c>
      <c r="X44" s="1816"/>
      <c r="Y44" s="3205"/>
      <c r="Z44" s="1817">
        <f t="shared" si="13"/>
        <v>111</v>
      </c>
      <c r="AA44" s="1814">
        <f t="shared" si="3"/>
        <v>1</v>
      </c>
      <c r="AB44" s="1814">
        <f t="shared" si="4"/>
        <v>1</v>
      </c>
      <c r="AC44" s="1814">
        <f t="shared" si="5"/>
        <v>1</v>
      </c>
    </row>
    <row r="45" spans="1:29" s="471" customFormat="1" ht="15.6"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5"/>
      <c r="Q45" s="1813">
        <f t="shared" si="14"/>
        <v>111</v>
      </c>
      <c r="R45" s="777" t="s">
        <v>17</v>
      </c>
      <c r="S45" s="778">
        <f t="shared" si="10"/>
        <v>100</v>
      </c>
      <c r="T45" s="777" t="s">
        <v>17</v>
      </c>
      <c r="U45" s="778">
        <f t="shared" si="11"/>
        <v>100</v>
      </c>
      <c r="V45" s="777" t="s">
        <v>17</v>
      </c>
      <c r="W45" s="778">
        <f t="shared" si="12"/>
        <v>100</v>
      </c>
      <c r="X45" s="779"/>
      <c r="Y45" s="3205"/>
      <c r="Z45" s="780">
        <f t="shared" si="13"/>
        <v>111</v>
      </c>
      <c r="AA45" s="1814">
        <f t="shared" si="3"/>
        <v>1</v>
      </c>
      <c r="AB45" s="1814">
        <f t="shared" si="4"/>
        <v>1</v>
      </c>
      <c r="AC45" s="1814">
        <f t="shared" si="5"/>
        <v>1</v>
      </c>
    </row>
    <row r="46" spans="1:29" ht="14.4">
      <c r="A46" s="479" t="s">
        <v>2723</v>
      </c>
      <c r="B46" s="2711" t="s">
        <v>2759</v>
      </c>
      <c r="C46" s="682" t="s">
        <v>1</v>
      </c>
      <c r="D46" s="481"/>
      <c r="E46" s="482"/>
      <c r="F46" s="483"/>
      <c r="G46" s="484"/>
      <c r="H46" s="485"/>
      <c r="I46" s="482"/>
      <c r="J46" s="485"/>
      <c r="K46" s="783"/>
      <c r="L46" s="1146"/>
      <c r="M46" s="1147"/>
      <c r="N46" s="1134"/>
      <c r="O46" s="1147"/>
      <c r="P46" s="3198" t="str">
        <f>A46</f>
        <v>成交单价</v>
      </c>
      <c r="Q46" s="3198"/>
      <c r="R46" s="3193">
        <f>E46</f>
        <v>0</v>
      </c>
      <c r="S46" s="3193"/>
      <c r="T46" s="3193">
        <f>G46</f>
        <v>0</v>
      </c>
      <c r="U46" s="3193"/>
      <c r="V46" s="3193">
        <f>I46</f>
        <v>0</v>
      </c>
      <c r="W46" s="3193"/>
      <c r="X46" s="759"/>
      <c r="Y46" s="781"/>
      <c r="Z46" s="759"/>
      <c r="AA46" s="759"/>
      <c r="AB46" s="759"/>
      <c r="AC46" s="759"/>
    </row>
    <row r="47" spans="1:29" ht="1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 thickBot="1">
      <c r="A48" s="492" t="s">
        <v>2760</v>
      </c>
      <c r="B48" s="493"/>
      <c r="C48" s="494" t="e">
        <f>R48</f>
        <v>#DIV/0!</v>
      </c>
      <c r="D48" s="494"/>
      <c r="E48" s="494"/>
      <c r="F48" s="494"/>
      <c r="G48" s="494"/>
      <c r="H48" s="494"/>
      <c r="I48" s="494"/>
      <c r="J48" s="494"/>
      <c r="K48" s="785"/>
      <c r="L48" s="1146"/>
      <c r="M48" s="1147"/>
      <c r="N48" s="1147"/>
      <c r="O48" s="1147"/>
      <c r="P48" s="3195" t="str">
        <f>A48</f>
        <v>估价对象XX用房的比较价值（楼面单价，元/平方米）</v>
      </c>
      <c r="Q48" s="3196"/>
      <c r="R48" s="3226" t="e">
        <f>ROUND(AVERAGE(R47:V47),0)</f>
        <v>#DIV/0!</v>
      </c>
      <c r="S48" s="3226"/>
      <c r="T48" s="3226"/>
      <c r="U48" s="3226"/>
      <c r="V48" s="3226"/>
      <c r="W48" s="32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181" t="s">
        <v>2767</v>
      </c>
      <c r="H55" s="3227"/>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0</v>
      </c>
      <c r="F56" s="1106" t="e">
        <f t="shared" ref="F56:F65" si="15">ROUND(B56*E56/10000,0)</f>
        <v>#DIV/0!</v>
      </c>
      <c r="G56" s="3180"/>
      <c r="H56" s="3198"/>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28"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28"/>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28"/>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28"/>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6" t="s">
        <v>2772</v>
      </c>
      <c r="H64" s="1107">
        <f>项目基本情况!B37</f>
        <v>0</v>
      </c>
      <c r="I64" s="1111">
        <f>SUMIF(修正!A45:A56,H64,修正!H45:H56)</f>
        <v>0</v>
      </c>
      <c r="J64" s="1115"/>
      <c r="K64" s="1148"/>
      <c r="L64" s="944"/>
      <c r="M64" s="944"/>
      <c r="N64" s="944"/>
      <c r="O64" s="944"/>
    </row>
    <row r="65" spans="1:17" s="692" customFormat="1" ht="14.4"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thickBot="1">
      <c r="A66" s="695" t="s">
        <v>2784</v>
      </c>
      <c r="B66" s="696" t="s">
        <v>28</v>
      </c>
      <c r="C66" s="696" t="s">
        <v>29</v>
      </c>
      <c r="D66" s="696" t="s">
        <v>1026</v>
      </c>
      <c r="E66" s="696">
        <f>IF(B46="楼面地价",SUM(E56:E65),'数据-汇总表'!D3)</f>
        <v>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1900-1-1</v>
      </c>
      <c r="D68" s="761" t="e">
        <f>EDATE(C68,-3)</f>
        <v>#NUM!</v>
      </c>
      <c r="E68" s="761" t="e">
        <f>EDATE(D68,-3)</f>
        <v>#NUM!</v>
      </c>
      <c r="F68" s="761" t="e">
        <f t="shared" ref="F68:O68" si="18">EDATE(E68,-3)</f>
        <v>#NUM!</v>
      </c>
      <c r="G68" s="761" t="e">
        <f t="shared" si="18"/>
        <v>#NUM!</v>
      </c>
      <c r="H68" s="761" t="e">
        <f t="shared" si="18"/>
        <v>#NUM!</v>
      </c>
      <c r="I68" s="761" t="e">
        <f t="shared" si="18"/>
        <v>#NUM!</v>
      </c>
      <c r="J68" s="761" t="e">
        <f t="shared" si="18"/>
        <v>#NUM!</v>
      </c>
      <c r="K68" s="761" t="e">
        <f t="shared" si="18"/>
        <v>#NUM!</v>
      </c>
      <c r="L68" s="761" t="e">
        <f t="shared" si="18"/>
        <v>#NUM!</v>
      </c>
      <c r="M68" s="761" t="e">
        <f t="shared" si="18"/>
        <v>#NUM!</v>
      </c>
      <c r="N68" s="761" t="e">
        <f t="shared" si="18"/>
        <v>#NUM!</v>
      </c>
      <c r="O68" s="761" t="e">
        <f t="shared" si="18"/>
        <v>#NUM!</v>
      </c>
    </row>
    <row r="69" spans="1:17" ht="22.2" thickBot="1">
      <c r="A69" s="763" t="s">
        <v>2677</v>
      </c>
      <c r="B69" s="759"/>
      <c r="C69" s="764"/>
      <c r="D69" s="764"/>
      <c r="E69" s="764"/>
      <c r="F69" s="765"/>
      <c r="G69" s="765"/>
      <c r="H69" s="764"/>
      <c r="I69" s="764"/>
      <c r="J69" s="1162"/>
      <c r="K69" s="1163"/>
      <c r="L69" s="1164"/>
      <c r="M69" s="1162"/>
      <c r="N69" s="1162"/>
      <c r="O69" s="1162"/>
      <c r="P69" s="503"/>
      <c r="Q69" s="504"/>
    </row>
    <row r="70" spans="1:17" s="508" customFormat="1" ht="14.4">
      <c r="A70" s="2718" t="s">
        <v>2785</v>
      </c>
      <c r="B70" s="1362"/>
      <c r="C70" s="1575" t="str">
        <f>YEAR(C68)&amp;"-"&amp;ROUNDUP(MONTH(C68)/3,0)</f>
        <v>1900-1</v>
      </c>
      <c r="D70" s="1575" t="e">
        <f>YEAR(D68)&amp;"-"&amp;ROUNDUP(MONTH(D68)/3,0)</f>
        <v>#NUM!</v>
      </c>
      <c r="E70" s="1575" t="e">
        <f t="shared" ref="E70:O70" si="19">YEAR(E68)&amp;"-"&amp;ROUNDUP(MONTH(E68)/3,0)</f>
        <v>#NUM!</v>
      </c>
      <c r="F70" s="1575" t="e">
        <f t="shared" si="19"/>
        <v>#NUM!</v>
      </c>
      <c r="G70" s="1575" t="e">
        <f t="shared" si="19"/>
        <v>#NUM!</v>
      </c>
      <c r="H70" s="1575" t="e">
        <f t="shared" si="19"/>
        <v>#NUM!</v>
      </c>
      <c r="I70" s="1575" t="e">
        <f t="shared" si="19"/>
        <v>#NUM!</v>
      </c>
      <c r="J70" s="1575" t="e">
        <f t="shared" si="19"/>
        <v>#NUM!</v>
      </c>
      <c r="K70" s="1575" t="e">
        <f t="shared" si="19"/>
        <v>#NUM!</v>
      </c>
      <c r="L70" s="1575" t="e">
        <f t="shared" si="19"/>
        <v>#NUM!</v>
      </c>
      <c r="M70" s="1575" t="e">
        <f t="shared" si="19"/>
        <v>#NUM!</v>
      </c>
      <c r="N70" s="1575" t="e">
        <f t="shared" si="19"/>
        <v>#NUM!</v>
      </c>
      <c r="O70" s="1575" t="e">
        <f t="shared" si="19"/>
        <v>#NUM!</v>
      </c>
      <c r="P70" s="507"/>
    </row>
    <row r="71" spans="1:17" s="117" customFormat="1" ht="30" customHeight="1">
      <c r="A71" s="2719"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 thickBot="1">
      <c r="A72" s="515" t="s">
        <v>2588</v>
      </c>
      <c r="B72" s="516"/>
      <c r="C72" s="517"/>
      <c r="D72" s="518"/>
      <c r="E72" s="518"/>
      <c r="F72" s="518"/>
      <c r="G72" s="518"/>
      <c r="H72" s="518"/>
      <c r="I72" s="518"/>
      <c r="J72" s="518"/>
      <c r="K72" s="518"/>
      <c r="L72" s="518"/>
      <c r="M72" s="519"/>
      <c r="N72" s="518"/>
      <c r="O72" s="1165"/>
      <c r="P72" s="504"/>
      <c r="Q72" s="504"/>
    </row>
    <row r="73" spans="1:17" s="117" customFormat="1" ht="14.4">
      <c r="A73" s="521" t="s">
        <v>2553</v>
      </c>
      <c r="B73" s="510"/>
      <c r="C73" s="522" t="s">
        <v>2655</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2591</v>
      </c>
      <c r="B75" s="528" t="s">
        <v>2557</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2560</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2694</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2753</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2648</v>
      </c>
      <c r="B4" s="402"/>
      <c r="C4" s="3181" t="s">
        <v>2649</v>
      </c>
      <c r="D4" s="3182"/>
      <c r="E4" s="3183" t="s">
        <v>2650</v>
      </c>
      <c r="F4" s="3184"/>
      <c r="G4" s="3181" t="s">
        <v>2651</v>
      </c>
      <c r="H4" s="3182"/>
      <c r="I4" s="3181" t="s">
        <v>2652</v>
      </c>
      <c r="J4" s="3182"/>
      <c r="K4" s="610" t="s">
        <v>2653</v>
      </c>
      <c r="L4" s="1133"/>
      <c r="M4" s="1134"/>
      <c r="N4" s="1134"/>
      <c r="O4" s="1134"/>
      <c r="P4" s="3185" t="s">
        <v>2654</v>
      </c>
      <c r="Q4" s="3186"/>
      <c r="R4" s="3168" t="s">
        <v>2650</v>
      </c>
      <c r="S4" s="3169"/>
      <c r="T4" s="3168" t="s">
        <v>2651</v>
      </c>
      <c r="U4" s="3169"/>
      <c r="V4" s="3193" t="s">
        <v>2652</v>
      </c>
      <c r="W4" s="3193"/>
      <c r="X4" s="1816"/>
      <c r="Y4" s="3168" t="s">
        <v>2654</v>
      </c>
      <c r="Z4" s="3169"/>
      <c r="AA4" s="3163" t="s">
        <v>2650</v>
      </c>
      <c r="AB4" s="3164" t="s">
        <v>2651</v>
      </c>
      <c r="AC4" s="3163" t="s">
        <v>2652</v>
      </c>
    </row>
    <row r="5" spans="1:29">
      <c r="A5" s="404"/>
      <c r="B5" s="405"/>
      <c r="C5" s="3174" t="s">
        <v>2545</v>
      </c>
      <c r="D5" s="3175"/>
      <c r="E5" s="3172" t="s">
        <v>2546</v>
      </c>
      <c r="F5" s="3173"/>
      <c r="G5" s="3174" t="s">
        <v>2547</v>
      </c>
      <c r="H5" s="3175"/>
      <c r="I5" s="3174" t="s">
        <v>2548</v>
      </c>
      <c r="J5" s="3175"/>
      <c r="K5" s="610"/>
      <c r="L5" s="1133"/>
      <c r="M5" s="1134"/>
      <c r="N5" s="1134"/>
      <c r="O5" s="1134"/>
      <c r="P5" s="3187"/>
      <c r="Q5" s="3188"/>
      <c r="R5" s="3170"/>
      <c r="S5" s="3171"/>
      <c r="T5" s="3170"/>
      <c r="U5" s="3171"/>
      <c r="V5" s="3193"/>
      <c r="W5" s="3193"/>
      <c r="X5" s="1816"/>
      <c r="Y5" s="3170"/>
      <c r="Z5" s="3171"/>
      <c r="AA5" s="3164"/>
      <c r="AB5" s="3164"/>
      <c r="AC5" s="3164"/>
    </row>
    <row r="6" spans="1:29" ht="15" thickBot="1">
      <c r="A6" s="406"/>
      <c r="B6" s="407"/>
      <c r="C6" s="3229" t="s">
        <v>2800</v>
      </c>
      <c r="D6" s="3230"/>
      <c r="E6" s="3231" t="s">
        <v>2800</v>
      </c>
      <c r="F6" s="3232"/>
      <c r="G6" s="3229" t="s">
        <v>2800</v>
      </c>
      <c r="H6" s="3230"/>
      <c r="I6" s="3229" t="s">
        <v>2800</v>
      </c>
      <c r="J6" s="3230"/>
      <c r="K6" s="610" t="s">
        <v>2550</v>
      </c>
      <c r="L6" s="1133"/>
      <c r="M6" s="1134"/>
      <c r="N6" s="1134"/>
      <c r="O6" s="1134"/>
      <c r="P6" s="3189"/>
      <c r="Q6" s="3190"/>
      <c r="R6" s="3170"/>
      <c r="S6" s="3171"/>
      <c r="T6" s="3191"/>
      <c r="U6" s="3192"/>
      <c r="V6" s="3193"/>
      <c r="W6" s="3193"/>
      <c r="X6" s="1816"/>
      <c r="Y6" s="3191"/>
      <c r="Z6" s="3192"/>
      <c r="AA6" s="3165"/>
      <c r="AB6" s="3165"/>
      <c r="AC6" s="3165"/>
    </row>
    <row r="7" spans="1:29" s="117" customFormat="1" ht="15" thickBot="1">
      <c r="A7" s="408" t="s">
        <v>2551</v>
      </c>
      <c r="B7" s="409"/>
      <c r="C7" s="410">
        <f>'数据-取费表'!B2</f>
        <v>0</v>
      </c>
      <c r="D7" s="411">
        <v>100</v>
      </c>
      <c r="E7" s="412"/>
      <c r="F7" s="413">
        <f>SUMIF(65:65,YEAR(E7)&amp;"-"&amp;INT((MONTH(E7)+2)/3),66:66)</f>
        <v>100</v>
      </c>
      <c r="G7" s="2703"/>
      <c r="H7" s="411">
        <f>SUMIF(65:65,YEAR(G7)&amp;"-"&amp;INT((MONTH(G7)+2)/3),66:66)</f>
        <v>100</v>
      </c>
      <c r="I7" s="2703"/>
      <c r="J7" s="411">
        <f>SUMIF(65:65,YEAR(I7)&amp;"-"&amp;INT((MONTH(I7)+2)/3),66:66)</f>
        <v>100</v>
      </c>
      <c r="K7" s="611"/>
      <c r="L7" s="1135"/>
      <c r="M7" s="1136"/>
      <c r="N7" s="1136"/>
      <c r="O7" s="1136"/>
      <c r="P7" s="3166" t="s">
        <v>2552</v>
      </c>
      <c r="Q7" s="3194"/>
      <c r="R7" s="770" t="s">
        <v>17</v>
      </c>
      <c r="S7" s="771">
        <f t="shared" ref="S7:S15" si="0">F7</f>
        <v>100</v>
      </c>
      <c r="T7" s="770" t="s">
        <v>17</v>
      </c>
      <c r="U7" s="771">
        <f t="shared" ref="U7:U15" si="1">H7</f>
        <v>100</v>
      </c>
      <c r="V7" s="770" t="s">
        <v>17</v>
      </c>
      <c r="W7" s="771">
        <f t="shared" ref="W7:W15" si="2">J7</f>
        <v>100</v>
      </c>
      <c r="X7" s="772"/>
      <c r="Y7" s="3166" t="s">
        <v>2552</v>
      </c>
      <c r="Z7" s="3167"/>
      <c r="AA7" s="773">
        <f>D7/F7</f>
        <v>1</v>
      </c>
      <c r="AB7" s="773">
        <f>D7/H7</f>
        <v>1</v>
      </c>
      <c r="AC7" s="773">
        <f>D7/J7</f>
        <v>1</v>
      </c>
    </row>
    <row r="8" spans="1:29" s="117" customFormat="1" ht="1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6" t="s">
        <v>2555</v>
      </c>
      <c r="Q8" s="3167"/>
      <c r="R8" s="770" t="s">
        <v>17</v>
      </c>
      <c r="S8" s="771">
        <f t="shared" si="0"/>
        <v>0</v>
      </c>
      <c r="T8" s="770" t="s">
        <v>17</v>
      </c>
      <c r="U8" s="771">
        <f t="shared" si="1"/>
        <v>0</v>
      </c>
      <c r="V8" s="770" t="s">
        <v>17</v>
      </c>
      <c r="W8" s="771">
        <f t="shared" si="2"/>
        <v>0</v>
      </c>
      <c r="X8" s="772"/>
      <c r="Y8" s="3166" t="s">
        <v>2555</v>
      </c>
      <c r="Z8" s="3167"/>
      <c r="AA8" s="773" t="e">
        <f t="shared" ref="AA8:AA40" si="3">D8/F8</f>
        <v>#DIV/0!</v>
      </c>
      <c r="AB8" s="773" t="e">
        <f t="shared" ref="AB8:AB40" si="4">D8/H8</f>
        <v>#DIV/0!</v>
      </c>
      <c r="AC8" s="773" t="e">
        <f t="shared" ref="AC8:AC40" si="5">D8/J8</f>
        <v>#DIV/0!</v>
      </c>
    </row>
    <row r="9" spans="1:29" s="117" customFormat="1" ht="14.4">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8" t="s">
        <v>2558</v>
      </c>
      <c r="Q9" s="1798" t="str">
        <f t="shared" ref="Q9:Q15" si="6">B9</f>
        <v>用途</v>
      </c>
      <c r="R9" s="770" t="s">
        <v>17</v>
      </c>
      <c r="S9" s="771">
        <f t="shared" si="0"/>
        <v>100</v>
      </c>
      <c r="T9" s="770" t="s">
        <v>17</v>
      </c>
      <c r="U9" s="771">
        <f t="shared" si="1"/>
        <v>100</v>
      </c>
      <c r="V9" s="770" t="s">
        <v>17</v>
      </c>
      <c r="W9" s="771">
        <f t="shared" si="2"/>
        <v>100</v>
      </c>
      <c r="X9" s="772"/>
      <c r="Y9" s="3013" t="s">
        <v>2559</v>
      </c>
      <c r="Z9" s="55" t="str">
        <f t="shared" ref="Z9:Z15" si="7">Q9</f>
        <v>用途</v>
      </c>
      <c r="AA9" s="773">
        <f t="shared" si="3"/>
        <v>1</v>
      </c>
      <c r="AB9" s="773">
        <f t="shared" si="4"/>
        <v>1</v>
      </c>
      <c r="AC9" s="773">
        <f t="shared" si="5"/>
        <v>1</v>
      </c>
    </row>
    <row r="10" spans="1:29" s="427" customFormat="1" ht="28.8">
      <c r="A10" s="421"/>
      <c r="B10" s="422" t="s">
        <v>2560</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198"/>
      <c r="Q10" s="1798" t="str">
        <f t="shared" si="6"/>
        <v>土地使用年限（年）</v>
      </c>
      <c r="R10" s="770" t="s">
        <v>17</v>
      </c>
      <c r="S10" s="771" t="e">
        <f t="shared" si="0"/>
        <v>#DIV/0!</v>
      </c>
      <c r="T10" s="770" t="s">
        <v>17</v>
      </c>
      <c r="U10" s="771" t="e">
        <f t="shared" si="1"/>
        <v>#DIV/0!</v>
      </c>
      <c r="V10" s="770" t="s">
        <v>17</v>
      </c>
      <c r="W10" s="771" t="e">
        <f t="shared" si="2"/>
        <v>#DIV/0!</v>
      </c>
      <c r="X10" s="772"/>
      <c r="Y10" s="3013"/>
      <c r="Z10" s="55" t="str">
        <f t="shared" si="7"/>
        <v>土地使用年限（年）</v>
      </c>
      <c r="AA10" s="773" t="e">
        <f t="shared" si="3"/>
        <v>#DIV/0!</v>
      </c>
      <c r="AB10" s="773" t="e">
        <f t="shared" si="4"/>
        <v>#DIV/0!</v>
      </c>
      <c r="AC10" s="773" t="e">
        <f t="shared" si="5"/>
        <v>#DIV/0!</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6"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69">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0" t="s">
        <v>2563</v>
      </c>
      <c r="Q15" s="1813" t="str">
        <f t="shared" si="6"/>
        <v>产业集聚程度</v>
      </c>
      <c r="R15" s="774" t="s">
        <v>17</v>
      </c>
      <c r="S15" s="775">
        <f t="shared" si="0"/>
        <v>100</v>
      </c>
      <c r="T15" s="774" t="s">
        <v>17</v>
      </c>
      <c r="U15" s="775">
        <f t="shared" si="1"/>
        <v>100</v>
      </c>
      <c r="V15" s="774" t="s">
        <v>17</v>
      </c>
      <c r="W15" s="775">
        <f t="shared" si="2"/>
        <v>100</v>
      </c>
      <c r="X15" s="1816"/>
      <c r="Y15" s="3200"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1"/>
      <c r="Q16" s="1813"/>
      <c r="R16" s="774"/>
      <c r="S16" s="775"/>
      <c r="T16" s="774"/>
      <c r="U16" s="775"/>
      <c r="V16" s="774"/>
      <c r="W16" s="775"/>
      <c r="X16" s="1816"/>
      <c r="Y16" s="3201"/>
      <c r="Z16" s="1817"/>
      <c r="AA16" s="1814">
        <v>1</v>
      </c>
      <c r="AB16" s="1814">
        <v>1</v>
      </c>
      <c r="AC16" s="1814">
        <v>1</v>
      </c>
    </row>
    <row r="17" spans="1:29" ht="96.6">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1"/>
      <c r="Q17" s="1813" t="str">
        <f>B17</f>
        <v>交通便捷度</v>
      </c>
      <c r="R17" s="774" t="s">
        <v>17</v>
      </c>
      <c r="S17" s="775">
        <f>F17</f>
        <v>100</v>
      </c>
      <c r="T17" s="774" t="s">
        <v>17</v>
      </c>
      <c r="U17" s="775">
        <f>H17</f>
        <v>100</v>
      </c>
      <c r="V17" s="774" t="s">
        <v>17</v>
      </c>
      <c r="W17" s="775">
        <f>J17</f>
        <v>100</v>
      </c>
      <c r="X17" s="1816"/>
      <c r="Y17" s="3201"/>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1"/>
      <c r="Q18" s="1813"/>
      <c r="R18" s="774"/>
      <c r="S18" s="775"/>
      <c r="T18" s="774"/>
      <c r="U18" s="775"/>
      <c r="V18" s="774"/>
      <c r="W18" s="775"/>
      <c r="X18" s="1816"/>
      <c r="Y18" s="3201"/>
      <c r="Z18" s="1817"/>
      <c r="AA18" s="1814">
        <v>1</v>
      </c>
      <c r="AB18" s="1814">
        <v>1</v>
      </c>
      <c r="AC18" s="1814">
        <v>1</v>
      </c>
    </row>
    <row r="19" spans="1:29" ht="28.8">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1"/>
      <c r="Q19" s="1813" t="str">
        <f t="shared" ref="Q19:Q33" si="8">B19</f>
        <v>区域土地利用方向</v>
      </c>
      <c r="R19" s="774" t="s">
        <v>17</v>
      </c>
      <c r="S19" s="775">
        <f>F19</f>
        <v>100</v>
      </c>
      <c r="T19" s="774" t="s">
        <v>17</v>
      </c>
      <c r="U19" s="775">
        <f>H19</f>
        <v>100</v>
      </c>
      <c r="V19" s="774" t="s">
        <v>17</v>
      </c>
      <c r="W19" s="775">
        <f>J19</f>
        <v>100</v>
      </c>
      <c r="X19" s="1816"/>
      <c r="Y19" s="3201"/>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1"/>
      <c r="Q20" s="1813"/>
      <c r="R20" s="774"/>
      <c r="S20" s="775"/>
      <c r="T20" s="774"/>
      <c r="U20" s="775"/>
      <c r="V20" s="774"/>
      <c r="W20" s="775"/>
      <c r="X20" s="1816"/>
      <c r="Y20" s="3201"/>
      <c r="Z20" s="1817"/>
      <c r="AA20" s="1814"/>
      <c r="AB20" s="1814"/>
      <c r="AC20" s="1814"/>
    </row>
    <row r="21" spans="1:29" ht="82.8">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1"/>
      <c r="Q21" s="1813" t="str">
        <f t="shared" si="8"/>
        <v>环境状况</v>
      </c>
      <c r="R21" s="774" t="s">
        <v>17</v>
      </c>
      <c r="S21" s="775">
        <f>F21</f>
        <v>100</v>
      </c>
      <c r="T21" s="774" t="s">
        <v>17</v>
      </c>
      <c r="U21" s="775">
        <f>H21</f>
        <v>100</v>
      </c>
      <c r="V21" s="774" t="s">
        <v>17</v>
      </c>
      <c r="W21" s="775">
        <f>J21</f>
        <v>100</v>
      </c>
      <c r="X21" s="1816"/>
      <c r="Y21" s="3201"/>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1"/>
      <c r="Q22" s="1813"/>
      <c r="R22" s="774"/>
      <c r="S22" s="775"/>
      <c r="T22" s="774"/>
      <c r="U22" s="775"/>
      <c r="V22" s="774"/>
      <c r="W22" s="775"/>
      <c r="X22" s="1816"/>
      <c r="Y22" s="3201"/>
      <c r="Z22" s="1817"/>
      <c r="AA22" s="1814">
        <v>1</v>
      </c>
      <c r="AB22" s="1814">
        <v>1</v>
      </c>
      <c r="AC22" s="1814">
        <v>1</v>
      </c>
    </row>
    <row r="23" spans="1:29" s="117" customFormat="1" ht="41.4">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1"/>
      <c r="Q23" s="1798" t="str">
        <f t="shared" si="8"/>
        <v>公共配套设施</v>
      </c>
      <c r="R23" s="770" t="s">
        <v>17</v>
      </c>
      <c r="S23" s="771">
        <f>F23</f>
        <v>100</v>
      </c>
      <c r="T23" s="770" t="s">
        <v>17</v>
      </c>
      <c r="U23" s="771">
        <f>H23</f>
        <v>100</v>
      </c>
      <c r="V23" s="770" t="s">
        <v>17</v>
      </c>
      <c r="W23" s="771">
        <f>J23</f>
        <v>100</v>
      </c>
      <c r="X23" s="772"/>
      <c r="Y23" s="3201"/>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1"/>
      <c r="Q24" s="1798"/>
      <c r="R24" s="770"/>
      <c r="S24" s="771"/>
      <c r="T24" s="770"/>
      <c r="U24" s="771"/>
      <c r="V24" s="770"/>
      <c r="W24" s="771"/>
      <c r="X24" s="772"/>
      <c r="Y24" s="3201"/>
      <c r="Z24" s="55"/>
      <c r="AA24" s="773">
        <v>1</v>
      </c>
      <c r="AB24" s="773">
        <v>1</v>
      </c>
      <c r="AC24" s="773">
        <v>1</v>
      </c>
    </row>
    <row r="25" spans="1:29" s="117" customFormat="1" ht="41.4">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1"/>
      <c r="Q25" s="1798"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1"/>
      <c r="Q26" s="1798"/>
      <c r="R26" s="770"/>
      <c r="S26" s="771"/>
      <c r="T26" s="770"/>
      <c r="U26" s="771"/>
      <c r="V26" s="770"/>
      <c r="W26" s="771"/>
      <c r="X26" s="772"/>
      <c r="Y26" s="320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1"/>
      <c r="Z27" s="1817" t="str">
        <f t="shared" ref="Z27:Z40" si="13">Q27</f>
        <v>临街状况</v>
      </c>
      <c r="AA27" s="1814">
        <f t="shared" si="3"/>
        <v>1</v>
      </c>
      <c r="AB27" s="1814">
        <f t="shared" si="4"/>
        <v>1</v>
      </c>
      <c r="AC27" s="1814">
        <f t="shared" si="5"/>
        <v>1</v>
      </c>
    </row>
    <row r="28" spans="1:29" ht="28.8">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1"/>
      <c r="Q28" s="1813" t="str">
        <f t="shared" si="8"/>
        <v>毗邻道路的类型与等级</v>
      </c>
      <c r="R28" s="774" t="s">
        <v>17</v>
      </c>
      <c r="S28" s="775">
        <f t="shared" si="10"/>
        <v>100</v>
      </c>
      <c r="T28" s="774" t="s">
        <v>17</v>
      </c>
      <c r="U28" s="775">
        <f t="shared" si="11"/>
        <v>100</v>
      </c>
      <c r="V28" s="774" t="s">
        <v>17</v>
      </c>
      <c r="W28" s="775">
        <f t="shared" si="12"/>
        <v>100</v>
      </c>
      <c r="X28" s="1816"/>
      <c r="Y28" s="3201"/>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1"/>
      <c r="Q29" s="1813"/>
      <c r="R29" s="774"/>
      <c r="S29" s="775"/>
      <c r="T29" s="774"/>
      <c r="U29" s="775"/>
      <c r="V29" s="774"/>
      <c r="W29" s="775"/>
      <c r="X29" s="1816"/>
      <c r="Y29" s="3201"/>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1"/>
      <c r="Q30" s="1813" t="str">
        <f t="shared" si="8"/>
        <v>土地级别</v>
      </c>
      <c r="R30" s="774" t="s">
        <v>17</v>
      </c>
      <c r="S30" s="775">
        <f t="shared" si="10"/>
        <v>100</v>
      </c>
      <c r="T30" s="774" t="s">
        <v>17</v>
      </c>
      <c r="U30" s="775">
        <f t="shared" si="11"/>
        <v>100</v>
      </c>
      <c r="V30" s="774" t="s">
        <v>17</v>
      </c>
      <c r="W30" s="775">
        <f t="shared" si="12"/>
        <v>100</v>
      </c>
      <c r="X30" s="1816"/>
      <c r="Y30" s="3201"/>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1"/>
      <c r="Q31" s="1813">
        <f t="shared" si="8"/>
        <v>111</v>
      </c>
      <c r="R31" s="774" t="s">
        <v>17</v>
      </c>
      <c r="S31" s="775">
        <f t="shared" si="10"/>
        <v>100</v>
      </c>
      <c r="T31" s="774" t="s">
        <v>17</v>
      </c>
      <c r="U31" s="775">
        <f t="shared" si="11"/>
        <v>100</v>
      </c>
      <c r="V31" s="774" t="s">
        <v>17</v>
      </c>
      <c r="W31" s="775">
        <f t="shared" si="12"/>
        <v>100</v>
      </c>
      <c r="X31" s="1816"/>
      <c r="Y31" s="3201"/>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2568</v>
      </c>
      <c r="Q32" s="1813">
        <f t="shared" si="8"/>
        <v>111</v>
      </c>
      <c r="R32" s="774" t="s">
        <v>17</v>
      </c>
      <c r="S32" s="775">
        <f t="shared" si="10"/>
        <v>100</v>
      </c>
      <c r="T32" s="774" t="s">
        <v>17</v>
      </c>
      <c r="U32" s="775">
        <f t="shared" si="11"/>
        <v>100</v>
      </c>
      <c r="V32" s="774" t="s">
        <v>17</v>
      </c>
      <c r="W32" s="775">
        <f t="shared" si="12"/>
        <v>100</v>
      </c>
      <c r="X32" s="1816"/>
      <c r="Y32" s="3205" t="s">
        <v>2568</v>
      </c>
      <c r="Z32" s="1817">
        <f t="shared" si="13"/>
        <v>111</v>
      </c>
      <c r="AA32" s="1814">
        <f t="shared" si="3"/>
        <v>1</v>
      </c>
      <c r="AB32" s="1814">
        <f t="shared" si="4"/>
        <v>1</v>
      </c>
      <c r="AC32" s="1814">
        <f t="shared" si="5"/>
        <v>1</v>
      </c>
    </row>
    <row r="33" spans="1:29" s="471" customFormat="1" ht="15.6"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5"/>
      <c r="Q33" s="1813">
        <f t="shared" si="8"/>
        <v>111</v>
      </c>
      <c r="R33" s="777" t="s">
        <v>17</v>
      </c>
      <c r="S33" s="778">
        <f t="shared" si="10"/>
        <v>100</v>
      </c>
      <c r="T33" s="777" t="s">
        <v>17</v>
      </c>
      <c r="U33" s="778">
        <f t="shared" si="11"/>
        <v>100</v>
      </c>
      <c r="V33" s="777" t="s">
        <v>17</v>
      </c>
      <c r="W33" s="778">
        <f t="shared" si="12"/>
        <v>100</v>
      </c>
      <c r="X33" s="779"/>
      <c r="Y33" s="3205"/>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5"/>
      <c r="Q34" s="1813" t="str">
        <f>B34</f>
        <v>宗地面积</v>
      </c>
      <c r="R34" s="774" t="s">
        <v>17</v>
      </c>
      <c r="S34" s="775" t="e">
        <f t="shared" si="10"/>
        <v>#N/A</v>
      </c>
      <c r="T34" s="774" t="s">
        <v>17</v>
      </c>
      <c r="U34" s="775" t="e">
        <f t="shared" si="11"/>
        <v>#N/A</v>
      </c>
      <c r="V34" s="774" t="s">
        <v>17</v>
      </c>
      <c r="W34" s="775" t="e">
        <f t="shared" si="12"/>
        <v>#N/A</v>
      </c>
      <c r="X34" s="1816"/>
      <c r="Y34" s="3205"/>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5"/>
      <c r="Q35" s="1813" t="str">
        <f t="shared" ref="Q35:Q40" si="14">B35</f>
        <v>宗地形状</v>
      </c>
      <c r="R35" s="774" t="s">
        <v>17</v>
      </c>
      <c r="S35" s="775">
        <f t="shared" si="10"/>
        <v>100</v>
      </c>
      <c r="T35" s="774" t="s">
        <v>17</v>
      </c>
      <c r="U35" s="775">
        <f t="shared" si="11"/>
        <v>100</v>
      </c>
      <c r="V35" s="774" t="s">
        <v>17</v>
      </c>
      <c r="W35" s="775">
        <f t="shared" si="12"/>
        <v>100</v>
      </c>
      <c r="X35" s="1816"/>
      <c r="Y35" s="3205"/>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5"/>
      <c r="Q36" s="1813"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5" t="s">
        <v>2568</v>
      </c>
      <c r="Q37" s="1813" t="str">
        <f t="shared" si="14"/>
        <v>工程地质条件</v>
      </c>
      <c r="R37" s="774" t="s">
        <v>17</v>
      </c>
      <c r="S37" s="775">
        <f t="shared" si="10"/>
        <v>100</v>
      </c>
      <c r="T37" s="774" t="s">
        <v>17</v>
      </c>
      <c r="U37" s="775">
        <f t="shared" si="11"/>
        <v>100</v>
      </c>
      <c r="V37" s="774" t="s">
        <v>17</v>
      </c>
      <c r="W37" s="775">
        <f t="shared" si="12"/>
        <v>100</v>
      </c>
      <c r="X37" s="1816"/>
      <c r="Y37" s="3205"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5"/>
      <c r="Q38" s="1813">
        <f t="shared" si="14"/>
        <v>111</v>
      </c>
      <c r="R38" s="774" t="s">
        <v>17</v>
      </c>
      <c r="S38" s="775">
        <f t="shared" si="10"/>
        <v>100</v>
      </c>
      <c r="T38" s="774" t="s">
        <v>17</v>
      </c>
      <c r="U38" s="775">
        <f t="shared" si="11"/>
        <v>100</v>
      </c>
      <c r="V38" s="774" t="s">
        <v>17</v>
      </c>
      <c r="W38" s="775">
        <f t="shared" si="12"/>
        <v>100</v>
      </c>
      <c r="X38" s="1816"/>
      <c r="Y38" s="320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5"/>
      <c r="Q39" s="1813">
        <f t="shared" si="14"/>
        <v>111</v>
      </c>
      <c r="R39" s="774" t="s">
        <v>17</v>
      </c>
      <c r="S39" s="775">
        <f t="shared" si="10"/>
        <v>100</v>
      </c>
      <c r="T39" s="774" t="s">
        <v>17</v>
      </c>
      <c r="U39" s="775">
        <f t="shared" si="11"/>
        <v>100</v>
      </c>
      <c r="V39" s="774" t="s">
        <v>17</v>
      </c>
      <c r="W39" s="775">
        <f t="shared" si="12"/>
        <v>100</v>
      </c>
      <c r="X39" s="1816"/>
      <c r="Y39" s="3205"/>
      <c r="Z39" s="1817">
        <f t="shared" si="13"/>
        <v>111</v>
      </c>
      <c r="AA39" s="1814">
        <f t="shared" si="3"/>
        <v>1</v>
      </c>
      <c r="AB39" s="1814">
        <f t="shared" si="4"/>
        <v>1</v>
      </c>
      <c r="AC39" s="1814">
        <f t="shared" si="5"/>
        <v>1</v>
      </c>
    </row>
    <row r="40" spans="1:29" s="471" customFormat="1" ht="15.6"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5"/>
      <c r="Q40" s="1813">
        <f t="shared" si="14"/>
        <v>111</v>
      </c>
      <c r="R40" s="777" t="s">
        <v>17</v>
      </c>
      <c r="S40" s="778">
        <f t="shared" si="10"/>
        <v>100</v>
      </c>
      <c r="T40" s="777" t="s">
        <v>17</v>
      </c>
      <c r="U40" s="778">
        <f t="shared" si="11"/>
        <v>100</v>
      </c>
      <c r="V40" s="777" t="s">
        <v>17</v>
      </c>
      <c r="W40" s="778">
        <f t="shared" si="12"/>
        <v>100</v>
      </c>
      <c r="X40" s="779"/>
      <c r="Y40" s="3205"/>
      <c r="Z40" s="780">
        <f t="shared" si="13"/>
        <v>111</v>
      </c>
      <c r="AA40" s="1814">
        <f t="shared" si="3"/>
        <v>1</v>
      </c>
      <c r="AB40" s="1814">
        <f t="shared" si="4"/>
        <v>1</v>
      </c>
      <c r="AC40" s="1814">
        <f t="shared" si="5"/>
        <v>1</v>
      </c>
    </row>
    <row r="41" spans="1:29" ht="14.4">
      <c r="A41" s="479" t="s">
        <v>2723</v>
      </c>
      <c r="B41" s="2711" t="s">
        <v>2803</v>
      </c>
      <c r="C41" s="682" t="s">
        <v>1</v>
      </c>
      <c r="D41" s="481"/>
      <c r="E41" s="482"/>
      <c r="F41" s="483"/>
      <c r="G41" s="484"/>
      <c r="H41" s="485"/>
      <c r="I41" s="482"/>
      <c r="J41" s="485"/>
      <c r="K41" s="783"/>
      <c r="L41" s="1146"/>
      <c r="M41" s="1134"/>
      <c r="N41" s="1134"/>
      <c r="O41" s="1147"/>
      <c r="P41" s="3198" t="str">
        <f>A41</f>
        <v>成交单价</v>
      </c>
      <c r="Q41" s="3198"/>
      <c r="R41" s="3193">
        <f>E41</f>
        <v>0</v>
      </c>
      <c r="S41" s="3193"/>
      <c r="T41" s="3193">
        <f>G41</f>
        <v>0</v>
      </c>
      <c r="U41" s="3193"/>
      <c r="V41" s="3193">
        <f>I41</f>
        <v>0</v>
      </c>
      <c r="W41" s="3193"/>
      <c r="X41" s="759"/>
      <c r="Y41" s="781"/>
      <c r="Z41" s="759"/>
      <c r="AA41" s="759"/>
      <c r="AB41" s="759"/>
      <c r="AC41" s="759"/>
    </row>
    <row r="42" spans="1:29" ht="1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98" t="str">
        <f>A42</f>
        <v>比较价值（元/平方米）</v>
      </c>
      <c r="Q42" s="3198"/>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 thickBot="1">
      <c r="A43" s="492" t="s">
        <v>2673</v>
      </c>
      <c r="B43" s="493"/>
      <c r="C43" s="494" t="e">
        <f>R43</f>
        <v>#DIV/0!</v>
      </c>
      <c r="D43" s="494"/>
      <c r="E43" s="494"/>
      <c r="F43" s="494"/>
      <c r="G43" s="494"/>
      <c r="H43" s="494"/>
      <c r="I43" s="494"/>
      <c r="J43" s="494"/>
      <c r="K43" s="785"/>
      <c r="L43" s="1146"/>
      <c r="M43" s="1134"/>
      <c r="N43" s="1134"/>
      <c r="O43" s="1147"/>
      <c r="P43" s="3195" t="str">
        <f>A43</f>
        <v>估价对象XX用房的比较价值（楼面单价，元/平方米）</v>
      </c>
      <c r="Q43" s="3196"/>
      <c r="R43" s="3226" t="e">
        <f>ROUND(AVERAGE(R42:V42),0)</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2761</v>
      </c>
      <c r="B50" s="685" t="s">
        <v>2762</v>
      </c>
      <c r="C50" s="2712" t="s">
        <v>2763</v>
      </c>
      <c r="D50" s="2713" t="s">
        <v>2764</v>
      </c>
      <c r="E50" s="686" t="s">
        <v>2765</v>
      </c>
      <c r="F50" s="687" t="s">
        <v>2766</v>
      </c>
      <c r="G50" s="3181" t="s">
        <v>2767</v>
      </c>
      <c r="H50" s="3227"/>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0</v>
      </c>
      <c r="F51" s="691" t="e">
        <f t="shared" ref="F51:F60" si="15">ROUND(B51*E51/10000,0)</f>
        <v>#DIV/0!</v>
      </c>
      <c r="G51" s="3180"/>
      <c r="H51" s="3198"/>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28"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28"/>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28"/>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28"/>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4.4"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4.4" thickBot="1">
      <c r="A61" s="695" t="s">
        <v>2784</v>
      </c>
      <c r="B61" s="696" t="s">
        <v>28</v>
      </c>
      <c r="C61" s="696" t="s">
        <v>29</v>
      </c>
      <c r="D61" s="696" t="s">
        <v>1026</v>
      </c>
      <c r="E61" s="696" t="e">
        <f>IF(B41="楼面地价",SUM(E51:E60),'数据-汇总表'!D3)</f>
        <v>#DIV/0!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1900-1-1</v>
      </c>
      <c r="D63" s="761" t="e">
        <f>EDATE(C63,-3)</f>
        <v>#NUM!</v>
      </c>
      <c r="E63" s="761" t="e">
        <f>EDATE(D63,-3)</f>
        <v>#NUM!</v>
      </c>
      <c r="F63" s="761" t="e">
        <f t="shared" ref="F63:O63" si="18">EDATE(E63,-3)</f>
        <v>#NUM!</v>
      </c>
      <c r="G63" s="761" t="e">
        <f t="shared" si="18"/>
        <v>#NUM!</v>
      </c>
      <c r="H63" s="761" t="e">
        <f t="shared" si="18"/>
        <v>#NUM!</v>
      </c>
      <c r="I63" s="761" t="e">
        <f t="shared" si="18"/>
        <v>#NUM!</v>
      </c>
      <c r="J63" s="761" t="e">
        <f t="shared" si="18"/>
        <v>#NUM!</v>
      </c>
      <c r="K63" s="761" t="e">
        <f t="shared" si="18"/>
        <v>#NUM!</v>
      </c>
      <c r="L63" s="761" t="e">
        <f t="shared" si="18"/>
        <v>#NUM!</v>
      </c>
      <c r="M63" s="761" t="e">
        <f t="shared" si="18"/>
        <v>#NUM!</v>
      </c>
      <c r="N63" s="761" t="e">
        <f t="shared" si="18"/>
        <v>#NUM!</v>
      </c>
      <c r="O63" s="761" t="e">
        <f t="shared" si="18"/>
        <v>#NUM!</v>
      </c>
    </row>
    <row r="64" spans="1:17" ht="22.2" thickBot="1">
      <c r="A64" s="763" t="s">
        <v>2677</v>
      </c>
      <c r="B64" s="759"/>
      <c r="C64" s="764"/>
      <c r="D64" s="764"/>
      <c r="E64" s="764"/>
      <c r="F64" s="765"/>
      <c r="G64" s="765"/>
      <c r="H64" s="764"/>
      <c r="I64" s="764"/>
      <c r="J64" s="764"/>
      <c r="K64" s="766"/>
      <c r="L64" s="767"/>
      <c r="M64" s="764"/>
      <c r="N64" s="764"/>
      <c r="O64" s="1162"/>
      <c r="P64" s="503"/>
      <c r="Q64" s="504"/>
    </row>
    <row r="65" spans="1:17" s="508" customFormat="1" ht="14.4">
      <c r="A65" s="2718" t="s">
        <v>2785</v>
      </c>
      <c r="B65" s="1362"/>
      <c r="C65" s="1575" t="str">
        <f>YEAR(C63)&amp;"-"&amp;ROUNDUP(MONTH(C63)/3,0)</f>
        <v>1900-1</v>
      </c>
      <c r="D65" s="1575" t="e">
        <f t="shared" ref="D65:O65" si="19">YEAR(D63)&amp;"-"&amp;ROUNDUP(MONTH(D63)/3,0)</f>
        <v>#NUM!</v>
      </c>
      <c r="E65" s="1575" t="e">
        <f t="shared" si="19"/>
        <v>#NUM!</v>
      </c>
      <c r="F65" s="1575" t="e">
        <f t="shared" si="19"/>
        <v>#NUM!</v>
      </c>
      <c r="G65" s="1575" t="e">
        <f t="shared" si="19"/>
        <v>#NUM!</v>
      </c>
      <c r="H65" s="1575" t="e">
        <f t="shared" si="19"/>
        <v>#NUM!</v>
      </c>
      <c r="I65" s="1575" t="e">
        <f t="shared" si="19"/>
        <v>#NUM!</v>
      </c>
      <c r="J65" s="1575" t="e">
        <f t="shared" si="19"/>
        <v>#NUM!</v>
      </c>
      <c r="K65" s="1575" t="e">
        <f t="shared" si="19"/>
        <v>#NUM!</v>
      </c>
      <c r="L65" s="1575" t="e">
        <f t="shared" si="19"/>
        <v>#NUM!</v>
      </c>
      <c r="M65" s="1575" t="e">
        <f t="shared" si="19"/>
        <v>#NUM!</v>
      </c>
      <c r="N65" s="1575" t="e">
        <f t="shared" si="19"/>
        <v>#NUM!</v>
      </c>
      <c r="O65" s="1575" t="e">
        <f t="shared" si="19"/>
        <v>#NUM!</v>
      </c>
      <c r="P65" s="507"/>
    </row>
    <row r="66" spans="1:17" s="117" customFormat="1" ht="30.75" customHeight="1">
      <c r="A66" s="2723" t="s">
        <v>2805</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 thickBot="1">
      <c r="A67" s="515" t="s">
        <v>2588</v>
      </c>
      <c r="B67" s="516"/>
      <c r="C67" s="517"/>
      <c r="D67" s="518"/>
      <c r="E67" s="518"/>
      <c r="F67" s="518"/>
      <c r="G67" s="518"/>
      <c r="H67" s="518"/>
      <c r="I67" s="518"/>
      <c r="J67" s="518"/>
      <c r="K67" s="518"/>
      <c r="L67" s="518"/>
      <c r="M67" s="519"/>
      <c r="N67" s="519"/>
      <c r="O67" s="520"/>
      <c r="P67" s="504"/>
      <c r="Q67" s="504"/>
    </row>
    <row r="68" spans="1:17" s="117" customFormat="1" ht="14.4">
      <c r="A68" s="521" t="s">
        <v>2553</v>
      </c>
      <c r="B68" s="510"/>
      <c r="C68" s="522" t="s">
        <v>2655</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2591</v>
      </c>
      <c r="B70" s="528" t="s">
        <v>2557</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2560</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2694</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2753</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803" customWidth="1"/>
    <col min="2" max="2" width="19.21875" style="2909" customWidth="1"/>
    <col min="3" max="4" width="12" style="2727"/>
    <col min="5" max="5" width="14.6640625" style="2727" customWidth="1"/>
    <col min="6" max="8" width="12" style="2727"/>
    <col min="9" max="9" width="12.21875" style="2727" bestFit="1" customWidth="1"/>
    <col min="10" max="10" width="12" style="2727"/>
    <col min="11" max="11" width="8.109375" style="2795" customWidth="1"/>
    <col min="12" max="12" width="12" style="2727"/>
    <col min="13" max="13" width="8.44140625" style="2727" customWidth="1"/>
    <col min="14" max="14" width="9.77734375" style="2727" customWidth="1"/>
    <col min="15" max="25" width="12" style="2727"/>
    <col min="26" max="26" width="9.33203125" style="2803" customWidth="1"/>
    <col min="27" max="32" width="9.33203125" style="1375" customWidth="1"/>
    <col min="33" max="36" width="9.33203125" style="2803" customWidth="1"/>
    <col min="37" max="38" width="9.33203125" style="2727" customWidth="1"/>
    <col min="39" max="16384" width="12" style="2727"/>
  </cols>
  <sheetData>
    <row r="1" spans="1:36" ht="31.2">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6">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2821</v>
      </c>
      <c r="B3" s="248" t="e">
        <f>ROUND(B2*10000/D1,0)</f>
        <v>#DIV/0!</v>
      </c>
      <c r="C3" s="2728" t="s">
        <v>2822</v>
      </c>
      <c r="D3" s="2729" t="s">
        <v>2823</v>
      </c>
      <c r="E3" s="2734"/>
      <c r="F3" s="2735" t="s">
        <v>2824</v>
      </c>
      <c r="G3" s="916" t="e">
        <f>IF(F3="宗地容积率",'数据-汇总表'!I4,IF(F3="估价对象容积率",'数据-汇总表'!I6,'数据-汇总表'!I7))</f>
        <v>#DIV/0!</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47"/>
      <c r="B4" s="3248"/>
      <c r="C4" s="3248"/>
      <c r="D4" s="3249"/>
      <c r="E4" s="3249"/>
      <c r="F4" s="3249"/>
      <c r="G4" s="3249"/>
      <c r="H4" s="3249"/>
      <c r="I4" s="3249"/>
      <c r="J4" s="3250"/>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6" thickBot="1">
      <c r="A5" s="2736" t="s">
        <v>807</v>
      </c>
      <c r="B5" s="2737" t="s">
        <v>2829</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6"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33"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2838</v>
      </c>
      <c r="X7" s="1607">
        <f>G2</f>
        <v>0</v>
      </c>
      <c r="Y7" s="1607" t="s">
        <v>2839</v>
      </c>
      <c r="Z7" s="1608" t="e">
        <f>G3</f>
        <v>#DIV/0!</v>
      </c>
      <c r="AA7" s="1609"/>
      <c r="AB7" s="1609"/>
      <c r="AC7" s="1610"/>
      <c r="AD7" s="1611"/>
      <c r="AE7" s="1611"/>
      <c r="AF7" s="1611"/>
      <c r="AG7" s="1611"/>
      <c r="AH7" s="1611"/>
      <c r="AI7" s="1611"/>
      <c r="AJ7" s="1612"/>
    </row>
    <row r="8" spans="1:36" ht="15">
      <c r="A8" s="3234"/>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4" t="s">
        <v>2843</v>
      </c>
      <c r="X8" s="3245"/>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34"/>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6"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4"/>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34"/>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6" t="s">
        <v>2867</v>
      </c>
      <c r="X11" s="1617" t="s">
        <v>2868</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8" thickBot="1">
      <c r="A12" s="3233"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6"/>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24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1"/>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52"/>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3"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34"/>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0</v>
      </c>
      <c r="N17" s="211">
        <f ca="1">ROUND($E$20*(1+N16),3)</f>
        <v>0</v>
      </c>
      <c r="O17" s="211">
        <f ca="1">ROUND($E$20*(1+O16),3)</f>
        <v>0</v>
      </c>
      <c r="P17" s="1376">
        <f ca="1">ROUND($E$20*(1+P16),3)</f>
        <v>0</v>
      </c>
      <c r="Q17" s="1373"/>
      <c r="R17" s="1373"/>
      <c r="S17" s="1373"/>
      <c r="T17" s="1373"/>
      <c r="U17" s="1373"/>
      <c r="V17" s="1373"/>
      <c r="W17" s="1373"/>
      <c r="X17" s="1373"/>
      <c r="Y17" s="1373"/>
      <c r="Z17" s="1374"/>
      <c r="AE17" s="2795"/>
      <c r="AF17" s="2795"/>
      <c r="AG17" s="2727"/>
      <c r="AH17" s="2727"/>
      <c r="AI17" s="2727"/>
      <c r="AJ17" s="2727"/>
    </row>
    <row r="18" spans="1:37" s="2745" customFormat="1" ht="1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4" thickBot="1">
      <c r="A19" s="2796" t="s">
        <v>809</v>
      </c>
      <c r="B19" s="2797" t="s">
        <v>2895</v>
      </c>
      <c r="C19" s="927" t="e">
        <f>ROUND(IF(H19="按公示增长率计算",SUMPRODUCT((地价!A3:A25=YEAR(G19)&amp;"-"&amp;ROUNDUP(MONTH(G19)/3,0))*(地价!X2:AB2=E2)*(地价!X3:AB25)),IF(H19="地价指数",M20/M19,(1+I19)^O19)),4)</f>
        <v>#DIV/0!</v>
      </c>
      <c r="D19" s="2804" t="s">
        <v>2896</v>
      </c>
      <c r="E19" s="928">
        <v>41640</v>
      </c>
      <c r="F19" s="2804" t="s">
        <v>2897</v>
      </c>
      <c r="G19" s="929">
        <f>'数据-取费表'!B2</f>
        <v>0</v>
      </c>
      <c r="H19" s="2805" t="s">
        <v>2898</v>
      </c>
      <c r="I19" s="930" t="str">
        <f>IF(H19="季度增幅（自定义）",SUMIF(N21:N24,E2,O21:O24),"")</f>
        <v/>
      </c>
      <c r="J19" s="2802"/>
      <c r="K19" s="1380"/>
      <c r="L19" s="2806" t="s">
        <v>2899</v>
      </c>
      <c r="M19" s="1737">
        <f>ROUND(SUMIF(地价!B2:F2,E2,地价!B25:F25),0)</f>
        <v>0</v>
      </c>
      <c r="N19" s="2807" t="s">
        <v>2900</v>
      </c>
      <c r="O19" s="931" t="e">
        <f>ROUNDDOWN(DATEDIF(E19,G19,"M")/3,0)</f>
        <v>#NUM!</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9.4" thickBot="1">
      <c r="A20" s="2811" t="s">
        <v>810</v>
      </c>
      <c r="B20" s="2812" t="s">
        <v>2901</v>
      </c>
      <c r="C20" s="932" t="e">
        <f>ROUND(POWER(1+G20,J20-I20)*(POWER(1+G20,I20)-1)/(POWER(1+G20,J20)-1),4)</f>
        <v>#DIV/0!</v>
      </c>
      <c r="D20" s="2813" t="s">
        <v>2902</v>
      </c>
      <c r="E20" s="1771">
        <f ca="1">存贷款利率!D4/100</f>
        <v>0</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ROUND(SUMPRODUCT((地价!A4:A25=YEAR(G19)&amp;"-"&amp;ROUNDUP(MONTH(G19)/3,0))*(地价!B2:F2=E2)*(地价!B4:F25)),0)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4.4">
      <c r="A21" s="2818" t="s">
        <v>811</v>
      </c>
      <c r="B21" s="2819" t="s">
        <v>2908</v>
      </c>
      <c r="C21" s="940" t="e">
        <f>IF(B21="容积率修正",IF(G3&lt;=10,D22,J22),C23)</f>
        <v>#DIV/0!</v>
      </c>
      <c r="D21" s="2820"/>
      <c r="E21" s="2820"/>
      <c r="F21" s="2820"/>
      <c r="G21" s="2820"/>
      <c r="H21" s="2820"/>
      <c r="I21" s="2820"/>
      <c r="J21" s="2821"/>
      <c r="K21" s="1380"/>
      <c r="N21" s="2822" t="s">
        <v>2909</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4">
      <c r="A22" s="2671" t="s">
        <v>2910</v>
      </c>
      <c r="B22" s="2823" t="s">
        <v>2911</v>
      </c>
      <c r="C22" s="1813" t="s">
        <v>2912</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2913</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9.4" thickBot="1">
      <c r="A23" s="2671" t="s">
        <v>2914</v>
      </c>
      <c r="B23" s="2824" t="s">
        <v>2915</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2916</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 thickBot="1">
      <c r="A24" s="2811" t="s">
        <v>812</v>
      </c>
      <c r="B24" s="2797" t="s">
        <v>2917</v>
      </c>
      <c r="C24" s="927">
        <f>SUMIF(A45:A88,E2,B45:B88)</f>
        <v>0</v>
      </c>
      <c r="D24" s="2800"/>
      <c r="E24" s="2830"/>
      <c r="F24" s="2830"/>
      <c r="G24" s="2830"/>
      <c r="H24" s="2830"/>
      <c r="I24" s="2830"/>
      <c r="J24" s="2831"/>
      <c r="K24" s="1380"/>
      <c r="N24" s="2832" t="s">
        <v>2918</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 thickBot="1">
      <c r="A25" s="2811" t="s">
        <v>813</v>
      </c>
      <c r="B25" s="2833" t="s">
        <v>2919</v>
      </c>
      <c r="C25" s="933"/>
      <c r="D25" s="2755"/>
      <c r="E25" s="2755"/>
      <c r="F25" s="2834"/>
      <c r="G25" s="2755"/>
      <c r="H25" s="2755"/>
      <c r="I25" s="2755"/>
      <c r="J25" s="2756"/>
      <c r="K25" s="1373"/>
      <c r="N25" s="2835" t="s">
        <v>2920</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4.4">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8"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3.8">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36">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1"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42"/>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2"/>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8" thickBot="1">
      <c r="A36" s="3243"/>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8" thickBot="1">
      <c r="A39" s="2856"/>
      <c r="B39" s="2874" t="s">
        <v>2944</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5" t="s">
        <v>3055</v>
      </c>
      <c r="C41" s="388" t="e">
        <f>ROUND(POWER(1+E41,H41-G41)*(POWER(1+E41,G41)-1)/(POWER(1+E41,H41)-1),4)</f>
        <v>#DIV/0!</v>
      </c>
      <c r="D41" s="200" t="s">
        <v>2893</v>
      </c>
      <c r="E41" s="2944">
        <f>G20</f>
        <v>0</v>
      </c>
      <c r="F41" s="200" t="s">
        <v>2903</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4.4">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5.2">
      <c r="A47" s="2885" t="s">
        <v>2947</v>
      </c>
      <c r="B47" s="1812" t="s">
        <v>2948</v>
      </c>
      <c r="C47" s="1812" t="s">
        <v>2949</v>
      </c>
      <c r="D47" s="1812" t="s">
        <v>2950</v>
      </c>
      <c r="E47" s="819" t="s">
        <v>2951</v>
      </c>
      <c r="F47" s="2886" t="s">
        <v>2952</v>
      </c>
      <c r="G47" s="1812" t="s">
        <v>754</v>
      </c>
      <c r="H47" s="2887"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52.8">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5" t="s">
        <v>2947</v>
      </c>
      <c r="B58" s="1812"/>
      <c r="C58" s="1812" t="s">
        <v>2949</v>
      </c>
      <c r="D58" s="1812" t="s">
        <v>2950</v>
      </c>
      <c r="E58" s="819" t="s">
        <v>2951</v>
      </c>
      <c r="F58" s="2886" t="s">
        <v>2967</v>
      </c>
      <c r="G58" s="1812" t="s">
        <v>754</v>
      </c>
      <c r="H58" s="2887"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52.8">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5" t="s">
        <v>2947</v>
      </c>
      <c r="B69" s="1812"/>
      <c r="C69" s="1812" t="s">
        <v>2949</v>
      </c>
      <c r="D69" s="1812" t="s">
        <v>2950</v>
      </c>
      <c r="E69" s="819" t="s">
        <v>2951</v>
      </c>
      <c r="F69" s="2886" t="s">
        <v>2967</v>
      </c>
      <c r="G69" s="1812" t="s">
        <v>754</v>
      </c>
      <c r="H69" s="2887"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66">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36">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9.6">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36.6"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4.4">
      <c r="A79" s="2881" t="s">
        <v>2973</v>
      </c>
      <c r="B79" s="2882">
        <f>1+E81</f>
        <v>1</v>
      </c>
      <c r="C79" s="814"/>
      <c r="D79" s="814"/>
      <c r="E79" s="815"/>
      <c r="F79" s="2884"/>
      <c r="G79" s="6"/>
      <c r="H79" s="6"/>
      <c r="I79" s="6"/>
      <c r="J79" s="7"/>
      <c r="K79" s="7"/>
      <c r="L79" s="7"/>
      <c r="M79" s="7"/>
      <c r="N79" s="7"/>
      <c r="Z79" s="2727"/>
      <c r="AA79" s="2803"/>
      <c r="AG79" s="1375"/>
      <c r="AK79" s="2803"/>
    </row>
    <row r="80" spans="1:37" ht="25.2">
      <c r="A80" s="2885" t="s">
        <v>2947</v>
      </c>
      <c r="B80" s="1812"/>
      <c r="C80" s="1812" t="s">
        <v>2949</v>
      </c>
      <c r="D80" s="1812" t="s">
        <v>2950</v>
      </c>
      <c r="E80" s="819" t="s">
        <v>2951</v>
      </c>
      <c r="F80" s="2886" t="s">
        <v>2967</v>
      </c>
      <c r="G80" s="1812" t="s">
        <v>754</v>
      </c>
      <c r="H80" s="2887" t="s">
        <v>2953</v>
      </c>
      <c r="I80" s="1812" t="s">
        <v>2954</v>
      </c>
      <c r="J80" s="603" t="s">
        <v>2600</v>
      </c>
      <c r="K80" s="603" t="s">
        <v>2601</v>
      </c>
      <c r="L80" s="603" t="s">
        <v>2602</v>
      </c>
      <c r="M80" s="603" t="s">
        <v>2603</v>
      </c>
      <c r="N80" s="603" t="s">
        <v>2604</v>
      </c>
      <c r="Z80" s="2727"/>
      <c r="AA80" s="2803"/>
      <c r="AG80" s="1375"/>
      <c r="AK80" s="2803"/>
    </row>
    <row r="81" spans="1:37" ht="39.6">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66">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3.8">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6.4">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6.4">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36">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53.4"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5" t="s">
        <v>2977</v>
      </c>
      <c r="B90" s="3235"/>
      <c r="C90" s="3235"/>
      <c r="D90" s="3235"/>
      <c r="E90" s="3235"/>
      <c r="F90" s="3235"/>
      <c r="G90" s="3235"/>
      <c r="H90" s="3235"/>
      <c r="I90" s="3235"/>
      <c r="J90" s="3235"/>
      <c r="K90" s="2899"/>
      <c r="L90" s="2899"/>
      <c r="M90" s="2899"/>
      <c r="N90" s="2899"/>
    </row>
    <row r="91" spans="1:37">
      <c r="A91" s="3237" t="s">
        <v>2978</v>
      </c>
      <c r="B91" s="3237" t="s">
        <v>2979</v>
      </c>
      <c r="C91" s="2853" t="s">
        <v>2980</v>
      </c>
      <c r="D91" s="2854"/>
      <c r="E91" s="2854"/>
      <c r="F91" s="2854"/>
      <c r="G91" s="2854"/>
      <c r="H91" s="2854"/>
      <c r="I91" s="2854"/>
      <c r="J91" s="2900"/>
      <c r="K91" s="2901"/>
      <c r="L91" s="2901"/>
      <c r="M91" s="2901"/>
      <c r="N91" s="2901"/>
    </row>
    <row r="92" spans="1:37">
      <c r="A92" s="3237"/>
      <c r="B92" s="3237"/>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38"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3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3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3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3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3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39"/>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0"/>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38" t="s">
        <v>2982</v>
      </c>
      <c r="B101" s="2906" t="s">
        <v>2983</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39"/>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39"/>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39"/>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39"/>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39"/>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39"/>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39"/>
      <c r="B108" s="3067"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0"/>
      <c r="B109" s="3068"/>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36" t="s">
        <v>2985</v>
      </c>
      <c r="B110" s="3236"/>
      <c r="C110" s="3236"/>
      <c r="D110" s="3236"/>
      <c r="E110" s="3236"/>
      <c r="F110" s="3236"/>
      <c r="G110" s="3236"/>
      <c r="H110" s="3236"/>
      <c r="I110" s="3236"/>
      <c r="J110" s="3236"/>
      <c r="K110" s="2908"/>
      <c r="L110" s="2908"/>
      <c r="M110" s="2908"/>
      <c r="N110" s="2908"/>
    </row>
    <row r="112" spans="1:14" ht="13.8" thickBot="1"/>
    <row r="113" spans="1:13" ht="25.8" thickBot="1">
      <c r="A113" s="903" t="s">
        <v>2986</v>
      </c>
      <c r="B113" s="1290" t="e">
        <f>G3</f>
        <v>#DIV/0!</v>
      </c>
      <c r="C113" s="904" t="s">
        <v>2987</v>
      </c>
      <c r="D113" s="905" t="e">
        <f>SUMPRODUCT((A115:A118=F113)*(B114:M114=H113)*B115:M118)</f>
        <v>#DIV/0!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2885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3" t="s">
        <v>183</v>
      </c>
      <c r="B18" s="882" t="s">
        <v>560</v>
      </c>
      <c r="C18" s="883" t="s">
        <v>561</v>
      </c>
      <c r="D18" s="884"/>
      <c r="E18" s="882">
        <v>1</v>
      </c>
      <c r="F18" s="885" t="s">
        <v>562</v>
      </c>
      <c r="G18" s="886"/>
      <c r="H18" s="878"/>
      <c r="I18" s="878"/>
    </row>
    <row r="19" spans="1:9" s="887" customFormat="1" ht="19.5" customHeight="1">
      <c r="A19" s="3253"/>
      <c r="B19" s="3253" t="s">
        <v>563</v>
      </c>
      <c r="C19" s="883" t="s">
        <v>564</v>
      </c>
      <c r="D19" s="884"/>
      <c r="E19" s="882">
        <v>0.9</v>
      </c>
      <c r="F19" s="885" t="s">
        <v>565</v>
      </c>
      <c r="G19" s="886"/>
      <c r="H19" s="878"/>
      <c r="I19" s="878"/>
    </row>
    <row r="20" spans="1:9" s="887" customFormat="1" ht="19.5" customHeight="1">
      <c r="A20" s="3253"/>
      <c r="B20" s="3253"/>
      <c r="C20" s="883" t="s">
        <v>566</v>
      </c>
      <c r="D20" s="884"/>
      <c r="E20" s="882">
        <v>1.1000000000000001</v>
      </c>
      <c r="F20" s="885" t="s">
        <v>567</v>
      </c>
      <c r="G20" s="886"/>
      <c r="H20" s="878"/>
      <c r="I20" s="878"/>
    </row>
    <row r="21" spans="1:9" s="887" customFormat="1" ht="19.5" customHeight="1">
      <c r="A21" s="3253"/>
      <c r="B21" s="3253"/>
      <c r="C21" s="883" t="s">
        <v>568</v>
      </c>
      <c r="D21" s="884"/>
      <c r="E21" s="882">
        <v>0.8</v>
      </c>
      <c r="F21" s="885" t="s">
        <v>569</v>
      </c>
      <c r="G21" s="886"/>
      <c r="H21" s="878"/>
      <c r="I21" s="878"/>
    </row>
    <row r="22" spans="1:9" s="887" customFormat="1" ht="19.5" customHeight="1">
      <c r="A22" s="3253"/>
      <c r="B22" s="3253"/>
      <c r="C22" s="883" t="s">
        <v>570</v>
      </c>
      <c r="D22" s="884"/>
      <c r="E22" s="882">
        <v>0.5</v>
      </c>
      <c r="F22" s="885"/>
      <c r="G22" s="886"/>
      <c r="H22" s="878"/>
      <c r="I22" s="878"/>
    </row>
    <row r="23" spans="1:9" s="887" customFormat="1" ht="19.5" customHeight="1">
      <c r="A23" s="3253" t="s">
        <v>184</v>
      </c>
      <c r="B23" s="882" t="s">
        <v>560</v>
      </c>
      <c r="C23" s="883" t="s">
        <v>571</v>
      </c>
      <c r="D23" s="884"/>
      <c r="E23" s="882">
        <v>1</v>
      </c>
      <c r="F23" s="885" t="s">
        <v>572</v>
      </c>
      <c r="G23" s="886"/>
      <c r="H23" s="878"/>
      <c r="I23" s="878"/>
    </row>
    <row r="24" spans="1:9" s="887" customFormat="1" ht="19.5" customHeight="1">
      <c r="A24" s="3253"/>
      <c r="B24" s="3253" t="s">
        <v>563</v>
      </c>
      <c r="C24" s="883" t="s">
        <v>573</v>
      </c>
      <c r="D24" s="884"/>
      <c r="E24" s="882">
        <v>0.5</v>
      </c>
      <c r="F24" s="885"/>
      <c r="G24" s="886"/>
      <c r="H24" s="878"/>
      <c r="I24" s="878"/>
    </row>
    <row r="25" spans="1:9" s="887" customFormat="1" ht="19.5" customHeight="1">
      <c r="A25" s="3253"/>
      <c r="B25" s="3253"/>
      <c r="C25" s="883" t="s">
        <v>574</v>
      </c>
      <c r="D25" s="884"/>
      <c r="E25" s="882">
        <v>1.1000000000000001</v>
      </c>
      <c r="F25" s="885"/>
      <c r="G25" s="886"/>
      <c r="H25" s="878"/>
      <c r="I25" s="878"/>
    </row>
    <row r="26" spans="1:9" s="887" customFormat="1" ht="19.5" customHeight="1">
      <c r="A26" s="3253"/>
      <c r="B26" s="3253"/>
      <c r="C26" s="883" t="s">
        <v>575</v>
      </c>
      <c r="D26" s="884"/>
      <c r="E26" s="882">
        <v>1.1000000000000001</v>
      </c>
      <c r="F26" s="885"/>
      <c r="G26" s="886"/>
      <c r="H26" s="878"/>
      <c r="I26" s="878"/>
    </row>
    <row r="27" spans="1:9" s="887" customFormat="1" ht="19.5" customHeight="1">
      <c r="A27" s="3253"/>
      <c r="B27" s="3253"/>
      <c r="C27" s="883" t="s">
        <v>576</v>
      </c>
      <c r="D27" s="884"/>
      <c r="E27" s="882">
        <v>0.9</v>
      </c>
      <c r="F27" s="885" t="s">
        <v>577</v>
      </c>
      <c r="G27" s="886"/>
      <c r="H27" s="878"/>
      <c r="I27" s="878"/>
    </row>
    <row r="28" spans="1:9" s="887" customFormat="1" ht="19.5" customHeight="1">
      <c r="A28" s="3253"/>
      <c r="B28" s="3253"/>
      <c r="C28" s="883" t="s">
        <v>578</v>
      </c>
      <c r="D28" s="884"/>
      <c r="E28" s="882">
        <v>0.9</v>
      </c>
      <c r="F28" s="885" t="s">
        <v>579</v>
      </c>
      <c r="G28" s="886"/>
      <c r="H28" s="878"/>
      <c r="I28" s="878"/>
    </row>
    <row r="29" spans="1:9" s="887" customFormat="1" ht="19.5" customHeight="1">
      <c r="A29" s="3253"/>
      <c r="B29" s="3253"/>
      <c r="C29" s="883" t="s">
        <v>580</v>
      </c>
      <c r="D29" s="884"/>
      <c r="E29" s="882">
        <v>0.9</v>
      </c>
      <c r="F29" s="885" t="s">
        <v>581</v>
      </c>
      <c r="G29" s="886"/>
      <c r="H29" s="878"/>
      <c r="I29" s="878"/>
    </row>
    <row r="30" spans="1:9" s="887" customFormat="1" ht="19.5" customHeight="1">
      <c r="A30" s="3253"/>
      <c r="B30" s="3253"/>
      <c r="C30" s="883" t="s">
        <v>582</v>
      </c>
      <c r="D30" s="884"/>
      <c r="E30" s="882">
        <v>0.9</v>
      </c>
      <c r="F30" s="885" t="s">
        <v>583</v>
      </c>
      <c r="G30" s="886"/>
      <c r="H30" s="878"/>
      <c r="I30" s="878"/>
    </row>
    <row r="31" spans="1:9" s="887" customFormat="1" ht="19.5" customHeight="1">
      <c r="A31" s="3253"/>
      <c r="B31" s="3253"/>
      <c r="C31" s="883" t="s">
        <v>584</v>
      </c>
      <c r="D31" s="884"/>
      <c r="E31" s="882">
        <v>0.8</v>
      </c>
      <c r="F31" s="885" t="s">
        <v>585</v>
      </c>
      <c r="G31" s="886"/>
      <c r="H31" s="878"/>
      <c r="I31" s="878"/>
    </row>
    <row r="32" spans="1:9" s="887" customFormat="1" ht="19.5" customHeight="1">
      <c r="A32" s="3253"/>
      <c r="B32" s="3253"/>
      <c r="C32" s="883" t="s">
        <v>586</v>
      </c>
      <c r="D32" s="884"/>
      <c r="E32" s="882">
        <v>0.8</v>
      </c>
      <c r="F32" s="885" t="s">
        <v>587</v>
      </c>
      <c r="G32" s="886"/>
      <c r="H32" s="878"/>
      <c r="I32" s="878"/>
    </row>
    <row r="33" spans="1:9" s="887" customFormat="1" ht="19.5" customHeight="1">
      <c r="A33" s="3253" t="s">
        <v>185</v>
      </c>
      <c r="B33" s="882" t="s">
        <v>560</v>
      </c>
      <c r="C33" s="883" t="s">
        <v>588</v>
      </c>
      <c r="D33" s="884"/>
      <c r="E33" s="882">
        <v>1</v>
      </c>
      <c r="F33" s="885" t="s">
        <v>589</v>
      </c>
      <c r="G33" s="886"/>
      <c r="H33" s="878"/>
      <c r="I33" s="878"/>
    </row>
    <row r="34" spans="1:9" s="887" customFormat="1" ht="19.5" customHeight="1">
      <c r="A34" s="3253"/>
      <c r="B34" s="882" t="s">
        <v>563</v>
      </c>
      <c r="C34" s="883" t="s">
        <v>590</v>
      </c>
      <c r="D34" s="884"/>
      <c r="E34" s="882">
        <v>1.5</v>
      </c>
      <c r="F34" s="885" t="s">
        <v>591</v>
      </c>
      <c r="G34" s="886"/>
      <c r="H34" s="878"/>
      <c r="I34" s="878"/>
    </row>
    <row r="35" spans="1:9" s="887" customFormat="1" ht="19.5" customHeight="1">
      <c r="A35" s="3253" t="s">
        <v>186</v>
      </c>
      <c r="B35" s="882" t="s">
        <v>560</v>
      </c>
      <c r="C35" s="883" t="s">
        <v>592</v>
      </c>
      <c r="D35" s="884"/>
      <c r="E35" s="882">
        <v>1</v>
      </c>
      <c r="F35" s="885" t="s">
        <v>593</v>
      </c>
      <c r="G35" s="886"/>
      <c r="H35" s="878"/>
      <c r="I35" s="878"/>
    </row>
    <row r="36" spans="1:9" s="887" customFormat="1" ht="19.5" customHeight="1">
      <c r="A36" s="3253"/>
      <c r="B36" s="3253" t="s">
        <v>563</v>
      </c>
      <c r="C36" s="883" t="s">
        <v>594</v>
      </c>
      <c r="D36" s="884"/>
      <c r="E36" s="882">
        <v>1</v>
      </c>
      <c r="F36" s="885" t="s">
        <v>595</v>
      </c>
      <c r="G36" s="886"/>
      <c r="H36" s="878"/>
      <c r="I36" s="878"/>
    </row>
    <row r="37" spans="1:9" s="887" customFormat="1" ht="19.5" customHeight="1">
      <c r="A37" s="3253"/>
      <c r="B37" s="3253"/>
      <c r="C37" s="883" t="s">
        <v>596</v>
      </c>
      <c r="D37" s="884"/>
      <c r="E37" s="882">
        <v>1.5</v>
      </c>
      <c r="F37" s="885" t="s">
        <v>597</v>
      </c>
      <c r="G37" s="886"/>
      <c r="H37" s="878"/>
      <c r="I37" s="878"/>
    </row>
    <row r="38" spans="1:9" s="887" customFormat="1" ht="19.5" customHeight="1">
      <c r="A38" s="3253"/>
      <c r="B38" s="3253"/>
      <c r="C38" s="883" t="s">
        <v>598</v>
      </c>
      <c r="D38" s="884"/>
      <c r="E38" s="882">
        <v>1</v>
      </c>
      <c r="F38" s="885" t="s">
        <v>599</v>
      </c>
      <c r="G38" s="886"/>
      <c r="H38" s="878"/>
      <c r="I38" s="878"/>
    </row>
    <row r="39" spans="1:9" s="887" customFormat="1" ht="19.5" customHeight="1">
      <c r="A39" s="3253"/>
      <c r="B39" s="32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3" t="s">
        <v>614</v>
      </c>
      <c r="C61" s="818" t="s">
        <v>615</v>
      </c>
      <c r="D61" s="818" t="s">
        <v>616</v>
      </c>
      <c r="E61" s="895">
        <v>0.5</v>
      </c>
      <c r="F61" s="882">
        <v>80</v>
      </c>
    </row>
    <row r="62" spans="1:8" s="878" customFormat="1" ht="36">
      <c r="A62" s="882">
        <v>2</v>
      </c>
      <c r="B62" s="3253"/>
      <c r="C62" s="818" t="s">
        <v>617</v>
      </c>
      <c r="D62" s="818" t="s">
        <v>618</v>
      </c>
      <c r="E62" s="895">
        <v>0.5</v>
      </c>
      <c r="F62" s="882">
        <v>80</v>
      </c>
    </row>
    <row r="63" spans="1:8" s="878" customFormat="1" ht="48">
      <c r="A63" s="882">
        <v>3</v>
      </c>
      <c r="B63" s="3253"/>
      <c r="C63" s="818" t="s">
        <v>619</v>
      </c>
      <c r="D63" s="818" t="s">
        <v>620</v>
      </c>
      <c r="E63" s="895">
        <v>0.5</v>
      </c>
      <c r="F63" s="882">
        <v>80</v>
      </c>
    </row>
    <row r="64" spans="1:8" s="878" customFormat="1" ht="48">
      <c r="A64" s="882">
        <v>4</v>
      </c>
      <c r="B64" s="3253"/>
      <c r="C64" s="818" t="s">
        <v>621</v>
      </c>
      <c r="D64" s="818" t="s">
        <v>622</v>
      </c>
      <c r="E64" s="895">
        <v>0.4</v>
      </c>
      <c r="F64" s="882">
        <v>60</v>
      </c>
    </row>
    <row r="65" spans="1:6" s="878" customFormat="1" ht="48">
      <c r="A65" s="882">
        <v>5</v>
      </c>
      <c r="B65" s="3253"/>
      <c r="C65" s="818" t="s">
        <v>623</v>
      </c>
      <c r="D65" s="818" t="s">
        <v>624</v>
      </c>
      <c r="E65" s="895">
        <v>0.2</v>
      </c>
      <c r="F65" s="882">
        <v>30</v>
      </c>
    </row>
    <row r="66" spans="1:6" s="878" customFormat="1" ht="48">
      <c r="A66" s="882">
        <v>6</v>
      </c>
      <c r="B66" s="3253"/>
      <c r="C66" s="818" t="s">
        <v>625</v>
      </c>
      <c r="D66" s="818" t="s">
        <v>626</v>
      </c>
      <c r="E66" s="895">
        <v>0.3</v>
      </c>
      <c r="F66" s="882">
        <v>50</v>
      </c>
    </row>
    <row r="67" spans="1:6" s="878" customFormat="1" ht="48">
      <c r="A67" s="882">
        <v>7</v>
      </c>
      <c r="B67" s="3253"/>
      <c r="C67" s="818" t="s">
        <v>627</v>
      </c>
      <c r="D67" s="818" t="s">
        <v>628</v>
      </c>
      <c r="E67" s="895">
        <v>0.2</v>
      </c>
      <c r="F67" s="882">
        <v>30</v>
      </c>
    </row>
    <row r="68" spans="1:6" s="878" customFormat="1" ht="48">
      <c r="A68" s="882">
        <v>8</v>
      </c>
      <c r="B68" s="3253"/>
      <c r="C68" s="818" t="s">
        <v>629</v>
      </c>
      <c r="D68" s="818" t="s">
        <v>630</v>
      </c>
      <c r="E68" s="895">
        <v>0.2</v>
      </c>
      <c r="F68" s="882">
        <v>30</v>
      </c>
    </row>
    <row r="69" spans="1:6" s="878" customFormat="1" ht="48">
      <c r="A69" s="882">
        <v>9</v>
      </c>
      <c r="B69" s="3253"/>
      <c r="C69" s="818" t="s">
        <v>631</v>
      </c>
      <c r="D69" s="818" t="s">
        <v>632</v>
      </c>
      <c r="E69" s="895">
        <v>0.2</v>
      </c>
      <c r="F69" s="882">
        <v>30</v>
      </c>
    </row>
    <row r="70" spans="1:6" s="878" customFormat="1" ht="60">
      <c r="A70" s="882">
        <v>10</v>
      </c>
      <c r="B70" s="3253"/>
      <c r="C70" s="818" t="s">
        <v>633</v>
      </c>
      <c r="D70" s="818" t="s">
        <v>634</v>
      </c>
      <c r="E70" s="895">
        <v>0.2</v>
      </c>
      <c r="F70" s="882">
        <v>30</v>
      </c>
    </row>
    <row r="71" spans="1:6" s="878" customFormat="1" ht="60">
      <c r="A71" s="882">
        <v>11</v>
      </c>
      <c r="B71" s="3253"/>
      <c r="C71" s="818" t="s">
        <v>635</v>
      </c>
      <c r="D71" s="818" t="s">
        <v>636</v>
      </c>
      <c r="E71" s="895">
        <v>0.2</v>
      </c>
      <c r="F71" s="882">
        <v>30</v>
      </c>
    </row>
    <row r="72" spans="1:6" s="878" customFormat="1" ht="36">
      <c r="A72" s="882">
        <v>12</v>
      </c>
      <c r="B72" s="3253"/>
      <c r="C72" s="818" t="s">
        <v>637</v>
      </c>
      <c r="D72" s="818" t="s">
        <v>638</v>
      </c>
      <c r="E72" s="895">
        <v>0.5</v>
      </c>
      <c r="F72" s="882">
        <v>80</v>
      </c>
    </row>
    <row r="73" spans="1:6" s="878" customFormat="1" ht="36">
      <c r="A73" s="882">
        <v>13</v>
      </c>
      <c r="B73" s="3253"/>
      <c r="C73" s="818" t="s">
        <v>639</v>
      </c>
      <c r="D73" s="818" t="s">
        <v>640</v>
      </c>
      <c r="E73" s="895">
        <v>0.4</v>
      </c>
      <c r="F73" s="882">
        <v>60</v>
      </c>
    </row>
    <row r="74" spans="1:6" s="878" customFormat="1" ht="36">
      <c r="A74" s="882">
        <v>14</v>
      </c>
      <c r="B74" s="3253"/>
      <c r="C74" s="818" t="s">
        <v>641</v>
      </c>
      <c r="D74" s="818" t="s">
        <v>642</v>
      </c>
      <c r="E74" s="895">
        <v>0.2</v>
      </c>
      <c r="F74" s="882">
        <v>30</v>
      </c>
    </row>
    <row r="75" spans="1:6" s="878" customFormat="1" ht="36">
      <c r="A75" s="882">
        <v>15</v>
      </c>
      <c r="B75" s="3253"/>
      <c r="C75" s="818" t="s">
        <v>643</v>
      </c>
      <c r="D75" s="818" t="s">
        <v>644</v>
      </c>
      <c r="E75" s="895">
        <v>0.2</v>
      </c>
      <c r="F75" s="882">
        <v>30</v>
      </c>
    </row>
    <row r="76" spans="1:6" s="878" customFormat="1" ht="36">
      <c r="A76" s="882">
        <v>16</v>
      </c>
      <c r="B76" s="3253" t="s">
        <v>645</v>
      </c>
      <c r="C76" s="818" t="s">
        <v>646</v>
      </c>
      <c r="D76" s="818" t="s">
        <v>647</v>
      </c>
      <c r="E76" s="895">
        <v>0.5</v>
      </c>
      <c r="F76" s="882">
        <v>80</v>
      </c>
    </row>
    <row r="77" spans="1:6" s="878" customFormat="1" ht="36">
      <c r="A77" s="882">
        <v>17</v>
      </c>
      <c r="B77" s="3253"/>
      <c r="C77" s="818" t="s">
        <v>648</v>
      </c>
      <c r="D77" s="818" t="s">
        <v>649</v>
      </c>
      <c r="E77" s="895">
        <v>0.5</v>
      </c>
      <c r="F77" s="882">
        <v>80</v>
      </c>
    </row>
    <row r="78" spans="1:6" s="878" customFormat="1" ht="36">
      <c r="A78" s="882">
        <v>18</v>
      </c>
      <c r="B78" s="3253"/>
      <c r="C78" s="818" t="s">
        <v>650</v>
      </c>
      <c r="D78" s="818" t="s">
        <v>651</v>
      </c>
      <c r="E78" s="895">
        <v>0.2</v>
      </c>
      <c r="F78" s="882">
        <v>30</v>
      </c>
    </row>
    <row r="79" spans="1:6" s="878" customFormat="1" ht="36">
      <c r="A79" s="882">
        <v>19</v>
      </c>
      <c r="B79" s="3253"/>
      <c r="C79" s="818" t="s">
        <v>652</v>
      </c>
      <c r="D79" s="818" t="s">
        <v>653</v>
      </c>
      <c r="E79" s="895">
        <v>0.5</v>
      </c>
      <c r="F79" s="882">
        <v>80</v>
      </c>
    </row>
    <row r="80" spans="1:6" s="878" customFormat="1" ht="36">
      <c r="A80" s="882">
        <v>20</v>
      </c>
      <c r="B80" s="3253"/>
      <c r="C80" s="818" t="s">
        <v>654</v>
      </c>
      <c r="D80" s="818" t="s">
        <v>655</v>
      </c>
      <c r="E80" s="895">
        <v>0.2</v>
      </c>
      <c r="F80" s="882">
        <v>30</v>
      </c>
    </row>
    <row r="81" spans="1:6" s="878" customFormat="1" ht="36">
      <c r="A81" s="882">
        <v>21</v>
      </c>
      <c r="B81" s="3253"/>
      <c r="C81" s="818" t="s">
        <v>656</v>
      </c>
      <c r="D81" s="818" t="s">
        <v>657</v>
      </c>
      <c r="E81" s="895">
        <v>0.2</v>
      </c>
      <c r="F81" s="882">
        <v>30</v>
      </c>
    </row>
    <row r="82" spans="1:6" s="878" customFormat="1" ht="60">
      <c r="A82" s="882">
        <v>22</v>
      </c>
      <c r="B82" s="3253"/>
      <c r="C82" s="818" t="s">
        <v>658</v>
      </c>
      <c r="D82" s="818" t="s">
        <v>659</v>
      </c>
      <c r="E82" s="895">
        <v>0.2</v>
      </c>
      <c r="F82" s="882">
        <v>30</v>
      </c>
    </row>
    <row r="83" spans="1:6" s="878" customFormat="1" ht="60">
      <c r="A83" s="882">
        <v>23</v>
      </c>
      <c r="B83" s="3253"/>
      <c r="C83" s="818" t="s">
        <v>660</v>
      </c>
      <c r="D83" s="818" t="s">
        <v>661</v>
      </c>
      <c r="E83" s="895">
        <v>0.2</v>
      </c>
      <c r="F83" s="882">
        <v>30</v>
      </c>
    </row>
    <row r="84" spans="1:6" s="878" customFormat="1" ht="48">
      <c r="A84" s="882">
        <v>24</v>
      </c>
      <c r="B84" s="3253"/>
      <c r="C84" s="818" t="s">
        <v>662</v>
      </c>
      <c r="D84" s="818" t="s">
        <v>663</v>
      </c>
      <c r="E84" s="895">
        <v>0.2</v>
      </c>
      <c r="F84" s="882">
        <v>30</v>
      </c>
    </row>
    <row r="85" spans="1:6" s="878" customFormat="1" ht="36">
      <c r="A85" s="882">
        <v>25</v>
      </c>
      <c r="B85" s="3253"/>
      <c r="C85" s="818" t="s">
        <v>664</v>
      </c>
      <c r="D85" s="818" t="s">
        <v>665</v>
      </c>
      <c r="E85" s="895">
        <v>0.5</v>
      </c>
      <c r="F85" s="882">
        <v>80</v>
      </c>
    </row>
    <row r="86" spans="1:6" s="878" customFormat="1" ht="36">
      <c r="A86" s="882">
        <v>26</v>
      </c>
      <c r="B86" s="3253"/>
      <c r="C86" s="818" t="s">
        <v>666</v>
      </c>
      <c r="D86" s="818" t="s">
        <v>667</v>
      </c>
      <c r="E86" s="895">
        <v>0.2</v>
      </c>
      <c r="F86" s="882">
        <v>30</v>
      </c>
    </row>
    <row r="87" spans="1:6" s="878" customFormat="1" ht="36">
      <c r="A87" s="882">
        <v>27</v>
      </c>
      <c r="B87" s="3253"/>
      <c r="C87" s="818" t="s">
        <v>668</v>
      </c>
      <c r="D87" s="818" t="s">
        <v>669</v>
      </c>
      <c r="E87" s="895">
        <v>0.2</v>
      </c>
      <c r="F87" s="882">
        <v>30</v>
      </c>
    </row>
    <row r="88" spans="1:6" s="878" customFormat="1" ht="36">
      <c r="A88" s="882">
        <v>28</v>
      </c>
      <c r="B88" s="3253"/>
      <c r="C88" s="818" t="s">
        <v>670</v>
      </c>
      <c r="D88" s="818" t="s">
        <v>671</v>
      </c>
      <c r="E88" s="895">
        <v>0.2</v>
      </c>
      <c r="F88" s="882">
        <v>30</v>
      </c>
    </row>
    <row r="89" spans="1:6" s="878" customFormat="1" ht="36">
      <c r="A89" s="882">
        <v>29</v>
      </c>
      <c r="B89" s="3253"/>
      <c r="C89" s="818" t="s">
        <v>672</v>
      </c>
      <c r="D89" s="818" t="s">
        <v>673</v>
      </c>
      <c r="E89" s="895">
        <v>0.2</v>
      </c>
      <c r="F89" s="882">
        <v>30</v>
      </c>
    </row>
    <row r="90" spans="1:6" s="878" customFormat="1" ht="36">
      <c r="A90" s="882">
        <v>30</v>
      </c>
      <c r="B90" s="3253"/>
      <c r="C90" s="818" t="s">
        <v>674</v>
      </c>
      <c r="D90" s="818" t="s">
        <v>675</v>
      </c>
      <c r="E90" s="895">
        <v>0.2</v>
      </c>
      <c r="F90" s="882">
        <v>30</v>
      </c>
    </row>
    <row r="91" spans="1:6" s="878" customFormat="1" ht="48">
      <c r="A91" s="882">
        <v>31</v>
      </c>
      <c r="B91" s="3253"/>
      <c r="C91" s="818" t="s">
        <v>676</v>
      </c>
      <c r="D91" s="818" t="s">
        <v>677</v>
      </c>
      <c r="E91" s="895">
        <v>0.2</v>
      </c>
      <c r="F91" s="882">
        <v>30</v>
      </c>
    </row>
    <row r="92" spans="1:6" s="878" customFormat="1" ht="36">
      <c r="A92" s="882">
        <v>32</v>
      </c>
      <c r="B92" s="3253" t="s">
        <v>678</v>
      </c>
      <c r="C92" s="882" t="s">
        <v>679</v>
      </c>
      <c r="D92" s="818" t="s">
        <v>680</v>
      </c>
      <c r="E92" s="895">
        <v>0.2</v>
      </c>
      <c r="F92" s="882">
        <v>30</v>
      </c>
    </row>
    <row r="93" spans="1:6" s="878" customFormat="1" ht="36">
      <c r="A93" s="882">
        <v>33</v>
      </c>
      <c r="B93" s="3253"/>
      <c r="C93" s="882" t="s">
        <v>681</v>
      </c>
      <c r="D93" s="818" t="s">
        <v>682</v>
      </c>
      <c r="E93" s="895">
        <v>0.2</v>
      </c>
      <c r="F93" s="882">
        <v>30</v>
      </c>
    </row>
    <row r="94" spans="1:6" s="878" customFormat="1" ht="60">
      <c r="A94" s="882">
        <v>34</v>
      </c>
      <c r="B94" s="3253"/>
      <c r="C94" s="882" t="s">
        <v>683</v>
      </c>
      <c r="D94" s="818" t="s">
        <v>684</v>
      </c>
      <c r="E94" s="895">
        <v>0.2</v>
      </c>
      <c r="F94" s="882">
        <v>30</v>
      </c>
    </row>
    <row r="95" spans="1:6" s="878" customFormat="1" ht="48">
      <c r="A95" s="882">
        <v>35</v>
      </c>
      <c r="B95" s="3253"/>
      <c r="C95" s="882" t="s">
        <v>685</v>
      </c>
      <c r="D95" s="818" t="s">
        <v>686</v>
      </c>
      <c r="E95" s="895">
        <v>0.2</v>
      </c>
      <c r="F95" s="882">
        <v>30</v>
      </c>
    </row>
    <row r="96" spans="1:6" s="878" customFormat="1" ht="72">
      <c r="A96" s="882">
        <v>36</v>
      </c>
      <c r="B96" s="3253"/>
      <c r="C96" s="818" t="s">
        <v>687</v>
      </c>
      <c r="D96" s="818" t="s">
        <v>688</v>
      </c>
      <c r="E96" s="895">
        <v>0.2</v>
      </c>
      <c r="F96" s="882">
        <v>30</v>
      </c>
    </row>
    <row r="97" spans="1:6" s="878" customFormat="1" ht="36">
      <c r="A97" s="882">
        <v>37</v>
      </c>
      <c r="B97" s="3253"/>
      <c r="C97" s="882" t="s">
        <v>689</v>
      </c>
      <c r="D97" s="818" t="s">
        <v>690</v>
      </c>
      <c r="E97" s="895">
        <v>0.2</v>
      </c>
      <c r="F97" s="882">
        <v>30</v>
      </c>
    </row>
    <row r="98" spans="1:6" s="878" customFormat="1" ht="36">
      <c r="A98" s="882">
        <v>38</v>
      </c>
      <c r="B98" s="3253"/>
      <c r="C98" s="882" t="s">
        <v>691</v>
      </c>
      <c r="D98" s="818" t="s">
        <v>692</v>
      </c>
      <c r="E98" s="895">
        <v>0.2</v>
      </c>
      <c r="F98" s="882">
        <v>30</v>
      </c>
    </row>
    <row r="99" spans="1:6" s="878" customFormat="1" ht="36">
      <c r="A99" s="882">
        <v>39</v>
      </c>
      <c r="B99" s="3253" t="s">
        <v>693</v>
      </c>
      <c r="C99" s="882" t="s">
        <v>694</v>
      </c>
      <c r="D99" s="818" t="s">
        <v>695</v>
      </c>
      <c r="E99" s="895">
        <v>0.3</v>
      </c>
      <c r="F99" s="882">
        <v>50</v>
      </c>
    </row>
    <row r="100" spans="1:6" s="878" customFormat="1" ht="36">
      <c r="A100" s="882">
        <v>40</v>
      </c>
      <c r="B100" s="3253"/>
      <c r="C100" s="882" t="s">
        <v>696</v>
      </c>
      <c r="D100" s="818" t="s">
        <v>697</v>
      </c>
      <c r="E100" s="895">
        <v>0.2</v>
      </c>
      <c r="F100" s="882">
        <v>30</v>
      </c>
    </row>
    <row r="101" spans="1:6" s="878" customFormat="1" ht="36">
      <c r="A101" s="882">
        <v>41</v>
      </c>
      <c r="B101" s="325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3" t="s">
        <v>708</v>
      </c>
      <c r="C105" s="882" t="s">
        <v>709</v>
      </c>
      <c r="D105" s="818" t="s">
        <v>710</v>
      </c>
      <c r="E105" s="895">
        <v>0.2</v>
      </c>
      <c r="F105" s="882">
        <v>30</v>
      </c>
    </row>
    <row r="106" spans="1:6" s="878" customFormat="1" ht="48">
      <c r="A106" s="882">
        <v>46</v>
      </c>
      <c r="B106" s="3253"/>
      <c r="C106" s="882" t="s">
        <v>711</v>
      </c>
      <c r="D106" s="818" t="s">
        <v>712</v>
      </c>
      <c r="E106" s="895">
        <v>0.2</v>
      </c>
      <c r="F106" s="882">
        <v>30</v>
      </c>
    </row>
    <row r="107" spans="1:6" s="878" customFormat="1" ht="36">
      <c r="A107" s="882">
        <v>47</v>
      </c>
      <c r="B107" s="3253" t="s">
        <v>713</v>
      </c>
      <c r="C107" s="882" t="s">
        <v>714</v>
      </c>
      <c r="D107" s="818" t="s">
        <v>715</v>
      </c>
      <c r="E107" s="895">
        <v>0.3</v>
      </c>
      <c r="F107" s="882">
        <v>50</v>
      </c>
    </row>
    <row r="108" spans="1:6" s="878" customFormat="1" ht="48">
      <c r="A108" s="882">
        <v>48</v>
      </c>
      <c r="B108" s="32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3" t="s">
        <v>724</v>
      </c>
      <c r="C111" s="882" t="s">
        <v>725</v>
      </c>
      <c r="D111" s="818" t="s">
        <v>726</v>
      </c>
      <c r="E111" s="895">
        <v>0.2</v>
      </c>
      <c r="F111" s="882">
        <v>30</v>
      </c>
    </row>
    <row r="112" spans="1:6" s="878" customFormat="1" ht="36">
      <c r="A112" s="882">
        <v>52</v>
      </c>
      <c r="B112" s="3253"/>
      <c r="C112" s="882" t="s">
        <v>727</v>
      </c>
      <c r="D112" s="818" t="s">
        <v>728</v>
      </c>
      <c r="E112" s="895">
        <v>0.2</v>
      </c>
      <c r="F112" s="882">
        <v>30</v>
      </c>
    </row>
    <row r="113" spans="1:6" s="878" customFormat="1" ht="36">
      <c r="A113" s="882">
        <v>53</v>
      </c>
      <c r="B113" s="325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3" t="s">
        <v>737</v>
      </c>
      <c r="C116" s="882" t="s">
        <v>738</v>
      </c>
      <c r="D116" s="818" t="s">
        <v>739</v>
      </c>
      <c r="E116" s="895">
        <v>0.2</v>
      </c>
      <c r="F116" s="882">
        <v>30</v>
      </c>
    </row>
    <row r="117" spans="1:6" ht="36">
      <c r="A117" s="882">
        <v>57</v>
      </c>
      <c r="B117" s="325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8" t="s">
        <v>3008</v>
      </c>
    </row>
    <row r="2" spans="1:5" ht="15.6">
      <c r="A2" s="2917" t="s">
        <v>3000</v>
      </c>
      <c r="B2" s="2918" t="e">
        <f ca="1">SUMIF(B6:B13,"&lt;&gt;#ref!",B6:B13)</f>
        <v>#DIV/0!</v>
      </c>
      <c r="C2" s="2917" t="s">
        <v>3001</v>
      </c>
      <c r="D2" s="2917" t="s">
        <v>3002</v>
      </c>
      <c r="E2" s="2918">
        <f ca="1">SUMIF(E6:E13,"&lt;&gt;#ref!",E6:E13)</f>
        <v>0</v>
      </c>
    </row>
    <row r="3" spans="1:5" ht="15.6">
      <c r="A3" s="2917" t="s">
        <v>3003</v>
      </c>
      <c r="B3" s="2918" t="e">
        <f ca="1">ROUND(B2*10000/E2,0)</f>
        <v>#DIV/0!</v>
      </c>
      <c r="C3" s="2917" t="s">
        <v>3009</v>
      </c>
      <c r="D3" s="2919"/>
      <c r="E3" s="2919"/>
    </row>
    <row r="4" spans="1:5" ht="15.6">
      <c r="A4" s="2920"/>
      <c r="B4" s="2919"/>
      <c r="C4" s="2919"/>
      <c r="D4" s="2919"/>
      <c r="E4" s="2919"/>
    </row>
    <row r="5" spans="1:5" ht="31.2">
      <c r="A5" s="2921" t="s">
        <v>3004</v>
      </c>
      <c r="B5" s="2917" t="s">
        <v>3005</v>
      </c>
      <c r="C5" s="2918"/>
      <c r="D5" s="2919"/>
      <c r="E5" s="2917" t="s">
        <v>3006</v>
      </c>
    </row>
    <row r="6" spans="1:5" ht="15.6">
      <c r="A6" s="2922" t="s">
        <v>3007</v>
      </c>
      <c r="B6" s="2918" t="e">
        <f ca="1">SUMIF(INDIRECT("'"&amp;A6&amp;"'"&amp;"!A:A"),"总价",INDIRECT("'"&amp;A6&amp;"'"&amp;"!B:B"))</f>
        <v>#DIV/0!</v>
      </c>
      <c r="C6" s="2917" t="s">
        <v>3001</v>
      </c>
      <c r="D6" s="2919"/>
      <c r="E6" s="2582">
        <f ca="1">SUMIF(INDIRECT("'"&amp;A6&amp;"'"&amp;"!C:C"),"建筑面积",INDIRECT("'"&amp;A6&amp;"'"&amp;"!D:D"))</f>
        <v>0</v>
      </c>
    </row>
    <row r="7" spans="1:5" ht="15.6">
      <c r="A7" s="2922"/>
      <c r="B7" s="2918" t="e">
        <f ca="1">SUMIF(INDIRECT("'"&amp;A7&amp;"'"&amp;"!A:A"),"总价",INDIRECT("'"&amp;A7&amp;"'"&amp;"!B:B"))</f>
        <v>#REF!</v>
      </c>
      <c r="C7" s="2917" t="s">
        <v>3001</v>
      </c>
      <c r="D7" s="2919"/>
      <c r="E7" s="2582" t="e">
        <f t="shared" ref="E7:E13" ca="1" si="0">SUMIF(INDIRECT("'"&amp;A7&amp;"'"&amp;"!C:C"),"建筑面积",INDIRECT("'"&amp;A7&amp;"'"&amp;"!D:D"))</f>
        <v>#REF!</v>
      </c>
    </row>
    <row r="8" spans="1:5" ht="15.6">
      <c r="A8" s="2922"/>
      <c r="B8" s="2918" t="e">
        <f t="shared" ref="B8:B13" ca="1" si="1">SUMIF(INDIRECT("'"&amp;A8&amp;"'"&amp;"!A:A"),"总价",INDIRECT("'"&amp;A8&amp;"'"&amp;"!B:B"))</f>
        <v>#REF!</v>
      </c>
      <c r="C8" s="2917" t="s">
        <v>3001</v>
      </c>
      <c r="D8" s="2919"/>
      <c r="E8" s="2582" t="e">
        <f t="shared" ca="1" si="0"/>
        <v>#REF!</v>
      </c>
    </row>
    <row r="9" spans="1:5" ht="15.6">
      <c r="A9" s="2922"/>
      <c r="B9" s="2918" t="e">
        <f t="shared" ca="1" si="1"/>
        <v>#REF!</v>
      </c>
      <c r="C9" s="2917" t="s">
        <v>3001</v>
      </c>
      <c r="D9" s="2919"/>
      <c r="E9" s="2582" t="e">
        <f t="shared" ca="1" si="0"/>
        <v>#REF!</v>
      </c>
    </row>
    <row r="10" spans="1:5" ht="15.6">
      <c r="A10" s="2922"/>
      <c r="B10" s="2918" t="e">
        <f t="shared" ca="1" si="1"/>
        <v>#REF!</v>
      </c>
      <c r="C10" s="2917" t="s">
        <v>3001</v>
      </c>
      <c r="D10" s="2919"/>
      <c r="E10" s="2582" t="e">
        <f t="shared" ca="1" si="0"/>
        <v>#REF!</v>
      </c>
    </row>
    <row r="11" spans="1:5" ht="15.6">
      <c r="A11" s="2922"/>
      <c r="B11" s="2918" t="e">
        <f t="shared" ca="1" si="1"/>
        <v>#REF!</v>
      </c>
      <c r="C11" s="2917" t="s">
        <v>3001</v>
      </c>
      <c r="D11" s="2919"/>
      <c r="E11" s="2582" t="e">
        <f t="shared" ca="1" si="0"/>
        <v>#REF!</v>
      </c>
    </row>
    <row r="12" spans="1:5" ht="15.6">
      <c r="A12" s="2922"/>
      <c r="B12" s="2918" t="e">
        <f t="shared" ca="1" si="1"/>
        <v>#REF!</v>
      </c>
      <c r="C12" s="2917" t="s">
        <v>3001</v>
      </c>
      <c r="D12" s="2919"/>
      <c r="E12" s="2582" t="e">
        <f t="shared" ca="1" si="0"/>
        <v>#REF!</v>
      </c>
    </row>
    <row r="13" spans="1:5" ht="15.6">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59" t="s">
        <v>1146</v>
      </c>
      <c r="C1" s="3259"/>
      <c r="D1" s="3259"/>
      <c r="E1" s="3259"/>
      <c r="F1" s="3259"/>
      <c r="G1" s="3255" t="s">
        <v>1147</v>
      </c>
      <c r="H1" s="3255"/>
      <c r="I1" s="3255"/>
      <c r="J1" s="3255"/>
      <c r="K1" s="3255"/>
      <c r="L1" s="3255"/>
      <c r="N1" s="3255" t="s">
        <v>1148</v>
      </c>
      <c r="O1" s="3255"/>
      <c r="P1" s="3255"/>
      <c r="Q1" s="3255"/>
      <c r="R1" s="1449"/>
      <c r="S1" s="3255" t="s">
        <v>1149</v>
      </c>
      <c r="T1" s="3255"/>
      <c r="U1" s="3255"/>
      <c r="V1" s="3255"/>
      <c r="X1" s="3254" t="s">
        <v>1150</v>
      </c>
      <c r="Y1" s="3255"/>
      <c r="Z1" s="3255"/>
      <c r="AA1" s="3255"/>
      <c r="AB1" s="3255"/>
      <c r="AD1" s="3254" t="s">
        <v>1151</v>
      </c>
      <c r="AE1" s="3255"/>
      <c r="AF1" s="3255"/>
      <c r="AG1" s="3255"/>
      <c r="AH1" s="3255"/>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4">
      <c r="A3" s="2942" t="s">
        <v>3043</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4">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8" thickBot="1">
      <c r="A5" s="1732" t="s">
        <v>3056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7">
        <v>2018</v>
      </c>
      <c r="H6" s="1467">
        <v>4</v>
      </c>
      <c r="I6" s="3273">
        <v>0.96</v>
      </c>
      <c r="J6" s="3273">
        <v>1.03</v>
      </c>
      <c r="K6" s="3273">
        <v>0.92</v>
      </c>
      <c r="L6" s="3274">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 customHeight="1">
      <c r="A7" s="1464" t="s">
        <v>3050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3049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3039</v>
      </c>
      <c r="B10" s="1472">
        <v>439</v>
      </c>
      <c r="C10" s="1472">
        <v>327</v>
      </c>
      <c r="D10" s="1472">
        <f>C10</f>
        <v>327</v>
      </c>
      <c r="E10" s="1472">
        <v>627</v>
      </c>
      <c r="F10" s="1473">
        <v>283</v>
      </c>
      <c r="G10" s="326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3040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5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5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6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5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5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5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5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5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5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5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5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5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5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5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7">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58">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5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7">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58">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66" t="s">
        <v>3011</v>
      </c>
      <c r="D1" s="3267"/>
      <c r="E1" s="3267"/>
      <c r="F1" s="3267"/>
      <c r="G1" s="3267"/>
      <c r="H1" s="3267"/>
      <c r="I1" s="3267"/>
      <c r="J1" s="3267"/>
      <c r="K1" s="3267"/>
      <c r="L1" s="3267"/>
      <c r="M1" s="3267"/>
      <c r="N1" s="3267"/>
      <c r="O1" s="3267"/>
      <c r="P1" s="3267"/>
      <c r="Q1" s="3267"/>
      <c r="R1" s="3267"/>
      <c r="S1" s="3268"/>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2"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6">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48" t="s">
        <v>33</v>
      </c>
      <c r="D22" s="3049"/>
      <c r="E22" s="3049"/>
      <c r="F22" s="3049"/>
      <c r="G22" s="3049"/>
      <c r="H22" s="3049"/>
      <c r="I22" s="3049"/>
      <c r="J22" s="3049"/>
      <c r="K22" s="3049"/>
      <c r="L22" s="3049"/>
      <c r="M22" s="3049"/>
      <c r="N22" s="3049"/>
      <c r="O22" s="3049"/>
      <c r="P22" s="3049"/>
      <c r="Q22" s="3265"/>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7.399999999999999">
      <c r="A3" s="2953" t="str">
        <f>IF(项目基本情况!B9="房地产市场价值","估价结果一览表（市场价值不需“结果表-1”）","估价结果一览表")</f>
        <v>估价结果一览表</v>
      </c>
      <c r="B3" s="2953"/>
      <c r="C3" s="2953"/>
      <c r="D3" s="2953"/>
      <c r="E3" s="2953"/>
    </row>
    <row r="4" spans="1:5" ht="18" thickBot="1">
      <c r="A4" s="1964"/>
      <c r="B4" s="2951" t="s">
        <v>1626</v>
      </c>
      <c r="C4" s="2951"/>
      <c r="D4" s="2951"/>
      <c r="E4" s="1964"/>
    </row>
    <row r="5" spans="1:5" ht="16.2" thickTop="1">
      <c r="A5" s="1962"/>
      <c r="B5" s="2949" t="s">
        <v>1618</v>
      </c>
      <c r="C5" s="1965" t="s">
        <v>1619</v>
      </c>
      <c r="D5" s="1043" t="e">
        <f ca="1">结果表!H101</f>
        <v>#REF!</v>
      </c>
      <c r="E5" s="1962"/>
    </row>
    <row r="6" spans="1:5" ht="15.6">
      <c r="A6" s="1962"/>
      <c r="B6" s="2949"/>
      <c r="C6" s="1965" t="s">
        <v>1620</v>
      </c>
      <c r="D6" s="1043" t="e">
        <f ca="1">NUMBERSTRING(INT(D5*10000),2)&amp;"元整"</f>
        <v>#REF!</v>
      </c>
      <c r="E6" s="1962"/>
    </row>
    <row r="7" spans="1:5" ht="15.6">
      <c r="A7" s="1962"/>
      <c r="B7" s="2954"/>
      <c r="C7" s="1966" t="s">
        <v>1621</v>
      </c>
      <c r="D7" s="1044" t="e">
        <f ca="1">结果表!H102</f>
        <v>#REF!</v>
      </c>
      <c r="E7" s="1962"/>
    </row>
    <row r="8" spans="1:5" ht="15.6">
      <c r="A8" s="1962"/>
      <c r="B8" s="2955" t="str">
        <f>结果表!E103</f>
        <v>2.估价师知悉的法定优先受偿款</v>
      </c>
      <c r="C8" s="1967" t="s">
        <v>1622</v>
      </c>
      <c r="D8" s="1044">
        <f>结果表!H103</f>
        <v>0</v>
      </c>
      <c r="E8" s="1962"/>
    </row>
    <row r="9" spans="1:5" ht="15.6">
      <c r="A9" s="1962"/>
      <c r="B9" s="2957"/>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48" t="str">
        <f>结果表!E107</f>
        <v>3.房地产抵押价值</v>
      </c>
      <c r="C13" s="1970" t="s">
        <v>1619</v>
      </c>
      <c r="D13" s="1046" t="e">
        <f ca="1">结果表!H107</f>
        <v>#REF!</v>
      </c>
      <c r="E13" s="1962"/>
    </row>
    <row r="14" spans="1:5" ht="15.6">
      <c r="A14" s="1962"/>
      <c r="B14" s="2949"/>
      <c r="C14" s="1965" t="s">
        <v>1620</v>
      </c>
      <c r="D14" s="1043" t="e">
        <f ca="1">NUMBERSTRING(INT(D13*10000),2)&amp;"元整"</f>
        <v>#REF!</v>
      </c>
      <c r="E14" s="1962"/>
    </row>
    <row r="15" spans="1:5" ht="15.6">
      <c r="A15" s="1962"/>
      <c r="B15" s="2954"/>
      <c r="C15" s="1966" t="s">
        <v>1630</v>
      </c>
      <c r="D15" s="1055" t="e">
        <f ca="1">结果表!H108</f>
        <v>#REF!</v>
      </c>
      <c r="E15" s="1962"/>
    </row>
    <row r="16" spans="1:5" ht="15.6">
      <c r="A16" s="1962"/>
      <c r="B16" s="2955" t="str">
        <f>结果表!E109</f>
        <v>——</v>
      </c>
      <c r="C16" s="1970" t="s">
        <v>1631</v>
      </c>
      <c r="D16" s="1971" t="str">
        <f>结果表!H109</f>
        <v>——</v>
      </c>
      <c r="E16" s="1962"/>
    </row>
    <row r="17" spans="1:5" ht="15.6">
      <c r="A17" s="1962"/>
      <c r="B17" s="2956"/>
      <c r="C17" s="1965" t="s">
        <v>1632</v>
      </c>
      <c r="D17" s="1043" t="e">
        <f>NUMBERSTRING(INT(D16*10000),2)&amp;"元整"</f>
        <v>#VALUE!</v>
      </c>
      <c r="E17" s="1962"/>
    </row>
    <row r="18" spans="1:5" ht="15.6">
      <c r="A18" s="1962"/>
      <c r="B18" s="2957"/>
      <c r="C18" s="1966" t="s">
        <v>1621</v>
      </c>
      <c r="D18" s="1055" t="str">
        <f>结果表!H110</f>
        <v>——</v>
      </c>
      <c r="E18" s="1962"/>
    </row>
    <row r="19" spans="1:5" ht="15.6">
      <c r="A19" s="1962"/>
      <c r="B19" s="2948" t="str">
        <f>结果表!E111</f>
        <v>——</v>
      </c>
      <c r="C19" s="1970" t="s">
        <v>1619</v>
      </c>
      <c r="D19" s="1044" t="str">
        <f>结果表!H111</f>
        <v>——</v>
      </c>
      <c r="E19" s="1962"/>
    </row>
    <row r="20" spans="1:5" ht="15.6">
      <c r="A20" s="1962"/>
      <c r="B20" s="2949"/>
      <c r="C20" s="1965" t="s">
        <v>1632</v>
      </c>
      <c r="D20" s="1043" t="e">
        <f>NUMBERSTRING(INT(D19*10000),2)&amp;"元整"</f>
        <v>#VALUE!</v>
      </c>
      <c r="E20" s="1962"/>
    </row>
    <row r="21" spans="1:5" ht="16.2" thickBot="1">
      <c r="A21" s="1962"/>
      <c r="B21" s="2950"/>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t="e">
        <f ca="1">C52</f>
        <v>#DIV/0!</v>
      </c>
      <c r="C2" s="2" t="s">
        <v>133</v>
      </c>
      <c r="D2" s="243"/>
      <c r="E2" s="243"/>
      <c r="F2" s="243"/>
      <c r="G2" s="243"/>
    </row>
    <row r="3" spans="1:7" s="244" customFormat="1" ht="18" customHeight="1" thickBot="1">
      <c r="A3" s="247" t="s">
        <v>85</v>
      </c>
      <c r="B3" s="248" t="e">
        <f ca="1">ROUND(B2*10000/'数据-汇总表'!E3,0)</f>
        <v>#DIV/0!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20000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0</v>
      </c>
      <c r="D7" s="264"/>
      <c r="E7" s="262"/>
      <c r="F7" s="265">
        <f>'数据-取费表'!B48+'数据-取费表'!B49</f>
        <v>0</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0</v>
      </c>
      <c r="D19" s="1039">
        <f>'数据-汇总表'!E3</f>
        <v>0</v>
      </c>
      <c r="E19" s="255">
        <f>'数据-取费表'!B31</f>
        <v>0</v>
      </c>
      <c r="F19" s="275"/>
      <c r="G19" s="1" t="s">
        <v>1071</v>
      </c>
    </row>
    <row r="20" spans="1:7" s="258" customFormat="1" ht="13.5" customHeight="1">
      <c r="A20" s="951" t="s">
        <v>1054</v>
      </c>
      <c r="B20" s="254" t="s">
        <v>104</v>
      </c>
      <c r="C20" s="276">
        <f>ROUND((C5+C19)*F20,0)</f>
        <v>0</v>
      </c>
      <c r="D20" s="276"/>
      <c r="E20" s="276"/>
      <c r="F20" s="277">
        <f>'数据-取费表'!B37</f>
        <v>0</v>
      </c>
      <c r="G20" s="1292" t="s">
        <v>1065</v>
      </c>
    </row>
    <row r="21" spans="1:7" s="258" customFormat="1" ht="13.5" customHeight="1">
      <c r="A21" s="951" t="s">
        <v>1056</v>
      </c>
      <c r="B21" s="254" t="s">
        <v>105</v>
      </c>
      <c r="C21" s="279">
        <f>F21</f>
        <v>0</v>
      </c>
      <c r="D21" s="280" t="s">
        <v>126</v>
      </c>
      <c r="E21" s="276"/>
      <c r="F21" s="277">
        <f>'数据-取费表'!B38</f>
        <v>0</v>
      </c>
      <c r="G21" s="278" t="s">
        <v>106</v>
      </c>
    </row>
    <row r="22" spans="1:7" s="258" customFormat="1" ht="13.5" customHeight="1">
      <c r="A22" s="951" t="s">
        <v>786</v>
      </c>
      <c r="B22" s="254" t="s">
        <v>107</v>
      </c>
      <c r="C22" s="1357">
        <f ca="1">ROUND(SUM(C23:C25),0)</f>
        <v>0</v>
      </c>
      <c r="D22" s="279">
        <f ca="1">C26</f>
        <v>0</v>
      </c>
      <c r="E22" s="280" t="s">
        <v>126</v>
      </c>
      <c r="F22" s="281">
        <f ca="1">'数据-取费表'!B40</f>
        <v>0</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6.4">
      <c r="A27" s="951" t="s">
        <v>787</v>
      </c>
      <c r="B27" s="288" t="s">
        <v>112</v>
      </c>
      <c r="C27" s="289" t="e">
        <f>C28</f>
        <v>#DIV/0!</v>
      </c>
      <c r="D27" s="279" t="e">
        <f>C29</f>
        <v>#DIV/0!</v>
      </c>
      <c r="E27" s="280" t="s">
        <v>126</v>
      </c>
      <c r="F27" s="290" t="e">
        <f>'数据-取费表'!Q16</f>
        <v>#DIV/0!</v>
      </c>
      <c r="G27" s="291" t="s">
        <v>1066</v>
      </c>
    </row>
    <row r="28" spans="1:7" s="258" customFormat="1" ht="13.5" customHeight="1">
      <c r="A28" s="954" t="s">
        <v>794</v>
      </c>
      <c r="B28" s="292" t="s">
        <v>1059</v>
      </c>
      <c r="C28" s="293" t="e">
        <f>ROUND((C5+C19+C20)*F27*'数据-取费表'!B21/'数据-取费表'!B20,0)</f>
        <v>#DIV/0!</v>
      </c>
      <c r="D28" s="279"/>
      <c r="E28" s="280"/>
      <c r="F28" s="290"/>
      <c r="G28" s="291"/>
    </row>
    <row r="29" spans="1:7" s="258" customFormat="1" ht="13.5" customHeight="1">
      <c r="A29" s="954" t="s">
        <v>792</v>
      </c>
      <c r="B29" s="292" t="s">
        <v>1060</v>
      </c>
      <c r="C29" s="282" t="e">
        <f>ROUND(C21*F27*'数据-取费表'!B21/'数据-取费表'!B20,4)</f>
        <v>#DIV/0!</v>
      </c>
      <c r="D29" s="279"/>
      <c r="E29" s="280"/>
      <c r="F29" s="290"/>
      <c r="G29" s="291"/>
    </row>
    <row r="30" spans="1:7" s="258" customFormat="1" ht="13.5" customHeight="1">
      <c r="A30" s="951"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#DIV/0!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0</v>
      </c>
      <c r="D37" s="261">
        <f>'数据-汇总表'!E3</f>
        <v>0</v>
      </c>
      <c r="E37" s="293">
        <f>'数据-取费表'!B35</f>
        <v>0</v>
      </c>
      <c r="F37" s="303"/>
      <c r="G37" s="305" t="s">
        <v>119</v>
      </c>
    </row>
    <row r="38" spans="1:7" ht="13.5" customHeight="1">
      <c r="A38" s="954" t="s">
        <v>799</v>
      </c>
      <c r="B38" s="259" t="s">
        <v>63</v>
      </c>
      <c r="C38" s="264">
        <f>ROUND(C34*F38,0)</f>
        <v>0</v>
      </c>
      <c r="D38" s="264"/>
      <c r="E38" s="264"/>
      <c r="F38" s="303">
        <f>'数据-取费表'!B36</f>
        <v>0</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33" t="s">
        <v>121</v>
      </c>
    </row>
    <row r="43" spans="1:7" ht="13.5" customHeight="1">
      <c r="A43" s="954" t="s">
        <v>792</v>
      </c>
      <c r="B43" s="259" t="s">
        <v>1061</v>
      </c>
      <c r="C43" s="282">
        <f ca="1">ROUND(IF('数据-取费表'!B22&lt;=1,C39*F22*'数据-取费表'!B21/2,C39*(POWER((1+F22),'数据-取费表'!B21/2)-1)),0)</f>
        <v>0</v>
      </c>
      <c r="D43" s="282"/>
      <c r="E43" s="282"/>
      <c r="F43" s="283"/>
      <c r="G43" s="3134"/>
    </row>
    <row r="44" spans="1:7" ht="13.5" customHeight="1">
      <c r="A44" s="954" t="s">
        <v>793</v>
      </c>
      <c r="B44" s="259" t="s">
        <v>1063</v>
      </c>
      <c r="C44" s="282">
        <f ca="1">ROUND(IF('数据-取费表'!B22&lt;=1,C40*F22*'数据-取费表'!B21/2,C40*(POWER((1+F22),'数据-取费表'!B21/2)-1)),4)</f>
        <v>0</v>
      </c>
      <c r="D44" s="282"/>
      <c r="E44" s="282"/>
      <c r="F44" s="283"/>
      <c r="G44" s="3135"/>
    </row>
    <row r="45" spans="1:7" s="258" customFormat="1" ht="13.5" customHeight="1">
      <c r="A45" s="951" t="s">
        <v>786</v>
      </c>
      <c r="B45" s="288" t="s">
        <v>112</v>
      </c>
      <c r="C45" s="289" t="e">
        <f>C46</f>
        <v>#DIV/0!</v>
      </c>
      <c r="D45" s="279" t="e">
        <f>C47</f>
        <v>#DIV/0!</v>
      </c>
      <c r="E45" s="280" t="s">
        <v>129</v>
      </c>
      <c r="F45" s="290"/>
      <c r="G45" s="291" t="s">
        <v>1069</v>
      </c>
    </row>
    <row r="46" spans="1:7" s="258" customFormat="1" ht="13.5" customHeight="1">
      <c r="A46" s="954" t="s">
        <v>794</v>
      </c>
      <c r="B46" s="292" t="s">
        <v>1062</v>
      </c>
      <c r="C46" s="293" t="e">
        <f>ROUND((C33+C39)*F27,0)</f>
        <v>#DIV/0!</v>
      </c>
      <c r="D46" s="307"/>
      <c r="E46" s="280"/>
      <c r="F46" s="290"/>
      <c r="G46" s="291"/>
    </row>
    <row r="47" spans="1:7" s="258" customFormat="1" ht="13.5" customHeight="1">
      <c r="A47" s="954" t="s">
        <v>792</v>
      </c>
      <c r="B47" s="292" t="s">
        <v>1064</v>
      </c>
      <c r="C47" s="282" t="e">
        <f>ROUND(C40*F27,4)</f>
        <v>#DIV/0!</v>
      </c>
      <c r="D47" s="307"/>
      <c r="E47" s="280"/>
      <c r="F47" s="290"/>
      <c r="G47" s="291"/>
    </row>
    <row r="48" spans="1:7" s="258" customFormat="1" ht="13.5" customHeight="1">
      <c r="A48" s="951" t="s">
        <v>787</v>
      </c>
      <c r="B48" s="254" t="s">
        <v>122</v>
      </c>
      <c r="C48" s="306">
        <f>F30</f>
        <v>0</v>
      </c>
      <c r="D48" s="280" t="s">
        <v>130</v>
      </c>
      <c r="E48" s="276"/>
      <c r="F48" s="281"/>
      <c r="G48" s="278" t="s">
        <v>123</v>
      </c>
    </row>
    <row r="49" spans="1:7" ht="16.5" customHeight="1">
      <c r="A49" s="951" t="s">
        <v>788</v>
      </c>
      <c r="B49" s="254" t="s">
        <v>131</v>
      </c>
      <c r="C49" s="276" t="e">
        <f ca="1">ROUND((C33+C39+C41+C45)/(1-C40-D41-D45-C48/(1+'数据-取费表'!B42)),0)</f>
        <v>#DIV/0!</v>
      </c>
      <c r="D49" s="276"/>
      <c r="E49" s="276"/>
      <c r="F49" s="308"/>
      <c r="G49" s="278" t="s">
        <v>1070</v>
      </c>
    </row>
    <row r="50" spans="1:7" s="302" customFormat="1" ht="24">
      <c r="A50" s="951" t="s">
        <v>789</v>
      </c>
      <c r="B50" s="254" t="s">
        <v>124</v>
      </c>
      <c r="C50" s="276"/>
      <c r="D50" s="276"/>
      <c r="E50" s="276"/>
      <c r="F50" s="308" t="e">
        <f>IF('数据-取费表'!B24=0,'数据-取费表'!N16,1)</f>
        <v>#DIV/0!</v>
      </c>
      <c r="G50" s="291" t="s">
        <v>125</v>
      </c>
    </row>
    <row r="51" spans="1:7" ht="16.5" customHeight="1">
      <c r="A51" s="951" t="s">
        <v>790</v>
      </c>
      <c r="B51" s="254" t="s">
        <v>132</v>
      </c>
      <c r="C51" s="276" t="e">
        <f ca="1">ROUND(C49*F50,0)</f>
        <v>#DIV/0!</v>
      </c>
      <c r="D51" s="276"/>
      <c r="E51" s="276"/>
      <c r="F51" s="308"/>
      <c r="G51" s="278" t="s">
        <v>64</v>
      </c>
    </row>
    <row r="52" spans="1:7" s="252" customFormat="1" ht="16.8" thickBot="1">
      <c r="A52" s="309" t="s">
        <v>65</v>
      </c>
      <c r="B52" s="310"/>
      <c r="C52" s="311" t="e">
        <f ca="1">C31+C51</f>
        <v>#DIV/0!</v>
      </c>
      <c r="D52" s="310"/>
      <c r="E52" s="310"/>
      <c r="F52" s="310"/>
      <c r="G52" s="312"/>
    </row>
    <row r="55" spans="1:7" ht="15">
      <c r="B55" s="314" t="s">
        <v>66</v>
      </c>
      <c r="C55" s="315"/>
    </row>
    <row r="56" spans="1:7">
      <c r="B56" s="317" t="s">
        <v>67</v>
      </c>
      <c r="C56" s="318" t="e">
        <f ca="1">ROUND(C51/C52,3)</f>
        <v>#DIV/0!</v>
      </c>
    </row>
    <row r="57" spans="1:7">
      <c r="B57" s="317" t="s">
        <v>68</v>
      </c>
      <c r="C57" s="319"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69" t="s">
        <v>156</v>
      </c>
      <c r="B1" s="3269"/>
      <c r="C1" s="3269"/>
      <c r="D1" s="3269"/>
      <c r="E1" s="3269"/>
      <c r="F1" s="326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0" t="s">
        <v>169</v>
      </c>
      <c r="B2" s="3270"/>
      <c r="C2" s="3270"/>
      <c r="D2" s="3270"/>
      <c r="E2" s="3270"/>
      <c r="F2" s="327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69" t="s">
        <v>868</v>
      </c>
      <c r="B1" s="3269"/>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0</v>
      </c>
      <c r="D1" s="1703" t="s">
        <v>1297</v>
      </c>
      <c r="E1" s="1698">
        <f>'数据-取费表'!B22</f>
        <v>0</v>
      </c>
      <c r="F1" s="1703" t="s">
        <v>1298</v>
      </c>
      <c r="G1" s="1699">
        <f ca="1">INDIRECT("d"&amp;$K$1)/100</f>
        <v>0</v>
      </c>
      <c r="H1" s="1703" t="s">
        <v>1328</v>
      </c>
      <c r="I1" s="1699">
        <f ca="1">F4/100</f>
        <v>0</v>
      </c>
      <c r="J1" s="1704">
        <f>IF(C1&gt;C13,0,MATCH(C1,C$13:C$100,-1))+IF(SUMIF(C13:C100,C1,D13:D100)=0,13,12)</f>
        <v>58</v>
      </c>
      <c r="K1" s="1704">
        <f ca="1">MATCH(E1,C3:C7,1)+IF(SUMIF(C3:C7,E1,D3:D7)=0,2,1)</f>
        <v>3</v>
      </c>
      <c r="L1" s="1704">
        <f>IF(C1&gt;M13,0,MATCH(C1,M$13:M$100,-1))+IF(SUMIF(M13:M100,C1,N13:N100)=0,13,12)</f>
        <v>52</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0</v>
      </c>
      <c r="E3" s="1645">
        <v>0.5</v>
      </c>
      <c r="F3" s="1646">
        <f ca="1">INDIRECT("p"&amp;$L$1)</f>
        <v>0</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0</v>
      </c>
      <c r="E4" s="1651">
        <v>1</v>
      </c>
      <c r="F4" s="1652">
        <f ca="1">INDIRECT("q"&amp;$L$1)</f>
        <v>0</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0</v>
      </c>
      <c r="E5" s="1651">
        <v>2</v>
      </c>
      <c r="F5" s="1652">
        <f ca="1">INDIRECT("r"&amp;$L$1)</f>
        <v>0</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0</v>
      </c>
      <c r="E6" s="1651">
        <v>3</v>
      </c>
      <c r="F6" s="1652">
        <f ca="1">INDIRECT("s"&amp;$L$1)</f>
        <v>0</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0</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58" t="str">
        <f>IF(项目基本情况!B9="房地产市场价值","估价结果一览表","结果表-2")</f>
        <v>结果表-2</v>
      </c>
      <c r="B1" s="2958"/>
      <c r="C1" s="2958"/>
      <c r="D1" s="2958"/>
      <c r="E1" s="2958"/>
      <c r="F1" s="2958"/>
      <c r="G1" s="2958"/>
      <c r="H1" s="2958"/>
      <c r="I1" s="2958"/>
    </row>
    <row r="2" spans="1:9" ht="30" customHeight="1" thickTop="1">
      <c r="A2" s="2959" t="s">
        <v>1637</v>
      </c>
      <c r="B2" s="2959" t="s">
        <v>1638</v>
      </c>
      <c r="C2" s="2959" t="s">
        <v>1639</v>
      </c>
      <c r="D2" s="2959" t="str">
        <f>结果表!D116</f>
        <v>出让国有建设用地使用权价值</v>
      </c>
      <c r="E2" s="2959"/>
      <c r="F2" s="2959" t="str">
        <f>结果表!F116</f>
        <v>在建建筑物价值</v>
      </c>
      <c r="G2" s="2959"/>
      <c r="H2" s="2959" t="str">
        <f>IF(项目基本情况!B9="房地产市场价值","房地产市场价值","房地产价值")</f>
        <v>房地产价值</v>
      </c>
      <c r="I2" s="2959"/>
    </row>
    <row r="3" spans="1:9" ht="15.6">
      <c r="A3" s="2960"/>
      <c r="B3" s="2960"/>
      <c r="C3" s="2960"/>
      <c r="D3" s="1047" t="s">
        <v>1634</v>
      </c>
      <c r="E3" s="1047" t="s">
        <v>1640</v>
      </c>
      <c r="F3" s="1047" t="s">
        <v>1634</v>
      </c>
      <c r="G3" s="1047" t="s">
        <v>1635</v>
      </c>
      <c r="H3" s="1047" t="s">
        <v>1634</v>
      </c>
      <c r="I3" s="1047" t="s">
        <v>1635</v>
      </c>
    </row>
    <row r="4" spans="1:9" ht="30">
      <c r="A4" s="1976" t="str">
        <f>项目基本情况!S2</f>
        <v>出让国有建设用地使用权及在建建筑物房地产</v>
      </c>
      <c r="B4" s="1047">
        <f>项目基本情况!C17</f>
        <v>0</v>
      </c>
      <c r="C4" s="1047" t="e">
        <f>项目基本情况!C18</f>
        <v>#DIV/0!</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60" t="s">
        <v>1636</v>
      </c>
      <c r="B5" s="2960"/>
      <c r="C5" s="2960"/>
      <c r="D5" s="2961" t="e">
        <f ca="1">结果表!D119</f>
        <v>#REF!</v>
      </c>
      <c r="E5" s="2961"/>
      <c r="F5" s="2961" t="e">
        <f ca="1">结果表!F119</f>
        <v>#REF!</v>
      </c>
      <c r="G5" s="2961"/>
      <c r="H5" s="2961" t="e">
        <f ca="1">结果表!H119</f>
        <v>#REF!</v>
      </c>
      <c r="I5" s="2961"/>
    </row>
    <row r="6" spans="1:9" ht="15.6">
      <c r="A6" s="2962" t="str">
        <f>结果表!A120</f>
        <v>估价师知悉的法定优先受偿款</v>
      </c>
      <c r="B6" s="2962"/>
      <c r="C6" s="2962"/>
      <c r="D6" s="2962">
        <f>结果表!D120</f>
        <v>0</v>
      </c>
      <c r="E6" s="2962"/>
      <c r="F6" s="2962"/>
      <c r="G6" s="2962"/>
      <c r="H6" s="2962"/>
      <c r="I6" s="2962"/>
    </row>
    <row r="7" spans="1:9" ht="15">
      <c r="A7" s="2960" t="s">
        <v>1636</v>
      </c>
      <c r="B7" s="2960"/>
      <c r="C7" s="2960"/>
      <c r="D7" s="2963" t="str">
        <f>结果表!D121</f>
        <v>零元整</v>
      </c>
      <c r="E7" s="2964"/>
      <c r="F7" s="2964"/>
      <c r="G7" s="2964"/>
      <c r="H7" s="2964"/>
      <c r="I7" s="2965"/>
    </row>
    <row r="8" spans="1:9" ht="15.6">
      <c r="A8" s="2962" t="str">
        <f>结果表!A122</f>
        <v>房地产抵押价值</v>
      </c>
      <c r="B8" s="2962"/>
      <c r="C8" s="2962"/>
      <c r="D8" s="2962" t="e">
        <f ca="1">结果表!D122</f>
        <v>#REF!</v>
      </c>
      <c r="E8" s="2962"/>
      <c r="F8" s="2962"/>
      <c r="G8" s="2962"/>
      <c r="H8" s="2962"/>
      <c r="I8" s="2962"/>
    </row>
    <row r="9" spans="1:9" ht="15">
      <c r="A9" s="2960" t="s">
        <v>1636</v>
      </c>
      <c r="B9" s="2960"/>
      <c r="C9" s="2960"/>
      <c r="D9" s="2961" t="e">
        <f ca="1">结果表!D123</f>
        <v>#REF!</v>
      </c>
      <c r="E9" s="2961"/>
      <c r="F9" s="2961"/>
      <c r="G9" s="2961"/>
      <c r="H9" s="2961"/>
      <c r="I9" s="2961"/>
    </row>
    <row r="10" spans="1:9" ht="15.6">
      <c r="A10" s="2962" t="str">
        <f>结果表!A124</f>
        <v/>
      </c>
      <c r="B10" s="2962"/>
      <c r="C10" s="2962"/>
      <c r="D10" s="2962" t="str">
        <f>结果表!D124</f>
        <v>——</v>
      </c>
      <c r="E10" s="2962"/>
      <c r="F10" s="2962"/>
      <c r="G10" s="2962"/>
      <c r="H10" s="2962"/>
      <c r="I10" s="2962"/>
    </row>
    <row r="11" spans="1:9" ht="15">
      <c r="A11" s="2960" t="s">
        <v>1636</v>
      </c>
      <c r="B11" s="2960"/>
      <c r="C11" s="2960"/>
      <c r="D11" s="2961" t="e">
        <f>结果表!D125</f>
        <v>#VALUE!</v>
      </c>
      <c r="E11" s="2961"/>
      <c r="F11" s="2961"/>
      <c r="G11" s="2961"/>
      <c r="H11" s="2961"/>
      <c r="I11" s="2961"/>
    </row>
    <row r="12" spans="1:9" ht="15.6">
      <c r="A12" s="2962" t="str">
        <f>结果表!A126</f>
        <v/>
      </c>
      <c r="B12" s="2962"/>
      <c r="C12" s="2962"/>
      <c r="D12" s="2962" t="str">
        <f>结果表!D126</f>
        <v>——</v>
      </c>
      <c r="E12" s="2962"/>
      <c r="F12" s="2962"/>
      <c r="G12" s="2962"/>
      <c r="H12" s="2962"/>
      <c r="I12" s="2962"/>
    </row>
    <row r="13" spans="1:9" ht="15.6" thickBot="1">
      <c r="A13" s="2966" t="s">
        <v>1636</v>
      </c>
      <c r="B13" s="2966"/>
      <c r="C13" s="2966"/>
      <c r="D13" s="2967" t="e">
        <f>结果表!D127</f>
        <v>#VALUE!</v>
      </c>
      <c r="E13" s="2967"/>
      <c r="F13" s="2967"/>
      <c r="G13" s="2967"/>
      <c r="H13" s="2967"/>
      <c r="I13" s="2967"/>
    </row>
    <row r="14" spans="1:9" ht="14.4" thickTop="1">
      <c r="A14" s="2968" t="s">
        <v>1641</v>
      </c>
      <c r="B14" s="2968"/>
      <c r="C14" s="2968"/>
      <c r="D14" s="2968"/>
      <c r="E14" s="2968"/>
      <c r="F14" s="2968"/>
      <c r="G14" s="2968"/>
      <c r="H14" s="2968"/>
      <c r="I14" s="2968"/>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69" t="s">
        <v>1658</v>
      </c>
      <c r="B1" s="2969"/>
      <c r="C1" s="2969"/>
      <c r="D1" s="2969"/>
    </row>
    <row r="2" spans="1:4" ht="17.399999999999999">
      <c r="A2" s="2970" t="s">
        <v>1642</v>
      </c>
      <c r="B2" s="2970"/>
      <c r="C2" s="2970"/>
      <c r="D2" s="2970"/>
    </row>
    <row r="3" spans="1:4" ht="17.399999999999999">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7.399999999999999">
      <c r="A6" s="2970" t="s">
        <v>1648</v>
      </c>
      <c r="B6" s="2970"/>
      <c r="C6" s="2970"/>
      <c r="D6" s="2970"/>
    </row>
    <row r="7" spans="1:4" ht="17.399999999999999">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7.399999999999999">
      <c r="A10" s="1987" t="s">
        <v>1650</v>
      </c>
      <c r="B10" s="728"/>
      <c r="C10" s="728"/>
      <c r="D10" s="728"/>
    </row>
    <row r="11" spans="1:4" ht="30" customHeight="1">
      <c r="A11" s="2971" t="s">
        <v>1651</v>
      </c>
      <c r="B11" s="2972"/>
      <c r="C11" s="2972"/>
      <c r="D11" s="2972"/>
    </row>
    <row r="12" spans="1:4" ht="15.6">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3"/>
      <c r="C12" s="2973"/>
      <c r="D12" s="2973"/>
    </row>
    <row r="13" spans="1:4" ht="30" customHeight="1">
      <c r="A13" s="2972" t="str">
        <f>IF(项目基本情况!B8="抵押","3.抵押双方在办理抵押登记手续时，应使用本公司出具的正式《房地产评估报告》，特提醒报告使用者注意。","——")</f>
        <v>——</v>
      </c>
      <c r="B13" s="2973"/>
      <c r="C13" s="2973"/>
      <c r="D13" s="2973"/>
    </row>
    <row r="14" spans="1:4" ht="15.75" customHeight="1">
      <c r="A14" s="2972" t="str">
        <f>IF(项目基本情况!B8="抵押","4.本次评估估价师所知悉的法定优先受偿款情况说明如下：","——")</f>
        <v>——</v>
      </c>
      <c r="B14" s="2973"/>
      <c r="C14" s="2973"/>
      <c r="D14" s="2973"/>
    </row>
    <row r="15" spans="1:4" ht="42" customHeight="1">
      <c r="A15" s="2972" t="str">
        <f>IF(项目基本情况!B8="抵押","（1）"&amp;CONCATENATE(项目基本情况!L20,项目基本情况!L21,项目基本情况!L22),"——")</f>
        <v>——</v>
      </c>
      <c r="B15" s="2972"/>
      <c r="C15" s="2972"/>
      <c r="D15" s="2972"/>
    </row>
    <row r="16" spans="1:4" ht="30" customHeight="1">
      <c r="A16" s="2975" t="s">
        <v>1652</v>
      </c>
      <c r="B16" s="2975"/>
      <c r="C16" s="2975"/>
      <c r="D16" s="2975"/>
    </row>
    <row r="17" spans="1:4" ht="144" customHeight="1">
      <c r="A17" s="2975" t="s">
        <v>1653</v>
      </c>
      <c r="B17" s="2975"/>
      <c r="C17" s="2975"/>
      <c r="D17" s="2975"/>
    </row>
    <row r="18" spans="1:4" ht="15.75" customHeight="1">
      <c r="A18" s="2972" t="str">
        <f>IF(项目基本情况!B8="抵押",结果表!K120,"——")</f>
        <v>——</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2"/>
      <c r="C20" s="2972"/>
      <c r="D20" s="2972"/>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6"/>
      <c r="C21" s="2976"/>
      <c r="D21" s="2976"/>
    </row>
    <row r="22" spans="1:4" ht="18.75" customHeight="1">
      <c r="A22" s="2977" t="s">
        <v>1654</v>
      </c>
      <c r="B22" s="2977"/>
      <c r="C22" s="2977"/>
      <c r="D22" s="2977"/>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74">
        <v>42551</v>
      </c>
      <c r="D31" s="29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2983" t="s">
        <v>1665</v>
      </c>
      <c r="B15" s="2978" t="s">
        <v>136</v>
      </c>
      <c r="C15" s="2979"/>
    </row>
    <row r="16" spans="1:7" ht="14.4">
      <c r="A16" s="2984"/>
      <c r="B16" s="2978" t="s">
        <v>69</v>
      </c>
      <c r="C16" s="2979"/>
    </row>
    <row r="17" spans="1:3" ht="14.4">
      <c r="A17" s="2984"/>
      <c r="B17" s="2981" t="s">
        <v>1666</v>
      </c>
      <c r="C17" s="2003" t="s">
        <v>1665</v>
      </c>
    </row>
    <row r="18" spans="1:3" ht="14.4">
      <c r="A18" s="2984"/>
      <c r="B18" s="2981"/>
      <c r="C18" s="2003" t="s">
        <v>1667</v>
      </c>
    </row>
    <row r="19" spans="1:3" ht="14.4">
      <c r="A19" s="2984"/>
      <c r="B19" s="2981"/>
      <c r="C19" s="2003" t="s">
        <v>1668</v>
      </c>
    </row>
    <row r="20" spans="1:3" ht="14.4">
      <c r="A20" s="2985"/>
      <c r="B20" s="2980" t="s">
        <v>1669</v>
      </c>
      <c r="C20" s="2979"/>
    </row>
    <row r="21" spans="1:3" ht="14.4">
      <c r="A21" s="2004" t="s">
        <v>1670</v>
      </c>
      <c r="B21" s="2005"/>
      <c r="C21" s="2006"/>
    </row>
    <row r="22" spans="1:3" ht="14.4">
      <c r="A22" s="2982" t="s">
        <v>1671</v>
      </c>
      <c r="B22" s="2980" t="s">
        <v>1672</v>
      </c>
      <c r="C22" s="2979"/>
    </row>
    <row r="23" spans="1:3" ht="14.4">
      <c r="A23" s="2982"/>
      <c r="B23" s="2980" t="s">
        <v>1673</v>
      </c>
      <c r="C23" s="2979"/>
    </row>
    <row r="24" spans="1:3" ht="14.4">
      <c r="A24" s="2982"/>
      <c r="B24" s="2980" t="s">
        <v>1674</v>
      </c>
      <c r="C24" s="2979"/>
    </row>
    <row r="25" spans="1:3" ht="14.4">
      <c r="A25" s="2982"/>
      <c r="B25" s="2981" t="s">
        <v>1675</v>
      </c>
      <c r="C25" s="2003" t="s">
        <v>1676</v>
      </c>
    </row>
    <row r="26" spans="1:3" ht="14.4">
      <c r="A26" s="2982"/>
      <c r="B26" s="2981"/>
      <c r="C26" s="2003" t="s">
        <v>1677</v>
      </c>
    </row>
    <row r="27" spans="1:3" ht="14.4">
      <c r="A27" s="2982"/>
      <c r="B27" s="2981"/>
      <c r="C27" s="2003" t="s">
        <v>1678</v>
      </c>
    </row>
    <row r="28" spans="1:3" ht="14.4">
      <c r="A28" s="2982"/>
      <c r="B28" s="2981"/>
      <c r="C28" s="2003" t="s">
        <v>1679</v>
      </c>
    </row>
    <row r="29" spans="1:3" ht="14.4">
      <c r="A29" s="2982"/>
      <c r="B29" s="2981"/>
      <c r="C29" s="2003" t="s">
        <v>1680</v>
      </c>
    </row>
    <row r="30" spans="1:3" ht="14.4">
      <c r="A30" s="2982"/>
      <c r="B30" s="2981"/>
      <c r="C30" s="2003" t="s">
        <v>1681</v>
      </c>
    </row>
    <row r="31" spans="1:3" ht="14.4">
      <c r="A31" s="2982"/>
      <c r="B31" s="2981"/>
      <c r="C31" s="2003" t="s">
        <v>1682</v>
      </c>
    </row>
    <row r="32" spans="1:3" ht="14.4">
      <c r="A32" s="2982"/>
      <c r="B32" s="2981"/>
      <c r="C32" s="2003" t="s">
        <v>1683</v>
      </c>
    </row>
    <row r="33" spans="1:3" ht="14.4">
      <c r="A33" s="2982"/>
      <c r="B33" s="2981"/>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43487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3051</v>
      </c>
      <c r="B14" s="1025">
        <f ca="1">IF(C14&lt;B2,"已过期",1120040230)</f>
        <v>1120040230</v>
      </c>
      <c r="C14" s="2352">
        <v>43835</v>
      </c>
      <c r="D14" s="2355" t="s">
        <v>3051</v>
      </c>
      <c r="E14" s="1025">
        <f ca="1">IF(F14&lt;B2,"已过期",98030020)</f>
        <v>98030020</v>
      </c>
      <c r="F14" s="1033">
        <v>47118</v>
      </c>
    </row>
    <row r="15" spans="1:6" ht="24" customHeight="1">
      <c r="A15" s="1706" t="s">
        <v>3052</v>
      </c>
      <c r="B15" s="1025">
        <f ca="1">IF(C15&lt;B2,"已过期",1120070085)</f>
        <v>1120070085</v>
      </c>
      <c r="C15" s="2352">
        <v>43814</v>
      </c>
      <c r="D15" s="2356" t="s">
        <v>3052</v>
      </c>
      <c r="E15" s="1025">
        <f ca="1">IF(F15&lt;B2,"已过期",2004110128)</f>
        <v>2004110128</v>
      </c>
      <c r="F15" s="1026">
        <v>47118</v>
      </c>
    </row>
    <row r="16" spans="1:6" ht="24" customHeight="1">
      <c r="A16" s="1705" t="s">
        <v>3053</v>
      </c>
      <c r="B16" s="1025">
        <f ca="1">IF(C16&lt;B2,"已过期",1120140022)</f>
        <v>1120140022</v>
      </c>
      <c r="C16" s="2943">
        <v>44029</v>
      </c>
      <c r="D16" s="2355" t="s">
        <v>3053</v>
      </c>
      <c r="E16" s="1025">
        <f ca="1">IF(F16&lt;B2,"已过期",2008110059)</f>
        <v>2008110059</v>
      </c>
      <c r="F16" s="1033">
        <v>47177</v>
      </c>
    </row>
    <row r="17" spans="1:7" ht="24" customHeight="1">
      <c r="A17" s="1705"/>
      <c r="B17" s="1025"/>
      <c r="C17" s="2352"/>
      <c r="D17" s="2355" t="s">
        <v>3054</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6" t="s">
        <v>843</v>
      </c>
      <c r="B25" s="2986"/>
      <c r="C25" s="2986"/>
      <c r="D25" s="2986"/>
      <c r="E25" s="2986"/>
      <c r="F25" s="2986"/>
      <c r="G25" s="2986"/>
    </row>
    <row r="26" spans="1:7" s="1028" customFormat="1" ht="24" customHeight="1">
      <c r="A26" s="2987" t="s">
        <v>844</v>
      </c>
      <c r="B26" s="2987"/>
      <c r="C26" s="2988"/>
      <c r="D26" s="2989" t="s">
        <v>845</v>
      </c>
      <c r="E26" s="2987"/>
      <c r="F26" s="2987"/>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2019-01-22T06:04:34Z</dcterms:modified>
</cp:coreProperties>
</file>