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增城\"/>
    </mc:Choice>
  </mc:AlternateContent>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土地案例" sheetId="69" r:id="rId18"/>
    <sheet name="比较法-住宅、综合" sheetId="39" r:id="rId19"/>
    <sheet name="剩余法-待开发" sheetId="12" r:id="rId20"/>
    <sheet name="剩余法-现房" sheetId="43" state="hidden" r:id="rId21"/>
    <sheet name="信息" sheetId="68"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10" i="12" l="1"/>
  <c r="M19" i="12"/>
  <c r="F20" i="6"/>
  <c r="F19" i="6"/>
  <c r="H7" i="1"/>
  <c r="I13" i="39"/>
  <c r="G13" i="39"/>
  <c r="E13" i="39"/>
  <c r="H23" i="69"/>
  <c r="I40" i="39"/>
  <c r="G40" i="39"/>
  <c r="E40" i="39"/>
  <c r="C40" i="39"/>
  <c r="I48" i="39"/>
  <c r="G48" i="39"/>
  <c r="E48" i="39"/>
  <c r="D73" i="39"/>
  <c r="E73" i="39" s="1"/>
  <c r="F73" i="39" s="1"/>
  <c r="G73" i="39" s="1"/>
  <c r="H73" i="39" s="1"/>
  <c r="I73" i="39" s="1"/>
  <c r="J73" i="39" s="1"/>
  <c r="K73" i="39" s="1"/>
  <c r="L73" i="39" s="1"/>
  <c r="M73" i="39" s="1"/>
  <c r="N73" i="39" s="1"/>
  <c r="I9" i="39"/>
  <c r="G9" i="39"/>
  <c r="E7" i="39"/>
  <c r="E9" i="39"/>
  <c r="H49" i="69"/>
  <c r="H50" i="69"/>
  <c r="H51" i="69"/>
  <c r="H52" i="69"/>
  <c r="H53" i="69"/>
  <c r="H54" i="69"/>
  <c r="H55" i="69"/>
  <c r="H56" i="69"/>
  <c r="H57" i="69"/>
  <c r="H58" i="69"/>
  <c r="H59" i="69"/>
  <c r="H60" i="69"/>
  <c r="H62" i="69"/>
  <c r="H48" i="69"/>
  <c r="F8" i="68"/>
  <c r="N3" i="69" l="1"/>
  <c r="N4" i="69"/>
  <c r="N5" i="69"/>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2" i="69"/>
  <c r="R29" i="69"/>
  <c r="F13" i="68" l="1"/>
  <c r="H3" i="69"/>
  <c r="H4" i="69"/>
  <c r="H5" i="69"/>
  <c r="H6" i="69"/>
  <c r="H7" i="69"/>
  <c r="H8" i="69"/>
  <c r="H9" i="69"/>
  <c r="H10" i="69"/>
  <c r="H11" i="69"/>
  <c r="H12" i="69"/>
  <c r="H13" i="69"/>
  <c r="H14" i="69"/>
  <c r="H15" i="69"/>
  <c r="H16" i="69"/>
  <c r="H17" i="69"/>
  <c r="H18" i="69"/>
  <c r="H19" i="69"/>
  <c r="H20" i="69"/>
  <c r="H21" i="69"/>
  <c r="H22" i="69"/>
  <c r="H24" i="69"/>
  <c r="H25" i="69"/>
  <c r="H26" i="69"/>
  <c r="H27" i="69"/>
  <c r="H28" i="69"/>
  <c r="H29" i="69"/>
  <c r="H30" i="69"/>
  <c r="H31" i="69"/>
  <c r="H32" i="69"/>
  <c r="H33" i="69"/>
  <c r="H34" i="69"/>
  <c r="H35" i="69"/>
  <c r="H36" i="69"/>
  <c r="H37" i="69"/>
  <c r="H38" i="69"/>
  <c r="H39" i="69"/>
  <c r="H40" i="69"/>
  <c r="H41" i="69"/>
  <c r="H42" i="69"/>
  <c r="H43" i="69"/>
  <c r="H44" i="69"/>
  <c r="H2" i="69"/>
  <c r="G22" i="6"/>
  <c r="O13" i="3"/>
  <c r="F21" i="6"/>
  <c r="I13" i="3"/>
  <c r="AD13" i="3"/>
  <c r="K13" i="3"/>
  <c r="C5" i="68"/>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P75" i="15"/>
  <c r="Q74" i="44"/>
  <c r="Q61" i="44"/>
  <c r="Q60" i="44"/>
  <c r="Q53" i="44"/>
  <c r="J51" i="44"/>
  <c r="J52" i="44"/>
  <c r="M48" i="44"/>
  <c r="A16" i="55"/>
  <c r="A15" i="55"/>
  <c r="A14" i="55"/>
  <c r="A11" i="55"/>
  <c r="A10" i="55"/>
  <c r="A9" i="55"/>
  <c r="A8" i="55"/>
  <c r="A6" i="54"/>
  <c r="A8" i="54"/>
  <c r="A7" i="54"/>
  <c r="A27" i="51"/>
  <c r="Q11" i="59"/>
  <c r="O11" i="59"/>
  <c r="N12" i="59"/>
  <c r="O12" i="59"/>
  <c r="P12" i="59"/>
  <c r="Q12" i="59"/>
  <c r="N11" i="59"/>
  <c r="P11"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B9" i="59"/>
  <c r="B8" i="59" s="1"/>
  <c r="B7" i="59" s="1"/>
  <c r="E9" i="59"/>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c r="T9" i="59"/>
  <c r="D9" i="59"/>
  <c r="H1" i="65"/>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64" s="1"/>
  <c r="C56" i="10"/>
  <c r="A26" i="51" s="1"/>
  <c r="B19" i="63" s="1"/>
  <c r="C55" i="10"/>
  <c r="C54" i="10"/>
  <c r="B49" i="63"/>
  <c r="B44" i="63"/>
  <c r="B40" i="63"/>
  <c r="B30" i="63"/>
  <c r="B27" i="63"/>
  <c r="B25" i="63"/>
  <c r="A11" i="51"/>
  <c r="B10" i="63" s="1"/>
  <c r="A26" i="64"/>
  <c r="K39" i="9"/>
  <c r="K40" i="9"/>
  <c r="B58" i="63"/>
  <c r="B53" i="63"/>
  <c r="B51" i="63"/>
  <c r="A46" i="9"/>
  <c r="K41" i="9"/>
  <c r="B8" i="63"/>
  <c r="A21" i="55"/>
  <c r="B71" i="63" s="1"/>
  <c r="A20" i="55"/>
  <c r="B69" i="63" s="1"/>
  <c r="B26" i="63"/>
  <c r="B28" i="63"/>
  <c r="B29" i="63"/>
  <c r="B31" i="63"/>
  <c r="B33" i="63"/>
  <c r="B35" i="63"/>
  <c r="B36" i="63"/>
  <c r="B37" i="63"/>
  <c r="B63" i="63"/>
  <c r="B64" i="63"/>
  <c r="B68" i="63"/>
  <c r="D51" i="10"/>
  <c r="B61" i="63"/>
  <c r="B60" i="63"/>
  <c r="B59" i="63"/>
  <c r="B51" i="10"/>
  <c r="B20" i="63"/>
  <c r="A15" i="51"/>
  <c r="B12" i="63"/>
  <c r="A14" i="51"/>
  <c r="B11" i="63"/>
  <c r="B66" i="63"/>
  <c r="A4" i="55"/>
  <c r="B57" i="63" s="1"/>
  <c r="B41" i="63"/>
  <c r="G5" i="54"/>
  <c r="B34" i="63"/>
  <c r="E5" i="54"/>
  <c r="B32" i="63"/>
  <c r="R2" i="54"/>
  <c r="B24" i="63"/>
  <c r="B49" i="50"/>
  <c r="B5" i="63" s="1"/>
  <c r="B40" i="50"/>
  <c r="B3" i="63" s="1"/>
  <c r="B67" i="63"/>
  <c r="I19" i="46"/>
  <c r="Q13" i="59"/>
  <c r="F13" i="59" s="1"/>
  <c r="P13" i="59"/>
  <c r="O13" i="59"/>
  <c r="C13" i="59" s="1"/>
  <c r="N13" i="59"/>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AA19" i="59" s="1"/>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Y13" i="59"/>
  <c r="Z13" i="59"/>
  <c r="Y3" i="59"/>
  <c r="Z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K16" i="4"/>
  <c r="D72" i="59"/>
  <c r="C71" i="59"/>
  <c r="D71" i="59"/>
  <c r="C63" i="59"/>
  <c r="D63" i="59" s="1"/>
  <c r="D56" i="59"/>
  <c r="O52" i="59"/>
  <c r="D68" i="59"/>
  <c r="C59" i="59"/>
  <c r="D59" i="59" s="1"/>
  <c r="C21" i="59"/>
  <c r="D21" i="59" s="1"/>
  <c r="D20" i="59"/>
  <c r="C49" i="59"/>
  <c r="D49" i="59" s="1"/>
  <c r="D48" i="59"/>
  <c r="C41" i="59"/>
  <c r="D41" i="59" s="1"/>
  <c r="D40" i="59"/>
  <c r="C29" i="59"/>
  <c r="D29" i="59" s="1"/>
  <c r="D28" i="59"/>
  <c r="N16" i="4"/>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K1" i="43" s="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AP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20" i="6"/>
  <c r="D9" i="12" s="1"/>
  <c r="D10" i="12" s="1"/>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s="1"/>
  <c r="C105" i="9" s="1"/>
  <c r="C110"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B5" i="3" s="1"/>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c r="U25" i="37" s="1"/>
  <c r="B110" i="37"/>
  <c r="J39" i="37" s="1"/>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G59" i="34" s="1"/>
  <c r="H59" i="34" s="1"/>
  <c r="I59" i="34" s="1"/>
  <c r="J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c r="C21" i="20"/>
  <c r="B73" i="46" s="1"/>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AC14" i="21" s="1"/>
  <c r="B72" i="21"/>
  <c r="B70" i="21"/>
  <c r="F12" i="21" s="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E9" i="12"/>
  <c r="E10" i="12" s="1"/>
  <c r="G9" i="12"/>
  <c r="K5" i="3"/>
  <c r="J5" i="3"/>
  <c r="BE10" i="3"/>
  <c r="BD13" i="3"/>
  <c r="BD5" i="3" s="1"/>
  <c r="BE13" i="3"/>
  <c r="BF13" i="3"/>
  <c r="BF5" i="3" s="1"/>
  <c r="BG13" i="3"/>
  <c r="BG5" i="3" s="1"/>
  <c r="BH13" i="3"/>
  <c r="BH5" i="3" s="1"/>
  <c r="BI13" i="3"/>
  <c r="BI5" i="3"/>
  <c r="BJ13" i="3"/>
  <c r="BK13" i="3"/>
  <c r="BM13" i="3"/>
  <c r="BM5" i="3" s="1"/>
  <c r="BN13" i="3"/>
  <c r="BL13" i="3" s="1"/>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36" i="33"/>
  <c r="S36" i="33"/>
  <c r="F19" i="33"/>
  <c r="S19" i="33"/>
  <c r="J19" i="33"/>
  <c r="S10" i="21"/>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J31" i="33"/>
  <c r="AC31" i="33" s="1"/>
  <c r="H31" i="33"/>
  <c r="U31" i="33" s="1"/>
  <c r="S31" i="33"/>
  <c r="J45" i="33"/>
  <c r="W45" i="33"/>
  <c r="F45" i="33"/>
  <c r="S45" i="33"/>
  <c r="F11" i="35"/>
  <c r="S11" i="35"/>
  <c r="H28" i="36"/>
  <c r="U28" i="36"/>
  <c r="H32" i="36"/>
  <c r="AB32" i="36"/>
  <c r="J32" i="36"/>
  <c r="J11" i="36"/>
  <c r="H13" i="36"/>
  <c r="AB13" i="36" s="1"/>
  <c r="J13" i="36"/>
  <c r="W13" i="36" s="1"/>
  <c r="F13" i="36"/>
  <c r="S13" i="36" s="1"/>
  <c r="E89" i="37"/>
  <c r="F89" i="37" s="1"/>
  <c r="G89" i="37"/>
  <c r="H89" i="37" s="1"/>
  <c r="I89" i="37" s="1"/>
  <c r="J89" i="37" s="1"/>
  <c r="K89" i="37" s="1"/>
  <c r="L89" i="37" s="1"/>
  <c r="M89" i="37" s="1"/>
  <c r="J29" i="37"/>
  <c r="W29" i="37"/>
  <c r="F29" i="37"/>
  <c r="AA29" i="37"/>
  <c r="F105" i="37"/>
  <c r="AB36" i="37"/>
  <c r="F107" i="37"/>
  <c r="J37" i="37"/>
  <c r="H37" i="37"/>
  <c r="U37" i="37" s="1"/>
  <c r="H40" i="37"/>
  <c r="J40" i="37"/>
  <c r="F40" i="37"/>
  <c r="AA40" i="37"/>
  <c r="H14" i="33"/>
  <c r="U14" i="33"/>
  <c r="F14" i="33"/>
  <c r="AA14" i="33"/>
  <c r="J14" i="33"/>
  <c r="AC14" i="33"/>
  <c r="H30" i="33"/>
  <c r="AB30" i="33"/>
  <c r="F30" i="33"/>
  <c r="S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AA45" i="34" s="1"/>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A38" i="37"/>
  <c r="AB13" i="35"/>
  <c r="U30" i="33"/>
  <c r="J36" i="37"/>
  <c r="AC36" i="37" s="1"/>
  <c r="G105" i="37"/>
  <c r="AB28" i="36"/>
  <c r="AB31" i="21"/>
  <c r="S46" i="21"/>
  <c r="AB30" i="21"/>
  <c r="AA28" i="21"/>
  <c r="W14" i="21"/>
  <c r="W42" i="21"/>
  <c r="S46" i="33"/>
  <c r="U36" i="37"/>
  <c r="AC13" i="36"/>
  <c r="AB45" i="33"/>
  <c r="AB31" i="33"/>
  <c r="AB27" i="33"/>
  <c r="AC28" i="33"/>
  <c r="AB44"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A13" i="33"/>
  <c r="AC45" i="33"/>
  <c r="U19" i="21"/>
  <c r="AA36" i="21"/>
  <c r="S39" i="33"/>
  <c r="F43" i="33"/>
  <c r="AA43" i="33" s="1"/>
  <c r="AA23" i="37"/>
  <c r="AB44" i="33"/>
  <c r="G107" i="37"/>
  <c r="H107" i="37"/>
  <c r="I107" i="37" s="1"/>
  <c r="J107" i="37"/>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s="1"/>
  <c r="G78" i="40" s="1"/>
  <c r="H78" i="40" s="1"/>
  <c r="I78" i="40" s="1"/>
  <c r="J78" i="40" s="1"/>
  <c r="K78" i="40" s="1"/>
  <c r="L78" i="40" s="1"/>
  <c r="M78" i="40" s="1"/>
  <c r="R16" i="4"/>
  <c r="P16" i="4"/>
  <c r="D3" i="35"/>
  <c r="G4" i="4"/>
  <c r="S37" i="34"/>
  <c r="J16" i="35"/>
  <c r="W16" i="35"/>
  <c r="U42" i="21"/>
  <c r="AC26" i="36"/>
  <c r="AZ322" i="3"/>
  <c r="AA36" i="35"/>
  <c r="H11" i="37"/>
  <c r="AB11" i="37"/>
  <c r="AA30" i="33"/>
  <c r="S42" i="33"/>
  <c r="AB17" i="37"/>
  <c r="AZ508" i="3"/>
  <c r="AZ524" i="3"/>
  <c r="AZ546" i="3"/>
  <c r="AA45" i="33"/>
  <c r="AC10" i="36"/>
  <c r="AC14" i="37"/>
  <c r="S25" i="35"/>
  <c r="AC30" i="33"/>
  <c r="W30" i="33"/>
  <c r="AC29" i="37"/>
  <c r="W32" i="36"/>
  <c r="AC32" i="36"/>
  <c r="AB28" i="33"/>
  <c r="J33" i="34"/>
  <c r="AC33"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W35" i="40"/>
  <c r="S33" i="40"/>
  <c r="AB32" i="40"/>
  <c r="AC47" i="39"/>
  <c r="S47" i="39"/>
  <c r="AB25" i="39"/>
  <c r="U37" i="34"/>
  <c r="AB37" i="34"/>
  <c r="AC41" i="40"/>
  <c r="W41" i="40"/>
  <c r="U41" i="40"/>
  <c r="J23" i="40"/>
  <c r="AC23" i="40"/>
  <c r="G92" i="40"/>
  <c r="F23" i="40"/>
  <c r="S23" i="40" s="1"/>
  <c r="AC15" i="40"/>
  <c r="W15" i="40"/>
  <c r="W27" i="39"/>
  <c r="S23" i="39"/>
  <c r="AB16" i="39"/>
  <c r="W14" i="39"/>
  <c r="U23" i="35"/>
  <c r="AB23" i="35"/>
  <c r="H20" i="35"/>
  <c r="F20" i="35"/>
  <c r="S20" i="35"/>
  <c r="H15" i="34"/>
  <c r="AB15" i="34"/>
  <c r="F78" i="34"/>
  <c r="G78" i="34"/>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K11" i="1"/>
  <c r="M11" i="1" s="1"/>
  <c r="B9" i="1"/>
  <c r="E9" i="1" s="1"/>
  <c r="B7" i="1"/>
  <c r="E7" i="1" s="1"/>
  <c r="F6" i="1"/>
  <c r="AP6" i="1" s="1"/>
  <c r="M22" i="44"/>
  <c r="F29" i="12"/>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F28" i="15"/>
  <c r="A18" i="64"/>
  <c r="B74" i="63" s="1"/>
  <c r="C53" i="10"/>
  <c r="A25" i="64" s="1"/>
  <c r="A18" i="51"/>
  <c r="B14" i="63" s="1"/>
  <c r="BA16" i="3"/>
  <c r="BA17" i="3"/>
  <c r="AZ17" i="3"/>
  <c r="I4" i="6"/>
  <c r="G3" i="46" s="1"/>
  <c r="AF11" i="46" s="1"/>
  <c r="AF13" i="46" s="1"/>
  <c r="AZ15" i="3"/>
  <c r="BK5" i="3"/>
  <c r="BO5" i="3"/>
  <c r="BP5" i="3"/>
  <c r="BL18" i="3"/>
  <c r="AZ18" i="3"/>
  <c r="BC5" i="3"/>
  <c r="BR5" i="3"/>
  <c r="G28" i="6" s="1"/>
  <c r="BS5" i="3"/>
  <c r="BQ5" i="3"/>
  <c r="F28" i="6" s="1"/>
  <c r="BL16" i="3"/>
  <c r="BA13" i="3"/>
  <c r="BA5" i="3" s="1"/>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A4" i="51"/>
  <c r="C51" i="10"/>
  <c r="H58" i="46"/>
  <c r="H61" i="46"/>
  <c r="H62" i="46"/>
  <c r="H71" i="46"/>
  <c r="H75" i="46"/>
  <c r="H76"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I20" i="46"/>
  <c r="C20" i="46" s="1"/>
  <c r="B6" i="63"/>
  <c r="L5" i="54"/>
  <c r="B39" i="63"/>
  <c r="K5" i="54"/>
  <c r="B38" i="63"/>
  <c r="T41" i="4"/>
  <c r="A17" i="64"/>
  <c r="B46" i="50"/>
  <c r="B4" i="63"/>
  <c r="J7" i="33"/>
  <c r="W7" i="33" s="1"/>
  <c r="O19" i="46"/>
  <c r="H77" i="46"/>
  <c r="H73" i="46"/>
  <c r="H69" i="46"/>
  <c r="H74" i="46"/>
  <c r="H86" i="46"/>
  <c r="H82" i="46"/>
  <c r="H63" i="46"/>
  <c r="H59" i="46"/>
  <c r="H64" i="46"/>
  <c r="H60" i="46"/>
  <c r="H10" i="48"/>
  <c r="H87" i="46"/>
  <c r="H85" i="46"/>
  <c r="H83" i="46"/>
  <c r="K10" i="1"/>
  <c r="M10" i="1" s="1"/>
  <c r="O10" i="1" s="1"/>
  <c r="P10" i="1" s="1"/>
  <c r="S11" i="1"/>
  <c r="R11" i="1"/>
  <c r="S13" i="1"/>
  <c r="R13" i="1"/>
  <c r="B10" i="1"/>
  <c r="E10" i="1"/>
  <c r="S10" i="1"/>
  <c r="B8" i="1"/>
  <c r="E8" i="1" s="1"/>
  <c r="B12" i="1"/>
  <c r="E12" i="1" s="1"/>
  <c r="S12" i="1"/>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AZ16" i="3"/>
  <c r="H70" i="46"/>
  <c r="H72" i="46"/>
  <c r="A9" i="64"/>
  <c r="A9" i="51"/>
  <c r="B9" i="63" s="1"/>
  <c r="A25" i="51"/>
  <c r="B18" i="63" s="1"/>
  <c r="A3" i="55"/>
  <c r="B56" i="63"/>
  <c r="AC7" i="33"/>
  <c r="V48" i="33" s="1"/>
  <c r="I48" i="33" s="1"/>
  <c r="I52" i="33" s="1"/>
  <c r="J52" i="33" s="1"/>
  <c r="E4" i="4"/>
  <c r="C4" i="4"/>
  <c r="B20" i="55" s="1"/>
  <c r="G66" i="36"/>
  <c r="J18" i="36"/>
  <c r="W18" i="36" s="1"/>
  <c r="AE8" i="1"/>
  <c r="AE7" i="1"/>
  <c r="AE6" i="1"/>
  <c r="AC18" i="36"/>
  <c r="AG6" i="1"/>
  <c r="B21" i="55"/>
  <c r="B72" i="63"/>
  <c r="B70" i="63"/>
  <c r="C45" i="9"/>
  <c r="H14" i="66"/>
  <c r="B7" i="66" s="1"/>
  <c r="C44" i="9"/>
  <c r="G14" i="66" s="1"/>
  <c r="B6" i="66" s="1"/>
  <c r="O40" i="9"/>
  <c r="K31" i="9"/>
  <c r="K32" i="9"/>
  <c r="R7" i="54"/>
  <c r="B52" i="63"/>
  <c r="O39" i="9"/>
  <c r="K29" i="9"/>
  <c r="K30" i="9"/>
  <c r="R6" i="54"/>
  <c r="B50" i="63" s="1"/>
  <c r="N76" i="9"/>
  <c r="C46" i="9"/>
  <c r="K33" i="9"/>
  <c r="K34" i="9" s="1"/>
  <c r="O41" i="9"/>
  <c r="I14" i="66"/>
  <c r="B8" i="66"/>
  <c r="R8" i="54"/>
  <c r="B54" i="63" s="1"/>
  <c r="N6" i="65"/>
  <c r="J5" i="65"/>
  <c r="F12" i="67"/>
  <c r="F10" i="67"/>
  <c r="B8" i="67"/>
  <c r="I4" i="65"/>
  <c r="B12" i="67"/>
  <c r="F13" i="67"/>
  <c r="F14" i="67"/>
  <c r="I5" i="65"/>
  <c r="B9" i="67"/>
  <c r="E10" i="67"/>
  <c r="F9" i="67"/>
  <c r="B11" i="67"/>
  <c r="N7" i="65"/>
  <c r="F8" i="67"/>
  <c r="J3" i="65"/>
  <c r="E14" i="67"/>
  <c r="E11" i="67"/>
  <c r="N3" i="65"/>
  <c r="N5" i="65"/>
  <c r="J4" i="65"/>
  <c r="B10" i="67"/>
  <c r="I3" i="65"/>
  <c r="B14" i="67"/>
  <c r="J7" i="65"/>
  <c r="J6" i="65"/>
  <c r="B13" i="67"/>
  <c r="N4" i="65"/>
  <c r="E8" i="67"/>
  <c r="F11" i="67"/>
  <c r="I6" i="65"/>
  <c r="E12" i="67"/>
  <c r="I7" i="65"/>
  <c r="E13" i="67"/>
  <c r="E9" i="67"/>
  <c r="E32" i="6" l="1"/>
  <c r="L20" i="6" s="1"/>
  <c r="K7" i="1"/>
  <c r="M7" i="1" s="1"/>
  <c r="O7" i="1" s="1"/>
  <c r="P7" i="1" s="1"/>
  <c r="F83" i="39"/>
  <c r="G83" i="39" s="1"/>
  <c r="H83" i="39" s="1"/>
  <c r="I83" i="39" s="1"/>
  <c r="J83" i="39" s="1"/>
  <c r="K83" i="39" s="1"/>
  <c r="L83" i="39" s="1"/>
  <c r="M83" i="39" s="1"/>
  <c r="F13" i="39"/>
  <c r="J13" i="39"/>
  <c r="H13" i="39"/>
  <c r="W10" i="39"/>
  <c r="U10" i="39"/>
  <c r="U40" i="39"/>
  <c r="C6" i="12"/>
  <c r="C24" i="12" s="1"/>
  <c r="G10" i="1"/>
  <c r="K9" i="1"/>
  <c r="M9" i="1" s="1"/>
  <c r="O9" i="1" s="1"/>
  <c r="P9" i="1" s="1"/>
  <c r="AC5" i="3"/>
  <c r="G13" i="3"/>
  <c r="G5" i="3" s="1"/>
  <c r="B3" i="3" s="1"/>
  <c r="E13" i="6"/>
  <c r="E65" i="39" s="1"/>
  <c r="C18" i="9"/>
  <c r="C31" i="39"/>
  <c r="F3" i="35"/>
  <c r="E5" i="6"/>
  <c r="D12" i="11" s="1"/>
  <c r="E540" i="3"/>
  <c r="D86" i="9"/>
  <c r="F32" i="15"/>
  <c r="F59" i="15" s="1"/>
  <c r="F72" i="9"/>
  <c r="M18" i="15"/>
  <c r="D96" i="9"/>
  <c r="F30" i="44"/>
  <c r="M20" i="44"/>
  <c r="F70" i="9"/>
  <c r="F27" i="43"/>
  <c r="C12" i="11"/>
  <c r="D24" i="15"/>
  <c r="G21" i="43"/>
  <c r="G27" i="12"/>
  <c r="D24" i="44"/>
  <c r="G22" i="43"/>
  <c r="D23" i="15"/>
  <c r="G9" i="1"/>
  <c r="G8" i="1"/>
  <c r="BL5" i="3"/>
  <c r="BN5" i="3"/>
  <c r="G29" i="6" s="1"/>
  <c r="E12" i="6"/>
  <c r="E64" i="39" s="1"/>
  <c r="F29" i="6"/>
  <c r="G1" i="15"/>
  <c r="K1" i="12"/>
  <c r="K6" i="1"/>
  <c r="M6" i="1" s="1"/>
  <c r="O6" i="1" s="1"/>
  <c r="P6" i="1" s="1"/>
  <c r="B6" i="1"/>
  <c r="E6" i="1" s="1"/>
  <c r="G1" i="44"/>
  <c r="E171" i="3"/>
  <c r="E82" i="3"/>
  <c r="F30" i="6"/>
  <c r="E29" i="6"/>
  <c r="K15" i="1" s="1"/>
  <c r="E495" i="3"/>
  <c r="E134" i="3"/>
  <c r="E32" i="3"/>
  <c r="E541" i="3"/>
  <c r="E532" i="3"/>
  <c r="E546" i="3"/>
  <c r="E458" i="3"/>
  <c r="E259" i="3"/>
  <c r="E97" i="3"/>
  <c r="E311" i="3"/>
  <c r="AG11" i="46"/>
  <c r="AG13" i="46" s="1"/>
  <c r="M101" i="46"/>
  <c r="M107" i="46" s="1"/>
  <c r="E23" i="3"/>
  <c r="E270" i="3"/>
  <c r="E161" i="3"/>
  <c r="AD6" i="3"/>
  <c r="Z6" i="3"/>
  <c r="E223" i="3"/>
  <c r="E317" i="3"/>
  <c r="E444" i="3"/>
  <c r="E136" i="3"/>
  <c r="E332" i="3"/>
  <c r="E445" i="3"/>
  <c r="AJ11" i="46"/>
  <c r="AJ13" i="46" s="1"/>
  <c r="Y11" i="46"/>
  <c r="Y13" i="46" s="1"/>
  <c r="AC11" i="46"/>
  <c r="AC13" i="46" s="1"/>
  <c r="H101" i="46"/>
  <c r="H109" i="46" s="1"/>
  <c r="D101" i="46"/>
  <c r="D106" i="46" s="1"/>
  <c r="G22" i="46"/>
  <c r="AZ13" i="3"/>
  <c r="E318" i="3"/>
  <c r="E341" i="3"/>
  <c r="E542" i="3"/>
  <c r="E515" i="3"/>
  <c r="E518" i="3"/>
  <c r="E338" i="3"/>
  <c r="E181" i="3"/>
  <c r="E284" i="3"/>
  <c r="E320" i="3"/>
  <c r="E286" i="3"/>
  <c r="E502" i="3"/>
  <c r="E150" i="3"/>
  <c r="E331" i="3"/>
  <c r="E72" i="3"/>
  <c r="E513" i="3"/>
  <c r="AR6" i="3"/>
  <c r="E248" i="3"/>
  <c r="E527" i="3"/>
  <c r="E25" i="3"/>
  <c r="E79" i="3"/>
  <c r="E48" i="3"/>
  <c r="E60" i="3"/>
  <c r="E57" i="3"/>
  <c r="E146" i="3"/>
  <c r="E124" i="3"/>
  <c r="E278" i="3"/>
  <c r="E381" i="3"/>
  <c r="I101" i="46"/>
  <c r="I105" i="46" s="1"/>
  <c r="E22" i="46"/>
  <c r="AE11" i="46"/>
  <c r="E8" i="6"/>
  <c r="E58" i="39" s="1"/>
  <c r="E60" i="40"/>
  <c r="E10" i="6"/>
  <c r="E11" i="6"/>
  <c r="E15" i="6"/>
  <c r="E14" i="6"/>
  <c r="G12" i="1"/>
  <c r="G11" i="1"/>
  <c r="G13" i="1"/>
  <c r="L16" i="4"/>
  <c r="K17" i="4" s="1"/>
  <c r="A22" i="51" s="1"/>
  <c r="B16" i="63" s="1"/>
  <c r="M105" i="46"/>
  <c r="G6" i="1"/>
  <c r="C67" i="40"/>
  <c r="D65" i="40"/>
  <c r="C25" i="12"/>
  <c r="C28" i="15"/>
  <c r="C27" i="43"/>
  <c r="C31" i="43"/>
  <c r="E14" i="52"/>
  <c r="H7" i="33"/>
  <c r="F7" i="33"/>
  <c r="C30" i="44"/>
  <c r="C7" i="21"/>
  <c r="C58" i="21" s="1"/>
  <c r="C7" i="35"/>
  <c r="C48" i="35" s="1"/>
  <c r="D48" i="35" s="1"/>
  <c r="E48" i="35" s="1"/>
  <c r="F48" i="35" s="1"/>
  <c r="G48" i="35" s="1"/>
  <c r="H48" i="35" s="1"/>
  <c r="C7" i="37"/>
  <c r="C52" i="37" s="1"/>
  <c r="D52" i="37" s="1"/>
  <c r="C9" i="39"/>
  <c r="C70" i="39" s="1"/>
  <c r="K59" i="34"/>
  <c r="L59" i="34" s="1"/>
  <c r="M59" i="34" s="1"/>
  <c r="N59" i="34" s="1"/>
  <c r="O59" i="34" s="1"/>
  <c r="H7" i="34"/>
  <c r="F46" i="36"/>
  <c r="M102" i="46"/>
  <c r="N69" i="9"/>
  <c r="E52" i="37"/>
  <c r="G30" i="6"/>
  <c r="G31" i="6" s="1"/>
  <c r="E28" i="6"/>
  <c r="E413" i="3"/>
  <c r="M6" i="3"/>
  <c r="E241" i="3"/>
  <c r="E69" i="3"/>
  <c r="E446" i="3"/>
  <c r="E152" i="3"/>
  <c r="E437" i="3"/>
  <c r="E46" i="3"/>
  <c r="E221" i="3"/>
  <c r="E457" i="3"/>
  <c r="E31" i="3"/>
  <c r="X6" i="3"/>
  <c r="E376" i="3"/>
  <c r="E387" i="3"/>
  <c r="E294" i="3"/>
  <c r="R6" i="3"/>
  <c r="E21" i="3"/>
  <c r="E125" i="3"/>
  <c r="E64" i="3"/>
  <c r="AH6" i="3"/>
  <c r="E140" i="3"/>
  <c r="P6" i="3"/>
  <c r="E84" i="3"/>
  <c r="AP6" i="3"/>
  <c r="E431" i="3"/>
  <c r="E70" i="3"/>
  <c r="E38" i="3"/>
  <c r="E151" i="3"/>
  <c r="E313" i="3"/>
  <c r="E53" i="3"/>
  <c r="E405" i="3"/>
  <c r="W6"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H22" i="46"/>
  <c r="AB11" i="46"/>
  <c r="AB13" i="46" s="1"/>
  <c r="AI11" i="46"/>
  <c r="AA11" i="46"/>
  <c r="C23" i="46"/>
  <c r="C21" i="46" s="1"/>
  <c r="AH11" i="46"/>
  <c r="AH13" i="46" s="1"/>
  <c r="AD11" i="46"/>
  <c r="AD13" i="46" s="1"/>
  <c r="Z11" i="46"/>
  <c r="Z13" i="46" s="1"/>
  <c r="F101" i="46"/>
  <c r="N101" i="46"/>
  <c r="K101" i="46"/>
  <c r="Z7" i="46"/>
  <c r="E101" i="46"/>
  <c r="F22" i="46"/>
  <c r="L101" i="46"/>
  <c r="N104" i="45"/>
  <c r="B113" i="46"/>
  <c r="J101" i="46"/>
  <c r="G101" i="46"/>
  <c r="C101" i="46"/>
  <c r="J22" i="46"/>
  <c r="O11" i="1"/>
  <c r="P11" i="1" s="1"/>
  <c r="F7" i="34"/>
  <c r="U25" i="33"/>
  <c r="AA10" i="35"/>
  <c r="S10" i="35"/>
  <c r="AZ492" i="3"/>
  <c r="AZ516" i="3"/>
  <c r="AZ493" i="3"/>
  <c r="AA27" i="37"/>
  <c r="S27" i="37"/>
  <c r="U35" i="35"/>
  <c r="AB35" i="35"/>
  <c r="AC35" i="35"/>
  <c r="W35" i="35"/>
  <c r="U45" i="34"/>
  <c r="AB45" i="34"/>
  <c r="AC46" i="33"/>
  <c r="W46" i="33"/>
  <c r="AC44" i="33"/>
  <c r="W44" i="33"/>
  <c r="U40" i="37"/>
  <c r="AB40" i="37"/>
  <c r="AC37" i="37"/>
  <c r="W37" i="37"/>
  <c r="W11" i="36"/>
  <c r="AC11" i="36"/>
  <c r="AA45" i="21"/>
  <c r="S45" i="21"/>
  <c r="AB46" i="21"/>
  <c r="U46" i="21"/>
  <c r="AB28" i="21"/>
  <c r="U28" i="21"/>
  <c r="W24" i="35"/>
  <c r="AC24" i="35"/>
  <c r="D5" i="46"/>
  <c r="AC14" i="40"/>
  <c r="F71" i="9"/>
  <c r="F66" i="9"/>
  <c r="P72" i="9" s="1"/>
  <c r="AZ299" i="3"/>
  <c r="AZ377" i="3"/>
  <c r="S36" i="37"/>
  <c r="AA36" i="37"/>
  <c r="W41" i="34"/>
  <c r="AC41" i="34"/>
  <c r="AZ488" i="3"/>
  <c r="AZ520" i="3"/>
  <c r="AZ544" i="3"/>
  <c r="AZ558" i="3"/>
  <c r="AZ562" i="3"/>
  <c r="AC25" i="35"/>
  <c r="W25" i="35"/>
  <c r="AC31" i="34"/>
  <c r="W31" i="34"/>
  <c r="W29" i="33"/>
  <c r="AC29" i="33"/>
  <c r="S27" i="33"/>
  <c r="AA27" i="33"/>
  <c r="U13" i="21"/>
  <c r="AB13" i="21"/>
  <c r="U14" i="21"/>
  <c r="AB14" i="21"/>
  <c r="H5" i="3"/>
  <c r="AZ392" i="3"/>
  <c r="AZ397" i="3"/>
  <c r="AZ408" i="3"/>
  <c r="AZ413" i="3"/>
  <c r="AB36" i="34"/>
  <c r="U32" i="33"/>
  <c r="AB16" i="35"/>
  <c r="AC33" i="21"/>
  <c r="AC37" i="33"/>
  <c r="S19" i="21"/>
  <c r="J30" i="21"/>
  <c r="F30" i="21"/>
  <c r="S22" i="35"/>
  <c r="W40" i="33"/>
  <c r="S38" i="33"/>
  <c r="U9" i="21"/>
  <c r="W33" i="33"/>
  <c r="U33" i="33"/>
  <c r="W39" i="34"/>
  <c r="H12" i="21"/>
  <c r="F34" i="35"/>
  <c r="H34" i="35"/>
  <c r="AZ421" i="3"/>
  <c r="AZ435" i="3"/>
  <c r="AZ440" i="3"/>
  <c r="AZ453" i="3"/>
  <c r="AZ460" i="3"/>
  <c r="AZ464" i="3"/>
  <c r="AZ476" i="3"/>
  <c r="AZ480" i="3"/>
  <c r="AZ368" i="3"/>
  <c r="AZ384" i="3"/>
  <c r="AZ386" i="3"/>
  <c r="AZ218" i="3"/>
  <c r="AZ234" i="3"/>
  <c r="AZ250" i="3"/>
  <c r="AZ266" i="3"/>
  <c r="AZ277" i="3"/>
  <c r="AZ280" i="3"/>
  <c r="AZ117" i="3"/>
  <c r="A30" i="51"/>
  <c r="B22" i="63" s="1"/>
  <c r="A30" i="64"/>
  <c r="AZ416" i="3"/>
  <c r="AZ206" i="3"/>
  <c r="AZ210" i="3"/>
  <c r="AZ222" i="3"/>
  <c r="AZ226" i="3"/>
  <c r="AZ238" i="3"/>
  <c r="AZ242" i="3"/>
  <c r="AZ254" i="3"/>
  <c r="AZ258" i="3"/>
  <c r="AZ269" i="3"/>
  <c r="AZ272" i="3"/>
  <c r="AZ285" i="3"/>
  <c r="AZ288" i="3"/>
  <c r="AZ296" i="3"/>
  <c r="AZ129" i="3"/>
  <c r="AZ132" i="3"/>
  <c r="AZ145" i="3"/>
  <c r="AZ148" i="3"/>
  <c r="AZ25" i="3"/>
  <c r="AZ30" i="3"/>
  <c r="AZ41" i="3"/>
  <c r="AZ46" i="3"/>
  <c r="AZ52" i="3"/>
  <c r="AZ54" i="3"/>
  <c r="AZ64" i="3"/>
  <c r="AZ69" i="3"/>
  <c r="AZ80" i="3"/>
  <c r="AZ89" i="3"/>
  <c r="AZ100" i="3"/>
  <c r="AZ105" i="3"/>
  <c r="D1" i="57"/>
  <c r="E10" i="57" s="1"/>
  <c r="C36" i="59"/>
  <c r="D35" i="59"/>
  <c r="Q51" i="59"/>
  <c r="Q50" i="59"/>
  <c r="D51" i="59"/>
  <c r="O51" i="59"/>
  <c r="O50" i="59"/>
  <c r="C32" i="59"/>
  <c r="D32" i="59" s="1"/>
  <c r="D31" i="59"/>
  <c r="C44" i="59"/>
  <c r="D43" i="59"/>
  <c r="E51" i="59"/>
  <c r="P52" i="59"/>
  <c r="D13" i="59"/>
  <c r="T13" i="59"/>
  <c r="C12" i="59"/>
  <c r="F12" i="59"/>
  <c r="F11" i="59" s="1"/>
  <c r="V13" i="59"/>
  <c r="Y9" i="59"/>
  <c r="Z9" i="59" s="1"/>
  <c r="X8" i="59"/>
  <c r="Y6" i="59"/>
  <c r="Z6" i="59" s="1"/>
  <c r="AB6" i="59"/>
  <c r="B54" i="46"/>
  <c r="C27" i="40"/>
  <c r="S27" i="40"/>
  <c r="S21" i="34"/>
  <c r="S18" i="35"/>
  <c r="D52" i="59"/>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X20" i="59"/>
  <c r="AA20" i="59"/>
  <c r="X21" i="59"/>
  <c r="AA21" i="59"/>
  <c r="B23" i="59"/>
  <c r="B24" i="59" s="1"/>
  <c r="B25" i="59" s="1"/>
  <c r="S25" i="59" s="1"/>
  <c r="C23" i="59"/>
  <c r="AA22" i="59"/>
  <c r="Y23" i="59"/>
  <c r="Z23" i="59" s="1"/>
  <c r="B52" i="59"/>
  <c r="B13" i="59"/>
  <c r="X9" i="59"/>
  <c r="AA9" i="59"/>
  <c r="E13" i="59"/>
  <c r="C7" i="59"/>
  <c r="D7" i="59" s="1"/>
  <c r="D8" i="59"/>
  <c r="AB9" i="59"/>
  <c r="AA8" i="59"/>
  <c r="AA7" i="59"/>
  <c r="A28" i="51"/>
  <c r="Y8" i="59"/>
  <c r="Z8" i="59" s="1"/>
  <c r="AB8" i="59"/>
  <c r="X7" i="59"/>
  <c r="X6" i="59"/>
  <c r="X5" i="59"/>
  <c r="AA6" i="59"/>
  <c r="AA5" i="59"/>
  <c r="AA12" i="46"/>
  <c r="AE12" i="46"/>
  <c r="AI12" i="46"/>
  <c r="Y7" i="59"/>
  <c r="Z7" i="59" s="1"/>
  <c r="AB7" i="59"/>
  <c r="Y5" i="59"/>
  <c r="Z5" i="59" s="1"/>
  <c r="AB5" i="5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4" i="65"/>
  <c r="B39" i="1" s="1"/>
  <c r="I1" i="65"/>
  <c r="J1" i="65"/>
  <c r="E20" i="46"/>
  <c r="E17" i="52"/>
  <c r="E11" i="52"/>
  <c r="E15" i="52"/>
  <c r="E13" i="52"/>
  <c r="B14" i="52"/>
  <c r="E8" i="52"/>
  <c r="E16" i="52"/>
  <c r="B5" i="52"/>
  <c r="B9" i="52"/>
  <c r="B16" i="52"/>
  <c r="B8" i="52"/>
  <c r="B13" i="52"/>
  <c r="E10" i="52"/>
  <c r="E21" i="52"/>
  <c r="M17" i="15"/>
  <c r="F58" i="15"/>
  <c r="F31" i="15"/>
  <c r="F33" i="44"/>
  <c r="M19" i="44"/>
  <c r="M26" i="15"/>
  <c r="M24" i="15"/>
  <c r="F6" i="15"/>
  <c r="F37" i="15"/>
  <c r="M9" i="15"/>
  <c r="L47" i="15"/>
  <c r="F42" i="15"/>
  <c r="F9" i="15"/>
  <c r="M28" i="15"/>
  <c r="M8" i="15"/>
  <c r="F26" i="15"/>
  <c r="M6" i="15"/>
  <c r="F36" i="15"/>
  <c r="F7" i="15"/>
  <c r="J36" i="15"/>
  <c r="M23" i="44"/>
  <c r="M30" i="44"/>
  <c r="F37" i="44"/>
  <c r="F40" i="44"/>
  <c r="L49" i="44"/>
  <c r="C19" i="44"/>
  <c r="F18" i="44"/>
  <c r="J17" i="44"/>
  <c r="F39" i="44"/>
  <c r="M31" i="44"/>
  <c r="M26" i="44"/>
  <c r="F28" i="44"/>
  <c r="F45" i="44"/>
  <c r="M24" i="44"/>
  <c r="E2" i="65"/>
  <c r="M23" i="15"/>
  <c r="F43" i="15"/>
  <c r="F41" i="15"/>
  <c r="F40" i="15"/>
  <c r="F38" i="15"/>
  <c r="F8" i="15"/>
  <c r="M22" i="15"/>
  <c r="M27" i="15"/>
  <c r="F16" i="15"/>
  <c r="F35" i="15"/>
  <c r="F13" i="15"/>
  <c r="M21" i="15"/>
  <c r="M29" i="15"/>
  <c r="J15" i="15"/>
  <c r="L48" i="15"/>
  <c r="F15" i="44"/>
  <c r="F8" i="44"/>
  <c r="M10" i="44"/>
  <c r="F11" i="44"/>
  <c r="F38" i="44"/>
  <c r="L48" i="44"/>
  <c r="F9" i="44"/>
  <c r="F10" i="44"/>
  <c r="M25" i="44"/>
  <c r="M11" i="44"/>
  <c r="F43" i="44"/>
  <c r="M28" i="44"/>
  <c r="M29" i="44"/>
  <c r="M8" i="44"/>
  <c r="F46" i="44"/>
  <c r="E3" i="65"/>
  <c r="AA13" i="39" l="1"/>
  <c r="S13" i="39"/>
  <c r="AB13" i="39"/>
  <c r="U13" i="39"/>
  <c r="AC13" i="39"/>
  <c r="W13" i="39"/>
  <c r="C29" i="12"/>
  <c r="C15" i="12"/>
  <c r="H103" i="46"/>
  <c r="E411" i="3"/>
  <c r="E500" i="3"/>
  <c r="E366" i="3"/>
  <c r="E234" i="3"/>
  <c r="E544" i="3"/>
  <c r="E276" i="3"/>
  <c r="E352" i="3"/>
  <c r="E525" i="3"/>
  <c r="O6" i="3"/>
  <c r="E194" i="3"/>
  <c r="E519" i="3"/>
  <c r="E344" i="3"/>
  <c r="E353" i="3"/>
  <c r="AI6" i="3"/>
  <c r="E479" i="3"/>
  <c r="E447" i="3"/>
  <c r="E390" i="3"/>
  <c r="E252" i="3"/>
  <c r="E496" i="3"/>
  <c r="E335" i="3"/>
  <c r="E354" i="3"/>
  <c r="E50" i="3"/>
  <c r="E554" i="3"/>
  <c r="E239" i="3"/>
  <c r="E477" i="3"/>
  <c r="E43" i="3"/>
  <c r="E257" i="3"/>
  <c r="Q6" i="3"/>
  <c r="E99" i="3"/>
  <c r="E296" i="3"/>
  <c r="E443" i="3"/>
  <c r="E557" i="3"/>
  <c r="E346" i="3"/>
  <c r="E328" i="3"/>
  <c r="E130" i="3"/>
  <c r="E340" i="3"/>
  <c r="E483" i="3"/>
  <c r="E208" i="3"/>
  <c r="E56" i="3"/>
  <c r="E15" i="3"/>
  <c r="AJ6" i="3"/>
  <c r="E456" i="3"/>
  <c r="E491" i="3"/>
  <c r="E29" i="3"/>
  <c r="E87" i="3"/>
  <c r="E242" i="3"/>
  <c r="E96" i="3"/>
  <c r="E308" i="3"/>
  <c r="E196" i="3"/>
  <c r="E207" i="3"/>
  <c r="E166" i="3"/>
  <c r="E289" i="3"/>
  <c r="E119" i="3"/>
  <c r="E547" i="3"/>
  <c r="E262" i="3"/>
  <c r="E424" i="3"/>
  <c r="E492" i="3"/>
  <c r="E337" i="3"/>
  <c r="E265" i="3"/>
  <c r="E283" i="3"/>
  <c r="E535" i="3"/>
  <c r="E41" i="3"/>
  <c r="E471" i="3"/>
  <c r="E418" i="3"/>
  <c r="E408" i="3"/>
  <c r="E92" i="3"/>
  <c r="E238" i="3"/>
  <c r="E414" i="3"/>
  <c r="E44" i="3"/>
  <c r="E202" i="3"/>
  <c r="E472" i="3"/>
  <c r="E127" i="3"/>
  <c r="E266" i="3"/>
  <c r="E215" i="3"/>
  <c r="E103" i="3"/>
  <c r="E200" i="3"/>
  <c r="E62" i="3"/>
  <c r="E389" i="3"/>
  <c r="E230" i="3"/>
  <c r="E143" i="3"/>
  <c r="E441" i="3"/>
  <c r="E367" i="3"/>
  <c r="E415" i="3"/>
  <c r="E80" i="3"/>
  <c r="E28" i="3"/>
  <c r="E141" i="3"/>
  <c r="E168" i="3"/>
  <c r="E34" i="3"/>
  <c r="E407" i="3"/>
  <c r="E236" i="3"/>
  <c r="E531" i="3"/>
  <c r="E101" i="3"/>
  <c r="E350" i="3"/>
  <c r="E176" i="3"/>
  <c r="E113" i="3"/>
  <c r="E523" i="3"/>
  <c r="E330" i="3"/>
  <c r="E474" i="3"/>
  <c r="E128" i="3"/>
  <c r="E370" i="3"/>
  <c r="AE6" i="3"/>
  <c r="E263" i="3"/>
  <c r="E250" i="3"/>
  <c r="E155" i="3"/>
  <c r="E521" i="3"/>
  <c r="E485" i="3"/>
  <c r="E251" i="3"/>
  <c r="E569" i="3"/>
  <c r="E256" i="3"/>
  <c r="E133" i="3"/>
  <c r="E416" i="3"/>
  <c r="E449" i="3"/>
  <c r="E425" i="3"/>
  <c r="E33" i="3"/>
  <c r="E164" i="3"/>
  <c r="E158" i="3"/>
  <c r="AO6" i="3"/>
  <c r="AN6" i="3"/>
  <c r="E59" i="3"/>
  <c r="E464" i="3"/>
  <c r="E209" i="3"/>
  <c r="E450" i="3"/>
  <c r="AA6" i="3"/>
  <c r="E299" i="3"/>
  <c r="E548" i="3"/>
  <c r="E454" i="3"/>
  <c r="AK6" i="3"/>
  <c r="E205" i="3"/>
  <c r="E478" i="3"/>
  <c r="E357" i="3"/>
  <c r="AS6" i="3"/>
  <c r="E383" i="3"/>
  <c r="E247" i="3"/>
  <c r="E568" i="3"/>
  <c r="E539" i="3"/>
  <c r="E245" i="3"/>
  <c r="E52" i="3"/>
  <c r="E451" i="3"/>
  <c r="I6"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AF6" i="3"/>
  <c r="E290" i="3"/>
  <c r="E281" i="3"/>
  <c r="E198" i="3"/>
  <c r="E51" i="3"/>
  <c r="E466" i="3"/>
  <c r="Y6" i="3"/>
  <c r="E211" i="3"/>
  <c r="E126" i="3"/>
  <c r="E73" i="3"/>
  <c r="E305" i="3"/>
  <c r="U6" i="3"/>
  <c r="E102" i="3"/>
  <c r="E401" i="3"/>
  <c r="E363" i="3"/>
  <c r="E438" i="3"/>
  <c r="J6" i="3"/>
  <c r="E75" i="3"/>
  <c r="E426" i="3"/>
  <c r="E463" i="3"/>
  <c r="E552" i="3"/>
  <c r="E77" i="3"/>
  <c r="E430" i="3"/>
  <c r="E222" i="3"/>
  <c r="E83" i="3"/>
  <c r="E104" i="3"/>
  <c r="E193" i="3"/>
  <c r="E49" i="3"/>
  <c r="E156" i="3"/>
  <c r="E476" i="3"/>
  <c r="E86"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09" i="3"/>
  <c r="E369" i="3"/>
  <c r="E243" i="3"/>
  <c r="E264" i="3"/>
  <c r="E154" i="3"/>
  <c r="E543" i="3"/>
  <c r="E465" i="3"/>
  <c r="E486" i="3"/>
  <c r="E372" i="3"/>
  <c r="E214" i="3"/>
  <c r="E116" i="3"/>
  <c r="E67" i="3"/>
  <c r="E429" i="3"/>
  <c r="E467" i="3"/>
  <c r="L6" i="3"/>
  <c r="AT6" i="3"/>
  <c r="E275" i="3"/>
  <c r="E303" i="3"/>
  <c r="E507" i="3"/>
  <c r="E37" i="3"/>
  <c r="E189" i="3"/>
  <c r="E293" i="3"/>
  <c r="E469" i="3"/>
  <c r="E412" i="3"/>
  <c r="E27" i="3"/>
  <c r="E148" i="3"/>
  <c r="E185" i="3"/>
  <c r="E109" i="3"/>
  <c r="E468" i="3"/>
  <c r="E410" i="3"/>
  <c r="E142" i="3"/>
  <c r="E343" i="3"/>
  <c r="E435" i="3"/>
  <c r="E452" i="3"/>
  <c r="E423" i="3"/>
  <c r="E54" i="3"/>
  <c r="E199" i="3"/>
  <c r="E537" i="3"/>
  <c r="E225" i="3"/>
  <c r="E253" i="3"/>
  <c r="E187" i="3"/>
  <c r="E321" i="3"/>
  <c r="E391" i="3"/>
  <c r="E195" i="3"/>
  <c r="E359" i="3"/>
  <c r="E115" i="3"/>
  <c r="E91" i="3"/>
  <c r="E333" i="3"/>
  <c r="E132" i="3"/>
  <c r="E206" i="3"/>
  <c r="E421" i="3"/>
  <c r="E475" i="3"/>
  <c r="E297" i="3"/>
  <c r="E395" i="3"/>
  <c r="E427" i="3"/>
  <c r="E94" i="3"/>
  <c r="E388" i="3"/>
  <c r="E434" i="3"/>
  <c r="E292" i="3"/>
  <c r="E178" i="3"/>
  <c r="E455" i="3"/>
  <c r="E272" i="3"/>
  <c r="E291" i="3"/>
  <c r="E365" i="3"/>
  <c r="E336" i="3"/>
  <c r="E65" i="3"/>
  <c r="E345" i="3"/>
  <c r="E440" i="3"/>
  <c r="E362" i="3"/>
  <c r="E314" i="3"/>
  <c r="E489" i="3"/>
  <c r="E183" i="3"/>
  <c r="E45" i="3"/>
  <c r="E42" i="3"/>
  <c r="E269" i="3"/>
  <c r="E562" i="3"/>
  <c r="E167" i="3"/>
  <c r="E494" i="3"/>
  <c r="E254" i="3"/>
  <c r="E316" i="3"/>
  <c r="E380" i="3"/>
  <c r="E556" i="3"/>
  <c r="E139" i="3"/>
  <c r="E85" i="3"/>
  <c r="E550" i="3"/>
  <c r="E179" i="3"/>
  <c r="E399" i="3"/>
  <c r="E520" i="3"/>
  <c r="E327" i="3"/>
  <c r="E534" i="3"/>
  <c r="E157" i="3"/>
  <c r="E280" i="3"/>
  <c r="AM6" i="3"/>
  <c r="E274" i="3"/>
  <c r="E204" i="3"/>
  <c r="E160" i="3"/>
  <c r="E319" i="3"/>
  <c r="E122" i="3"/>
  <c r="E461" i="3"/>
  <c r="E78" i="3"/>
  <c r="E258" i="3"/>
  <c r="K6" i="3"/>
  <c r="E138" i="3"/>
  <c r="E526" i="3"/>
  <c r="E13" i="3"/>
  <c r="E186" i="3"/>
  <c r="D18" i="9"/>
  <c r="M44" i="9" s="1"/>
  <c r="M43" i="9"/>
  <c r="Q16" i="1"/>
  <c r="F33" i="12" s="1"/>
  <c r="C34" i="12" s="1"/>
  <c r="D33" i="12" s="1"/>
  <c r="H16" i="1"/>
  <c r="C15" i="43"/>
  <c r="D21" i="12"/>
  <c r="C21" i="12" s="1"/>
  <c r="E59" i="40"/>
  <c r="L19" i="6"/>
  <c r="L27" i="6" s="1"/>
  <c r="F24" i="43"/>
  <c r="C26" i="43" s="1"/>
  <c r="D24" i="43" s="1"/>
  <c r="M106" i="46"/>
  <c r="I103" i="46"/>
  <c r="G16" i="1"/>
  <c r="J12" i="39" s="1"/>
  <c r="AC12" i="39" s="1"/>
  <c r="AP16" i="1"/>
  <c r="F22" i="11" s="1"/>
  <c r="Q72" i="15"/>
  <c r="I54" i="15"/>
  <c r="J53" i="15"/>
  <c r="Q53" i="15" s="1"/>
  <c r="J57" i="15"/>
  <c r="J55" i="15" s="1"/>
  <c r="J58" i="15" s="1"/>
  <c r="Q51" i="15" s="1"/>
  <c r="L56" i="15"/>
  <c r="F49" i="15"/>
  <c r="M7" i="15"/>
  <c r="J6" i="15" s="1"/>
  <c r="F63" i="15"/>
  <c r="J20" i="15"/>
  <c r="C27" i="15"/>
  <c r="C34" i="15"/>
  <c r="F62" i="15"/>
  <c r="C61" i="15" s="1"/>
  <c r="L59" i="15"/>
  <c r="Q62" i="15" s="1"/>
  <c r="L58" i="15"/>
  <c r="Q61" i="15" s="1"/>
  <c r="F50" i="15"/>
  <c r="F65" i="15"/>
  <c r="F64" i="15"/>
  <c r="F67" i="15"/>
  <c r="C6" i="15"/>
  <c r="F68" i="15"/>
  <c r="F70" i="15"/>
  <c r="C29" i="44"/>
  <c r="Q73" i="44"/>
  <c r="M9" i="44"/>
  <c r="J8" i="44" s="1"/>
  <c r="L59" i="44"/>
  <c r="Q62" i="44" s="1"/>
  <c r="L60" i="44"/>
  <c r="Q76" i="44" s="1"/>
  <c r="J54" i="44"/>
  <c r="F1" i="44" s="1"/>
  <c r="J58" i="44"/>
  <c r="J56" i="44" s="1"/>
  <c r="J59" i="44" s="1"/>
  <c r="Q52" i="44" s="1"/>
  <c r="J61" i="44"/>
  <c r="Q50" i="44" s="1"/>
  <c r="J60" i="44"/>
  <c r="I55" i="44"/>
  <c r="L57" i="44"/>
  <c r="C36" i="44"/>
  <c r="C8" i="44"/>
  <c r="J22" i="44"/>
  <c r="AE13" i="46"/>
  <c r="AZ5" i="3"/>
  <c r="E3" i="6" s="1"/>
  <c r="H102" i="46"/>
  <c r="M109" i="46"/>
  <c r="D105" i="46"/>
  <c r="D109" i="46"/>
  <c r="F27" i="6"/>
  <c r="D22" i="46"/>
  <c r="D107" i="46"/>
  <c r="M104" i="46"/>
  <c r="M103" i="46"/>
  <c r="I109" i="46"/>
  <c r="I107" i="46"/>
  <c r="I102" i="46"/>
  <c r="H105" i="46"/>
  <c r="H104" i="46"/>
  <c r="H106" i="46"/>
  <c r="AA13" i="46"/>
  <c r="H107" i="46"/>
  <c r="I106" i="46"/>
  <c r="I104" i="46"/>
  <c r="E53" i="40"/>
  <c r="H6" i="3"/>
  <c r="D102" i="46"/>
  <c r="D103" i="46"/>
  <c r="D104" i="46"/>
  <c r="AC6" i="3"/>
  <c r="E16" i="6"/>
  <c r="E62" i="40"/>
  <c r="E67" i="39"/>
  <c r="E66" i="39"/>
  <c r="E61" i="40"/>
  <c r="E63" i="39"/>
  <c r="E58" i="40"/>
  <c r="I48" i="35"/>
  <c r="J48" i="35" s="1"/>
  <c r="K48" i="35" s="1"/>
  <c r="L48" i="35" s="1"/>
  <c r="M48" i="35" s="1"/>
  <c r="N48" i="35" s="1"/>
  <c r="O48" i="35" s="1"/>
  <c r="J7" i="35"/>
  <c r="W7" i="35" s="1"/>
  <c r="D70" i="39"/>
  <c r="C72" i="39"/>
  <c r="AB7" i="33"/>
  <c r="T48" i="33" s="1"/>
  <c r="G48" i="33" s="1"/>
  <c r="U7" i="33"/>
  <c r="E65" i="40"/>
  <c r="D67" i="40"/>
  <c r="F7" i="35"/>
  <c r="H7" i="35"/>
  <c r="AB7" i="35" s="1"/>
  <c r="T38" i="35" s="1"/>
  <c r="G38" i="35" s="1"/>
  <c r="D58" i="21"/>
  <c r="E58" i="21" s="1"/>
  <c r="F58" i="21" s="1"/>
  <c r="G58" i="21" s="1"/>
  <c r="H58" i="21" s="1"/>
  <c r="I58" i="21" s="1"/>
  <c r="J58" i="21" s="1"/>
  <c r="K58" i="21" s="1"/>
  <c r="L58" i="21" s="1"/>
  <c r="M58" i="21" s="1"/>
  <c r="N58" i="21" s="1"/>
  <c r="O58" i="21" s="1"/>
  <c r="F7" i="21"/>
  <c r="H7" i="21"/>
  <c r="J7" i="21"/>
  <c r="AA7" i="33"/>
  <c r="R48" i="33" s="1"/>
  <c r="S7" i="33"/>
  <c r="AY6" i="3"/>
  <c r="D23" i="59"/>
  <c r="C24" i="59"/>
  <c r="AB34" i="35"/>
  <c r="U34" i="35"/>
  <c r="AB12" i="21"/>
  <c r="U12" i="21"/>
  <c r="S30" i="21"/>
  <c r="AA30" i="21"/>
  <c r="AA7" i="34"/>
  <c r="R49" i="34" s="1"/>
  <c r="S7" i="34"/>
  <c r="M86" i="9"/>
  <c r="N86" i="9" s="1"/>
  <c r="M84" i="9"/>
  <c r="N84" i="9" s="1"/>
  <c r="M88" i="9"/>
  <c r="N88" i="9" s="1"/>
  <c r="M87" i="9"/>
  <c r="N87" i="9" s="1"/>
  <c r="M85" i="9"/>
  <c r="N85" i="9" s="1"/>
  <c r="M83" i="9"/>
  <c r="N83" i="9" s="1"/>
  <c r="N89" i="9" s="1"/>
  <c r="O89" i="9" s="1"/>
  <c r="G46" i="36"/>
  <c r="H46" i="36" s="1"/>
  <c r="I46" i="36" s="1"/>
  <c r="J46" i="36" s="1"/>
  <c r="K46" i="36" s="1"/>
  <c r="L46" i="36" s="1"/>
  <c r="M46" i="36" s="1"/>
  <c r="N46" i="36" s="1"/>
  <c r="O46" i="36" s="1"/>
  <c r="J7" i="36"/>
  <c r="H7" i="36"/>
  <c r="AC7" i="35"/>
  <c r="V38" i="35" s="1"/>
  <c r="I38" i="35" s="1"/>
  <c r="AB7" i="34"/>
  <c r="T49" i="34" s="1"/>
  <c r="G49" i="34" s="1"/>
  <c r="U7" i="34"/>
  <c r="S13" i="59"/>
  <c r="B12" i="59"/>
  <c r="B11" i="59" s="1"/>
  <c r="D36" i="59"/>
  <c r="C37" i="59"/>
  <c r="G103" i="46"/>
  <c r="G106" i="46"/>
  <c r="G104" i="46"/>
  <c r="G107" i="46"/>
  <c r="G109" i="46"/>
  <c r="G102" i="46"/>
  <c r="G105"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B115" i="46"/>
  <c r="B116" i="46"/>
  <c r="C116" i="46" s="1"/>
  <c r="D117" i="46"/>
  <c r="E117" i="46" s="1"/>
  <c r="F117" i="46" s="1"/>
  <c r="G117" i="46" s="1"/>
  <c r="H117" i="46" s="1"/>
  <c r="D118" i="46"/>
  <c r="E118" i="46" s="1"/>
  <c r="F118" i="46" s="1"/>
  <c r="I116" i="46"/>
  <c r="J116" i="46" s="1"/>
  <c r="K116" i="46" s="1"/>
  <c r="L116" i="46" s="1"/>
  <c r="M116"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5" i="46"/>
  <c r="K103" i="46"/>
  <c r="K109" i="46"/>
  <c r="K104" i="46"/>
  <c r="F106" i="46"/>
  <c r="F103" i="46"/>
  <c r="F104" i="46"/>
  <c r="F107" i="46"/>
  <c r="F102" i="46"/>
  <c r="F109" i="46"/>
  <c r="F105" i="46"/>
  <c r="F52" i="37"/>
  <c r="G52" i="37" s="1"/>
  <c r="H52" i="37" s="1"/>
  <c r="I52" i="37" s="1"/>
  <c r="J52" i="37" s="1"/>
  <c r="K52" i="37" s="1"/>
  <c r="L52" i="37" s="1"/>
  <c r="M52" i="37" s="1"/>
  <c r="N52" i="37" s="1"/>
  <c r="O52" i="37" s="1"/>
  <c r="H7" i="37"/>
  <c r="AI13" i="46"/>
  <c r="B21" i="63"/>
  <c r="N4" i="63"/>
  <c r="U13" i="59"/>
  <c r="E12" i="59"/>
  <c r="E11" i="59" s="1"/>
  <c r="B51" i="59"/>
  <c r="N52" i="59"/>
  <c r="D15" i="59"/>
  <c r="C16" i="59"/>
  <c r="D12" i="59"/>
  <c r="C11" i="59"/>
  <c r="D11" i="59" s="1"/>
  <c r="P51" i="59"/>
  <c r="P50" i="59"/>
  <c r="C45" i="59"/>
  <c r="D44" i="59"/>
  <c r="S34" i="35"/>
  <c r="AA34" i="35"/>
  <c r="W30" i="21"/>
  <c r="AC30" i="21"/>
  <c r="S7" i="35"/>
  <c r="AA7" i="35"/>
  <c r="R38" i="35" s="1"/>
  <c r="C104" i="46"/>
  <c r="C107" i="46"/>
  <c r="C109" i="46"/>
  <c r="C103" i="46"/>
  <c r="C105" i="46"/>
  <c r="C106" i="46"/>
  <c r="C102" i="46"/>
  <c r="J107" i="46"/>
  <c r="J106" i="46"/>
  <c r="J103" i="46"/>
  <c r="J102" i="46"/>
  <c r="J104" i="46"/>
  <c r="J105" i="46"/>
  <c r="J109" i="46"/>
  <c r="N103" i="46"/>
  <c r="N104" i="46"/>
  <c r="N106" i="46"/>
  <c r="N109" i="46"/>
  <c r="N105" i="46"/>
  <c r="N107" i="46"/>
  <c r="N102" i="46"/>
  <c r="E30" i="6"/>
  <c r="K14" i="1"/>
  <c r="F7" i="36"/>
  <c r="U7" i="35"/>
  <c r="J7" i="34"/>
  <c r="F17" i="11"/>
  <c r="C17" i="11" s="1"/>
  <c r="B40" i="1"/>
  <c r="O17" i="46"/>
  <c r="P17" i="46"/>
  <c r="M17" i="46"/>
  <c r="N17" i="46"/>
  <c r="F13" i="44"/>
  <c r="C12" i="44" s="1"/>
  <c r="M11" i="15"/>
  <c r="J10" i="15" s="1"/>
  <c r="F11" i="15"/>
  <c r="M13" i="44"/>
  <c r="J12" i="44" s="1"/>
  <c r="C16" i="15"/>
  <c r="C18" i="44"/>
  <c r="C17" i="15"/>
  <c r="F1" i="15" l="1"/>
  <c r="F12" i="40"/>
  <c r="AA12" i="40" s="1"/>
  <c r="F18" i="11"/>
  <c r="C18" i="11" s="1"/>
  <c r="C19" i="11" s="1"/>
  <c r="C20" i="11" s="1"/>
  <c r="C21" i="11" s="1"/>
  <c r="C22" i="11" s="1"/>
  <c r="C23" i="11" s="1"/>
  <c r="B2" i="11" s="1"/>
  <c r="Q75" i="44"/>
  <c r="Q75" i="15"/>
  <c r="C7" i="44"/>
  <c r="C40" i="44" s="1"/>
  <c r="Q63" i="44"/>
  <c r="C48" i="15"/>
  <c r="F12" i="39"/>
  <c r="H12" i="39"/>
  <c r="J5" i="15"/>
  <c r="J26" i="15" s="1"/>
  <c r="J29" i="15" s="1"/>
  <c r="Q54" i="44"/>
  <c r="H12" i="40"/>
  <c r="AB12" i="40" s="1"/>
  <c r="J12" i="40"/>
  <c r="F31" i="6"/>
  <c r="F12" i="68" s="1"/>
  <c r="E27" i="6"/>
  <c r="Q74" i="15"/>
  <c r="E31" i="6"/>
  <c r="J7" i="44"/>
  <c r="J28" i="44" s="1"/>
  <c r="J31" i="44" s="1"/>
  <c r="L47" i="44"/>
  <c r="E6" i="3"/>
  <c r="W12" i="39"/>
  <c r="S6" i="46"/>
  <c r="S2" i="46"/>
  <c r="S7" i="46"/>
  <c r="S5" i="46"/>
  <c r="S3" i="46"/>
  <c r="S4" i="46"/>
  <c r="W7" i="21"/>
  <c r="AC7" i="21"/>
  <c r="V48" i="21" s="1"/>
  <c r="I48" i="21" s="1"/>
  <c r="AA7" i="21"/>
  <c r="R48" i="21" s="1"/>
  <c r="S7" i="21"/>
  <c r="J7" i="37"/>
  <c r="F7" i="37"/>
  <c r="AA7" i="37" s="1"/>
  <c r="R42" i="37" s="1"/>
  <c r="E48" i="33"/>
  <c r="R49" i="33"/>
  <c r="U7" i="21"/>
  <c r="AB7" i="21"/>
  <c r="T48" i="21" s="1"/>
  <c r="G48" i="21" s="1"/>
  <c r="F65" i="40"/>
  <c r="E67" i="40"/>
  <c r="G53" i="33"/>
  <c r="H53" i="33" s="1"/>
  <c r="G52" i="33"/>
  <c r="H52" i="33" s="1"/>
  <c r="E70" i="39"/>
  <c r="D72" i="39"/>
  <c r="AC7" i="34"/>
  <c r="V49" i="34" s="1"/>
  <c r="I49" i="34" s="1"/>
  <c r="W7" i="34"/>
  <c r="G42" i="35"/>
  <c r="H42" i="35" s="1"/>
  <c r="G43" i="35"/>
  <c r="H43" i="35" s="1"/>
  <c r="AC7" i="37"/>
  <c r="V42" i="37" s="1"/>
  <c r="I42" i="37" s="1"/>
  <c r="W7" i="37"/>
  <c r="M14" i="1"/>
  <c r="K16" i="1"/>
  <c r="D45" i="59"/>
  <c r="T45" i="59"/>
  <c r="N51" i="59"/>
  <c r="N50" i="59"/>
  <c r="S7" i="37"/>
  <c r="C115" i="46"/>
  <c r="D113" i="46" s="1"/>
  <c r="G54" i="34"/>
  <c r="H54" i="34" s="1"/>
  <c r="G53" i="34"/>
  <c r="H53" i="34" s="1"/>
  <c r="I42" i="35"/>
  <c r="J42" i="35" s="1"/>
  <c r="W7" i="36"/>
  <c r="AC7" i="36"/>
  <c r="V36" i="36" s="1"/>
  <c r="I36" i="36" s="1"/>
  <c r="D24" i="59"/>
  <c r="C25" i="59"/>
  <c r="D16" i="12"/>
  <c r="E6" i="6"/>
  <c r="L38" i="9"/>
  <c r="B14" i="66" s="1"/>
  <c r="B1" i="66" s="1"/>
  <c r="D45" i="9"/>
  <c r="D16" i="43"/>
  <c r="C16" i="43" s="1"/>
  <c r="C21" i="4"/>
  <c r="O5" i="54" s="1"/>
  <c r="B45" i="63" s="1"/>
  <c r="D10" i="11"/>
  <c r="D44" i="9"/>
  <c r="D46" i="9"/>
  <c r="S7" i="36"/>
  <c r="AA7" i="36"/>
  <c r="R36" i="36" s="1"/>
  <c r="E38" i="35"/>
  <c r="I43" i="35" s="1"/>
  <c r="J43" i="35" s="1"/>
  <c r="R39" i="35"/>
  <c r="D16" i="59"/>
  <c r="C17" i="59"/>
  <c r="U7" i="37"/>
  <c r="AB7" i="37"/>
  <c r="T42" i="37" s="1"/>
  <c r="G42" i="37" s="1"/>
  <c r="D37" i="59"/>
  <c r="T37" i="59"/>
  <c r="AB7" i="36"/>
  <c r="T36" i="36" s="1"/>
  <c r="G36" i="36" s="1"/>
  <c r="U7" i="36"/>
  <c r="R50" i="34"/>
  <c r="E49" i="34"/>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504" i="3"/>
  <c r="AY537" i="3"/>
  <c r="AY100" i="3"/>
  <c r="AY53" i="3"/>
  <c r="AY83" i="3"/>
  <c r="AY73" i="3"/>
  <c r="AY47" i="3"/>
  <c r="AY74" i="3"/>
  <c r="AY182" i="3"/>
  <c r="AY144" i="3"/>
  <c r="AY126" i="3"/>
  <c r="AY98" i="3"/>
  <c r="AY45" i="3"/>
  <c r="AY57" i="3"/>
  <c r="AY106"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1" i="43"/>
  <c r="C23" i="43" s="1"/>
  <c r="D21" i="43" s="1"/>
  <c r="F24" i="15"/>
  <c r="C24" i="15" s="1"/>
  <c r="F26" i="44"/>
  <c r="C26" i="44" s="1"/>
  <c r="F26" i="12"/>
  <c r="C52" i="15"/>
  <c r="C10" i="15"/>
  <c r="C5" i="15" s="1"/>
  <c r="L52" i="44"/>
  <c r="S12" i="40" l="1"/>
  <c r="C34" i="44"/>
  <c r="U12" i="40"/>
  <c r="C47" i="15"/>
  <c r="C59" i="15" s="1"/>
  <c r="J24" i="15"/>
  <c r="J26" i="44"/>
  <c r="J18" i="15"/>
  <c r="J20" i="44"/>
  <c r="AC12" i="40"/>
  <c r="W12" i="40"/>
  <c r="AB12" i="39"/>
  <c r="U12" i="39"/>
  <c r="S12" i="39"/>
  <c r="AA12" i="39"/>
  <c r="K26" i="6"/>
  <c r="M26" i="6" s="1"/>
  <c r="I26" i="6" s="1"/>
  <c r="S26" i="6" s="1"/>
  <c r="K22" i="6"/>
  <c r="K25" i="6"/>
  <c r="M25" i="6" s="1"/>
  <c r="I25" i="6" s="1"/>
  <c r="S25" i="6" s="1"/>
  <c r="K24" i="6"/>
  <c r="M24" i="6" s="1"/>
  <c r="I24" i="6" s="1"/>
  <c r="S24" i="6" s="1"/>
  <c r="K23" i="6"/>
  <c r="M23" i="6" s="1"/>
  <c r="I23" i="6" s="1"/>
  <c r="S23" i="6" s="1"/>
  <c r="K21" i="6"/>
  <c r="K19" i="6"/>
  <c r="K20" i="6"/>
  <c r="G52" i="21"/>
  <c r="H52" i="21" s="1"/>
  <c r="G53" i="21"/>
  <c r="H53" i="21" s="1"/>
  <c r="C48" i="33"/>
  <c r="C49" i="33"/>
  <c r="B3" i="33" s="1"/>
  <c r="B2" i="33" s="1"/>
  <c r="R49" i="21"/>
  <c r="E48" i="21"/>
  <c r="F70" i="39"/>
  <c r="E72" i="39"/>
  <c r="G65" i="40"/>
  <c r="F67" i="40"/>
  <c r="E52" i="33"/>
  <c r="F52" i="33" s="1"/>
  <c r="E53" i="33"/>
  <c r="F53" i="33" s="1"/>
  <c r="I53" i="33"/>
  <c r="J53" i="33" s="1"/>
  <c r="I52" i="21"/>
  <c r="J52" i="21" s="1"/>
  <c r="I53" i="21"/>
  <c r="J53" i="21" s="1"/>
  <c r="M20" i="46"/>
  <c r="C19" i="46" s="1"/>
  <c r="E54" i="34"/>
  <c r="F54" i="34" s="1"/>
  <c r="E53" i="34"/>
  <c r="F53" i="34" s="1"/>
  <c r="G46" i="37"/>
  <c r="H46" i="37" s="1"/>
  <c r="G47" i="37"/>
  <c r="H47" i="37" s="1"/>
  <c r="D17" i="59"/>
  <c r="T17" i="59"/>
  <c r="C38" i="35"/>
  <c r="C39" i="35"/>
  <c r="B3" i="35" s="1"/>
  <c r="B2" i="35" s="1"/>
  <c r="E36" i="36"/>
  <c r="R37" i="36"/>
  <c r="D22" i="12"/>
  <c r="C22" i="12" s="1"/>
  <c r="C20" i="12" s="1"/>
  <c r="D13" i="11"/>
  <c r="C13" i="11" s="1"/>
  <c r="D25" i="59"/>
  <c r="T25" i="59"/>
  <c r="I40" i="36"/>
  <c r="J40" i="36" s="1"/>
  <c r="I41" i="36"/>
  <c r="J41" i="36" s="1"/>
  <c r="M16" i="1"/>
  <c r="O14" i="1"/>
  <c r="O16" i="1" s="1"/>
  <c r="I46" i="37"/>
  <c r="J46" i="37" s="1"/>
  <c r="I53" i="34"/>
  <c r="J53" i="34" s="1"/>
  <c r="I54" i="34"/>
  <c r="J54" i="34" s="1"/>
  <c r="E68" i="39"/>
  <c r="K38" i="9"/>
  <c r="C14" i="66" s="1"/>
  <c r="B2" i="66" s="1"/>
  <c r="D24" i="6"/>
  <c r="D26" i="6"/>
  <c r="D22" i="6"/>
  <c r="D11" i="6"/>
  <c r="D12" i="6"/>
  <c r="D9" i="6"/>
  <c r="D5" i="6"/>
  <c r="D29" i="6"/>
  <c r="D15" i="6"/>
  <c r="F46" i="9"/>
  <c r="E46" i="9"/>
  <c r="E63" i="40"/>
  <c r="C22" i="4"/>
  <c r="D19" i="6"/>
  <c r="D21" i="6"/>
  <c r="D25" i="6"/>
  <c r="D10" i="6"/>
  <c r="D13" i="6"/>
  <c r="D6" i="6"/>
  <c r="D23" i="6"/>
  <c r="D14" i="6"/>
  <c r="D28" i="6"/>
  <c r="D30" i="6" s="1"/>
  <c r="D20" i="6"/>
  <c r="D8" i="6"/>
  <c r="E45" i="9"/>
  <c r="F45" i="9"/>
  <c r="F44" i="9"/>
  <c r="E44" i="9"/>
  <c r="C50" i="34"/>
  <c r="B3" i="34" s="1"/>
  <c r="B2" i="34" s="1"/>
  <c r="C49" i="34"/>
  <c r="G41" i="36"/>
  <c r="H41" i="36" s="1"/>
  <c r="G40" i="36"/>
  <c r="H40" i="36" s="1"/>
  <c r="E43" i="35"/>
  <c r="F43" i="35" s="1"/>
  <c r="E42" i="35"/>
  <c r="F42" i="35" s="1"/>
  <c r="C8" i="66"/>
  <c r="C7" i="66"/>
  <c r="C6" i="66"/>
  <c r="D19" i="12"/>
  <c r="C19" i="12" s="1"/>
  <c r="C16" i="12"/>
  <c r="E42" i="37"/>
  <c r="R43" i="37"/>
  <c r="Q69" i="44"/>
  <c r="L58" i="44"/>
  <c r="L61" i="44" s="1"/>
  <c r="C32" i="15"/>
  <c r="C38" i="15"/>
  <c r="B5" i="11"/>
  <c r="B3" i="11"/>
  <c r="B4" i="11"/>
  <c r="C27" i="12"/>
  <c r="D26" i="12" s="1"/>
  <c r="C32" i="12" s="1"/>
  <c r="D30" i="12" s="1"/>
  <c r="Q49" i="44"/>
  <c r="Q55" i="44" s="1"/>
  <c r="Q67" i="44"/>
  <c r="Q58" i="44"/>
  <c r="M22" i="6" l="1"/>
  <c r="I22" i="6" s="1"/>
  <c r="S22" i="6" s="1"/>
  <c r="S9" i="1"/>
  <c r="M21" i="6"/>
  <c r="I21" i="6" s="1"/>
  <c r="S21" i="6" s="1"/>
  <c r="S8" i="1"/>
  <c r="H24" i="6"/>
  <c r="R24" i="6" s="1"/>
  <c r="H26" i="6"/>
  <c r="R26" i="6" s="1"/>
  <c r="D16" i="6"/>
  <c r="H23" i="6"/>
  <c r="H25" i="6"/>
  <c r="R25" i="6" s="1"/>
  <c r="C65" i="15"/>
  <c r="M20" i="6"/>
  <c r="I20" i="6" s="1"/>
  <c r="S7" i="1"/>
  <c r="H22" i="6"/>
  <c r="R22" i="6" s="1"/>
  <c r="R9" i="1" s="1"/>
  <c r="S6" i="1"/>
  <c r="K27" i="6"/>
  <c r="M19" i="6"/>
  <c r="P14" i="1"/>
  <c r="P16" i="1" s="1"/>
  <c r="C13" i="12" s="1"/>
  <c r="C14" i="12" s="1"/>
  <c r="G67" i="40"/>
  <c r="H65" i="40"/>
  <c r="F72" i="39"/>
  <c r="G70" i="39"/>
  <c r="C49" i="21"/>
  <c r="B3" i="21" s="1"/>
  <c r="B2" i="21" s="1"/>
  <c r="C48" i="21"/>
  <c r="E52" i="21"/>
  <c r="F52" i="21" s="1"/>
  <c r="E53" i="21"/>
  <c r="F53" i="21" s="1"/>
  <c r="C43" i="37"/>
  <c r="B3" i="37" s="1"/>
  <c r="B2" i="37" s="1"/>
  <c r="C42" i="37"/>
  <c r="R23" i="6"/>
  <c r="D27" i="6"/>
  <c r="D31" i="6" s="1"/>
  <c r="D8" i="66"/>
  <c r="D7" i="66"/>
  <c r="D6" i="66"/>
  <c r="E40" i="36"/>
  <c r="F40" i="36" s="1"/>
  <c r="E41" i="36"/>
  <c r="F41" i="36" s="1"/>
  <c r="E46" i="37"/>
  <c r="F46" i="37" s="1"/>
  <c r="E47" i="37"/>
  <c r="F47" i="37" s="1"/>
  <c r="A6" i="64"/>
  <c r="A6" i="51"/>
  <c r="B7" i="63" s="1"/>
  <c r="A20" i="64"/>
  <c r="A20" i="51"/>
  <c r="B15" i="63" s="1"/>
  <c r="N5" i="54"/>
  <c r="B43" i="63" s="1"/>
  <c r="I47" i="37"/>
  <c r="J47" i="37" s="1"/>
  <c r="C13" i="43"/>
  <c r="N16" i="1"/>
  <c r="C29" i="43" s="1"/>
  <c r="L16" i="1"/>
  <c r="C37" i="36"/>
  <c r="B3" i="36" s="1"/>
  <c r="B2" i="36" s="1"/>
  <c r="C36" i="36"/>
  <c r="C39" i="46"/>
  <c r="T7" i="46"/>
  <c r="V7" i="46" s="1"/>
  <c r="T9" i="46"/>
  <c r="V9" i="46" s="1"/>
  <c r="C37" i="46"/>
  <c r="T8" i="46"/>
  <c r="V8" i="46" s="1"/>
  <c r="T13" i="46"/>
  <c r="V13" i="46" s="1"/>
  <c r="C34" i="46"/>
  <c r="T15" i="46"/>
  <c r="V15" i="46" s="1"/>
  <c r="T5" i="46"/>
  <c r="V5" i="46" s="1"/>
  <c r="T10" i="46"/>
  <c r="V10" i="46" s="1"/>
  <c r="T2" i="46"/>
  <c r="V2" i="46" s="1"/>
  <c r="C38" i="46"/>
  <c r="C35" i="46"/>
  <c r="T12" i="46"/>
  <c r="V12" i="46" s="1"/>
  <c r="T3" i="46"/>
  <c r="V3" i="46" s="1"/>
  <c r="C33" i="46"/>
  <c r="T16" i="46"/>
  <c r="V16" i="46" s="1"/>
  <c r="C36" i="46"/>
  <c r="T4" i="46"/>
  <c r="V4" i="46" s="1"/>
  <c r="T11" i="46"/>
  <c r="V11" i="46" s="1"/>
  <c r="T14" i="46"/>
  <c r="V14" i="46" s="1"/>
  <c r="T6" i="46"/>
  <c r="V6" i="46" s="1"/>
  <c r="C29" i="46"/>
  <c r="Q68" i="44"/>
  <c r="Q77" i="44" s="1"/>
  <c r="Q59" i="44"/>
  <c r="Q64" i="44" s="1"/>
  <c r="H21" i="6" l="1"/>
  <c r="R21" i="6" s="1"/>
  <c r="R8" i="1" s="1"/>
  <c r="I19" i="6"/>
  <c r="M27" i="6"/>
  <c r="S16" i="1"/>
  <c r="S20" i="6"/>
  <c r="H20" i="6"/>
  <c r="R20" i="6" s="1"/>
  <c r="R7" i="1" s="1"/>
  <c r="C17" i="12"/>
  <c r="C18" i="12" s="1"/>
  <c r="C23" i="12" s="1"/>
  <c r="C35" i="12" s="1"/>
  <c r="C33" i="12" s="1"/>
  <c r="G72" i="39"/>
  <c r="H70" i="39"/>
  <c r="I65" i="40"/>
  <c r="H67" i="40"/>
  <c r="E35" i="46"/>
  <c r="G35" i="46"/>
  <c r="I35" i="46" s="1"/>
  <c r="E36" i="46"/>
  <c r="G36" i="46"/>
  <c r="I36" i="46" s="1"/>
  <c r="G33" i="46"/>
  <c r="I33" i="46" s="1"/>
  <c r="E33" i="46"/>
  <c r="E38" i="46"/>
  <c r="G38" i="46"/>
  <c r="I38" i="46" s="1"/>
  <c r="G37" i="46"/>
  <c r="I37" i="46" s="1"/>
  <c r="E37" i="46"/>
  <c r="C14" i="43"/>
  <c r="C17" i="43"/>
  <c r="C30" i="46"/>
  <c r="E30" i="46" s="1"/>
  <c r="C27" i="46" s="1"/>
  <c r="E29" i="46"/>
  <c r="E34" i="46"/>
  <c r="G34" i="46"/>
  <c r="I34" i="46" s="1"/>
  <c r="G39" i="46"/>
  <c r="I39" i="46" s="1"/>
  <c r="E39" i="46"/>
  <c r="I6" i="6"/>
  <c r="I5" i="6"/>
  <c r="F7" i="67"/>
  <c r="T13" i="1" l="1"/>
  <c r="T10" i="1"/>
  <c r="T8" i="1"/>
  <c r="T11" i="1"/>
  <c r="T9" i="1"/>
  <c r="T12" i="1"/>
  <c r="H19" i="6"/>
  <c r="S19" i="6"/>
  <c r="S27" i="6" s="1"/>
  <c r="I27" i="6"/>
  <c r="T6" i="1"/>
  <c r="T7" i="1"/>
  <c r="C28" i="12"/>
  <c r="C26" i="12" s="1"/>
  <c r="C31" i="12" s="1"/>
  <c r="C30" i="12" s="1"/>
  <c r="C36" i="12" s="1"/>
  <c r="B2" i="12" s="1"/>
  <c r="I70" i="39"/>
  <c r="H72" i="39"/>
  <c r="C18" i="43"/>
  <c r="C19" i="43" s="1"/>
  <c r="I67" i="40"/>
  <c r="J65" i="40"/>
  <c r="E4" i="67"/>
  <c r="C26" i="46"/>
  <c r="C19" i="9"/>
  <c r="C16" i="44"/>
  <c r="C14" i="15"/>
  <c r="E7" i="67"/>
  <c r="L43" i="9" l="1"/>
  <c r="B5" i="12"/>
  <c r="T16" i="1"/>
  <c r="C17" i="44"/>
  <c r="C20" i="44"/>
  <c r="C15" i="15"/>
  <c r="C18" i="15"/>
  <c r="H27" i="6"/>
  <c r="R19" i="6"/>
  <c r="B4" i="12"/>
  <c r="B3" i="12"/>
  <c r="C25" i="43"/>
  <c r="C24" i="43" s="1"/>
  <c r="C22" i="43"/>
  <c r="C21" i="43" s="1"/>
  <c r="I72" i="39"/>
  <c r="J70" i="39"/>
  <c r="J67" i="40"/>
  <c r="K65" i="40"/>
  <c r="E3" i="67"/>
  <c r="B2" i="46"/>
  <c r="C21" i="9"/>
  <c r="C20" i="9"/>
  <c r="B7" i="67"/>
  <c r="C19" i="15" l="1"/>
  <c r="C20" i="15" s="1"/>
  <c r="C26" i="15" s="1"/>
  <c r="C21" i="44"/>
  <c r="C22" i="44" s="1"/>
  <c r="C25" i="44" s="1"/>
  <c r="R6" i="1"/>
  <c r="R16" i="1" s="1"/>
  <c r="R27" i="6"/>
  <c r="C28" i="43"/>
  <c r="C30" i="43" s="1"/>
  <c r="C32" i="43" s="1"/>
  <c r="B2" i="43" s="1"/>
  <c r="B4" i="43" s="1"/>
  <c r="L65" i="40"/>
  <c r="K67" i="40"/>
  <c r="J72" i="39"/>
  <c r="K70" i="39"/>
  <c r="B2" i="67"/>
  <c r="D4" i="46"/>
  <c r="B3" i="46"/>
  <c r="B4" i="46"/>
  <c r="C28" i="44" l="1"/>
  <c r="C23" i="15"/>
  <c r="C29" i="15" s="1"/>
  <c r="J14" i="15" s="1"/>
  <c r="C31" i="44"/>
  <c r="J21" i="44" s="1"/>
  <c r="J19" i="44" s="1"/>
  <c r="B5" i="43"/>
  <c r="B3" i="43"/>
  <c r="L70" i="39"/>
  <c r="K72" i="39"/>
  <c r="L67" i="40"/>
  <c r="M65" i="40"/>
  <c r="B3" i="67"/>
  <c r="B4" i="67"/>
  <c r="C36" i="15" l="1"/>
  <c r="C56" i="15"/>
  <c r="C63" i="15" s="1"/>
  <c r="J19" i="15"/>
  <c r="J17" i="15" s="1"/>
  <c r="J59" i="15"/>
  <c r="J60" i="15" s="1"/>
  <c r="Q49" i="15" s="1"/>
  <c r="C33" i="15"/>
  <c r="C31" i="15" s="1"/>
  <c r="C13" i="15"/>
  <c r="J35" i="15" s="1"/>
  <c r="J16" i="44"/>
  <c r="C15" i="44"/>
  <c r="Q72" i="44" s="1"/>
  <c r="Q50" i="15"/>
  <c r="Q51" i="44"/>
  <c r="C35" i="44"/>
  <c r="C33" i="44" s="1"/>
  <c r="C38" i="44"/>
  <c r="J22" i="15"/>
  <c r="J13" i="15"/>
  <c r="J23" i="15" s="1"/>
  <c r="N65" i="40"/>
  <c r="N67" i="40" s="1"/>
  <c r="M67" i="40"/>
  <c r="M70" i="39"/>
  <c r="L72" i="39"/>
  <c r="C55" i="15" l="1"/>
  <c r="C64" i="15" s="1"/>
  <c r="C60" i="15"/>
  <c r="C58" i="15" s="1"/>
  <c r="Q71" i="15"/>
  <c r="L46" i="15"/>
  <c r="C37" i="15"/>
  <c r="C30" i="15" s="1"/>
  <c r="C39" i="15" s="1"/>
  <c r="Q70" i="15" s="1"/>
  <c r="Q69" i="15" s="1"/>
  <c r="J16" i="15"/>
  <c r="J25" i="15" s="1"/>
  <c r="J15" i="44"/>
  <c r="J25" i="44" s="1"/>
  <c r="J24" i="44"/>
  <c r="C39" i="44"/>
  <c r="C32" i="44" s="1"/>
  <c r="C42" i="44" s="1"/>
  <c r="C43" i="44"/>
  <c r="J39" i="15"/>
  <c r="J40" i="15" s="1"/>
  <c r="M72" i="39"/>
  <c r="N70" i="39"/>
  <c r="N72" i="39" s="1"/>
  <c r="J9" i="40"/>
  <c r="H9" i="40"/>
  <c r="F9" i="40"/>
  <c r="L51" i="15"/>
  <c r="C57" i="15" l="1"/>
  <c r="C66" i="15" s="1"/>
  <c r="C67" i="15" s="1"/>
  <c r="C70" i="15" s="1"/>
  <c r="C40" i="15"/>
  <c r="B2" i="15" s="1"/>
  <c r="B3" i="15" s="1"/>
  <c r="L57" i="15"/>
  <c r="L60" i="15" s="1"/>
  <c r="Q67" i="15" s="1"/>
  <c r="Q68" i="15"/>
  <c r="J18" i="44"/>
  <c r="J27" i="44" s="1"/>
  <c r="C44" i="44"/>
  <c r="C45" i="44" s="1"/>
  <c r="B2" i="44" s="1"/>
  <c r="B5" i="44" s="1"/>
  <c r="Q71" i="44"/>
  <c r="Q70" i="44" s="1"/>
  <c r="U9" i="40"/>
  <c r="AB9" i="40"/>
  <c r="T44" i="40" s="1"/>
  <c r="G44" i="40" s="1"/>
  <c r="H9" i="39"/>
  <c r="J9" i="39"/>
  <c r="F9" i="39"/>
  <c r="S9" i="40"/>
  <c r="AA9" i="40"/>
  <c r="R44" i="40" s="1"/>
  <c r="W9" i="40"/>
  <c r="AC9" i="40"/>
  <c r="V44" i="40" s="1"/>
  <c r="I44" i="40" s="1"/>
  <c r="Q58" i="15" l="1"/>
  <c r="J42" i="15"/>
  <c r="J43" i="15" s="1"/>
  <c r="C43" i="15"/>
  <c r="Q48" i="15"/>
  <c r="Q54" i="15" s="1"/>
  <c r="C46" i="15"/>
  <c r="Q66" i="15"/>
  <c r="Q76" i="15" s="1"/>
  <c r="Q57" i="15"/>
  <c r="Q63" i="15" s="1"/>
  <c r="B4" i="44"/>
  <c r="B3" i="44"/>
  <c r="AC9" i="39"/>
  <c r="V49" i="39" s="1"/>
  <c r="I49" i="39" s="1"/>
  <c r="W9" i="39"/>
  <c r="G48" i="40"/>
  <c r="H48" i="40" s="1"/>
  <c r="G49" i="40"/>
  <c r="H49" i="40" s="1"/>
  <c r="I48" i="40"/>
  <c r="J48" i="40" s="1"/>
  <c r="E44" i="40"/>
  <c r="I49" i="40" s="1"/>
  <c r="J49" i="40" s="1"/>
  <c r="R45" i="40"/>
  <c r="S9" i="39"/>
  <c r="AA9" i="39"/>
  <c r="R49" i="39" s="1"/>
  <c r="AB9" i="39"/>
  <c r="T49" i="39" s="1"/>
  <c r="G49" i="39" s="1"/>
  <c r="U9" i="39"/>
  <c r="E49" i="39" l="1"/>
  <c r="I54" i="39" s="1"/>
  <c r="J54" i="39" s="1"/>
  <c r="R50" i="39"/>
  <c r="C45" i="40"/>
  <c r="C44" i="40"/>
  <c r="G53" i="39"/>
  <c r="H53" i="39" s="1"/>
  <c r="G54" i="39"/>
  <c r="H54" i="39" s="1"/>
  <c r="E49" i="40"/>
  <c r="F49" i="40" s="1"/>
  <c r="E48" i="40"/>
  <c r="F48" i="40" s="1"/>
  <c r="I53" i="39"/>
  <c r="J53" i="39" s="1"/>
  <c r="C50" i="39" l="1"/>
  <c r="C49" i="39"/>
  <c r="B56" i="40"/>
  <c r="F56" i="40" s="1"/>
  <c r="B60" i="40"/>
  <c r="F60" i="40" s="1"/>
  <c r="B61" i="40"/>
  <c r="F61" i="40" s="1"/>
  <c r="B58" i="40"/>
  <c r="F58" i="40" s="1"/>
  <c r="B59" i="40"/>
  <c r="F59" i="40" s="1"/>
  <c r="B54" i="40"/>
  <c r="F54" i="40" s="1"/>
  <c r="B55" i="40"/>
  <c r="F55" i="40" s="1"/>
  <c r="B62" i="40"/>
  <c r="F62" i="40" s="1"/>
  <c r="B53" i="40"/>
  <c r="F53" i="40" s="1"/>
  <c r="B57" i="40"/>
  <c r="F57" i="40" s="1"/>
  <c r="F63" i="40"/>
  <c r="B2" i="40" s="1"/>
  <c r="E53" i="39"/>
  <c r="F53" i="39" s="1"/>
  <c r="E54" i="39"/>
  <c r="F54" i="39" s="1"/>
  <c r="B4" i="40" l="1"/>
  <c r="B3" i="40"/>
  <c r="B5" i="40"/>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D19" i="9"/>
  <c r="L44" i="9" l="1"/>
  <c r="D22" i="9"/>
  <c r="G19" i="9"/>
  <c r="A27" i="9" s="1"/>
  <c r="B4" i="39"/>
  <c r="B3" i="39"/>
  <c r="B5" i="39"/>
  <c r="D20" i="9"/>
  <c r="D21" i="9"/>
  <c r="G21" i="9" l="1"/>
  <c r="G20" i="9"/>
  <c r="C32" i="9"/>
  <c r="G22" i="9"/>
  <c r="N43" i="9"/>
  <c r="C42" i="9" l="1"/>
  <c r="O38" i="9"/>
  <c r="C35" i="9"/>
  <c r="F42" i="9" s="1"/>
  <c r="O43" i="9"/>
  <c r="C33" i="9"/>
  <c r="C34" i="9"/>
  <c r="M38" i="9" l="1"/>
  <c r="K27" i="9" s="1"/>
  <c r="E42" i="9"/>
  <c r="P5" i="54" s="1"/>
  <c r="B46" i="63" s="1"/>
  <c r="K26" i="9"/>
  <c r="K25" i="9"/>
  <c r="D42" i="9"/>
  <c r="Q5" i="54" s="1"/>
  <c r="B47" i="63" s="1"/>
  <c r="N38" i="9"/>
  <c r="K28" i="9" s="1"/>
  <c r="N68" i="9"/>
  <c r="D14" i="66"/>
  <c r="R5" i="54"/>
  <c r="B48" i="63" s="1"/>
  <c r="D63" i="9"/>
  <c r="C111" i="9" l="1"/>
  <c r="C104" i="9" s="1"/>
  <c r="C103" i="9"/>
  <c r="D71" i="9"/>
  <c r="D66" i="9" s="1"/>
  <c r="N72" i="9" s="1"/>
  <c r="D77" i="9"/>
  <c r="N75" i="9" s="1"/>
  <c r="C82" i="9"/>
  <c r="C81" i="9" s="1"/>
  <c r="C85" i="9" s="1"/>
  <c r="C86" i="9" s="1"/>
  <c r="D72" i="9" s="1"/>
  <c r="C96" i="9"/>
  <c r="C91" i="9" s="1"/>
  <c r="D70" i="9"/>
  <c r="C90" i="9"/>
  <c r="B5" i="66"/>
  <c r="F14" i="66"/>
  <c r="E14" i="66"/>
  <c r="C97" i="9" l="1"/>
  <c r="C98" i="9" s="1"/>
  <c r="E98" i="9" s="1"/>
  <c r="E99" i="9" s="1"/>
  <c r="C113" i="9"/>
  <c r="C99" i="9"/>
  <c r="C5" i="66"/>
  <c r="D5" i="66"/>
  <c r="C114" i="9" l="1"/>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<sst xmlns="http://schemas.openxmlformats.org/spreadsheetml/2006/main" count="7345" uniqueCount="3215">
  <si>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</si>
  <si>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</si>
  <si>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</si>
  <si>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</si>
  <si>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</si>
  <si>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</si>
  <si>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</si>
  <si>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</si>
  <si>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</si>
  <si>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</si>
  <si>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</si>
  <si>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</si>
  <si>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</si>
  <si>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</si>
  <si>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</si>
  <si>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</si>
  <si>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</si>
  <si>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</si>
  <si>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</si>
  <si>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</si>
  <si>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</si>
  <si>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</si>
  <si>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</si>
  <si>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</si>
  <si>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</si>
  <si>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</si>
  <si>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</si>
  <si>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</si>
  <si>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</si>
  <si>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</si>
  <si>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</si>
  <si>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</si>
  <si>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</si>
  <si>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</si>
  <si>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</si>
  <si>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</si>
  <si>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</si>
  <si>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</si>
  <si>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</si>
  <si>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</si>
  <si>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</si>
  <si>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</si>
  <si>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</si>
  <si>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</si>
  <si>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</si>
  <si>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</si>
  <si>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</si>
  <si>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</si>
  <si>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</si>
  <si>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</si>
  <si>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</si>
  <si>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</si>
  <si>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</si>
  <si>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</si>
  <si>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</si>
  <si>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</si>
  <si>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</si>
  <si>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</si>
  <si>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</si>
  <si>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</si>
  <si>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</si>
  <si>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</si>
  <si>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</si>
  <si>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</si>
  <si>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</si>
  <si>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</si>
  <si>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</si>
  <si>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</si>
  <si>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</si>
  <si>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</si>
  <si>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</si>
  <si>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</si>
  <si>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</si>
  <si>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</si>
  <si>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</si>
  <si>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</si>
  <si>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</si>
  <si>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</si>
  <si>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</si>
  <si>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</si>
  <si>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</si>
  <si>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</si>
  <si>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</si>
  <si>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</si>
  <si>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</si>
  <si>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</si>
  <si>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</si>
  <si>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</si>
  <si>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</si>
  <si>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</si>
  <si>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</si>
  <si>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</si>
  <si>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</si>
  <si>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</si>
  <si>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</si>
  <si>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</si>
  <si>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</si>
  <si>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</si>
  <si>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</si>
  <si>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</si>
  <si>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</si>
  <si>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</si>
  <si>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</si>
  <si>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</si>
  <si>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</si>
  <si>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</si>
  <si>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</si>
  <si>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</si>
  <si>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</si>
  <si>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</si>
  <si>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</si>
  <si>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</si>
  <si>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</si>
  <si>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</si>
  <si>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</si>
  <si>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</si>
  <si>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</si>
  <si>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</si>
  <si>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</si>
  <si>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</si>
  <si>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</si>
  <si>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</si>
  <si>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</si>
  <si>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</si>
  <si>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</si>
  <si>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</si>
  <si>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</si>
  <si>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</si>
  <si>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</si>
  <si>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</si>
  <si>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</si>
  <si>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</si>
  <si>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</si>
  <si>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</si>
  <si>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</si>
  <si>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</si>
  <si>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</si>
  <si>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</si>
  <si>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</si>
  <si>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</si>
  <si>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</si>
  <si>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</si>
  <si>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</si>
  <si>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</si>
  <si>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</si>
  <si>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</si>
  <si>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</si>
  <si>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</si>
  <si>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</si>
  <si>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</si>
  <si>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</si>
  <si>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</si>
  <si>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</si>
  <si>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</si>
  <si>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</si>
  <si>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</si>
  <si>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</si>
  <si>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</si>
  <si>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</si>
  <si>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</si>
  <si>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</si>
  <si>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</si>
  <si>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</si>
  <si>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</si>
  <si>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</si>
  <si>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</si>
  <si>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</si>
  <si>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</si>
  <si>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</si>
  <si>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</si>
  <si>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</si>
  <si>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</si>
  <si>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</si>
  <si>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</si>
  <si>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</si>
  <si>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</si>
  <si>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</si>
  <si>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</si>
  <si>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</si>
  <si>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</si>
  <si>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</si>
  <si>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</si>
  <si>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</si>
  <si>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</si>
  <si>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</si>
  <si>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</si>
  <si>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</si>
  <si>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</si>
  <si>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</si>
  <si>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</si>
  <si>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</si>
  <si>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</si>
  <si>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</si>
  <si>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</si>
  <si>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</si>
  <si>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</si>
  <si>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</si>
  <si>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</si>
  <si>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</si>
  <si>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</si>
  <si>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</si>
  <si>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</si>
  <si>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</si>
  <si>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</si>
  <si>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</si>
  <si>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</si>
  <si>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</si>
  <si>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</si>
  <si>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</si>
  <si>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</si>
  <si>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</si>
  <si>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</si>
  <si>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</si>
  <si>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</si>
  <si>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</si>
  <si>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</si>
  <si>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</si>
  <si>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</si>
  <si>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</si>
  <si>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</si>
  <si>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</si>
  <si>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</si>
  <si>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</si>
  <si>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</si>
  <si>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</si>
  <si>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</si>
  <si>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</si>
  <si>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</si>
  <si>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</si>
  <si>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</si>
  <si>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</si>
  <si>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</si>
  <si>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</si>
  <si>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</si>
  <si>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</si>
  <si>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</si>
  <si>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</si>
  <si>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</si>
  <si>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</si>
  <si>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</si>
  <si>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</si>
  <si>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</si>
  <si>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</si>
  <si>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</si>
  <si>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</si>
  <si>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</si>
  <si>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</si>
  <si>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</si>
  <si>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</si>
  <si>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</si>
  <si>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</si>
  <si>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</si>
  <si>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</si>
  <si>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</si>
  <si>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</si>
  <si>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</si>
  <si>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</si>
  <si>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</si>
  <si>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</si>
  <si>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</si>
  <si>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</si>
  <si>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</si>
  <si>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</si>
  <si>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</si>
  <si>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</si>
  <si>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</si>
  <si>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</si>
  <si>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</si>
  <si>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</si>
  <si>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</si>
  <si>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</si>
  <si>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</si>
  <si>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</si>
  <si>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</si>
  <si>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</si>
  <si>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</si>
  <si>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</si>
  <si>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</si>
  <si>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</si>
  <si>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</si>
  <si>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</si>
  <si>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</si>
  <si>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</si>
  <si>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</si>
  <si>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</si>
  <si>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</si>
  <si>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</si>
  <si>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</si>
  <si>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</si>
  <si>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</si>
  <si>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</si>
  <si>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</si>
  <si>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</si>
  <si>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</si>
  <si>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</si>
  <si>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</si>
  <si>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</si>
  <si>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</si>
  <si>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</si>
  <si>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</si>
  <si>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</si>
  <si>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</si>
  <si>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</si>
  <si>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</si>
  <si>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</si>
  <si>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</si>
  <si>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</si>
  <si>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</si>
  <si>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</si>
  <si>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</si>
  <si>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</si>
  <si>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</si>
  <si>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</si>
  <si>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</si>
  <si>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</si>
  <si>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</si>
  <si>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</si>
  <si>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</si>
  <si>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</si>
  <si>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</si>
  <si>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</si>
  <si>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</si>
  <si>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</si>
  <si>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</si>
  <si>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</si>
  <si>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</si>
  <si>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</si>
  <si>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</si>
  <si>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</si>
  <si>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</si>
  <si>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</si>
  <si>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</si>
  <si>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</si>
  <si>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</si>
  <si>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</si>
  <si>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</si>
  <si>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</si>
  <si>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</si>
  <si>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</si>
  <si>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</si>
  <si>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</si>
  <si>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</si>
  <si>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</si>
  <si>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</si>
  <si>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</si>
  <si>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</si>
  <si>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</si>
  <si>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</si>
  <si>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</si>
  <si>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</si>
  <si>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</si>
  <si>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</si>
  <si>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</si>
  <si>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</si>
  <si>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</si>
  <si>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</si>
  <si>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</si>
  <si>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</si>
  <si>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</si>
  <si>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</si>
  <si>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</si>
  <si>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</si>
  <si>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</si>
  <si>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</si>
  <si>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</si>
  <si>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</si>
  <si>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</si>
  <si>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</si>
  <si>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</si>
  <si>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</si>
  <si>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</si>
  <si>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</si>
  <si>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</si>
  <si>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</si>
  <si>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</si>
  <si>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</si>
  <si>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</si>
  <si>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</si>
  <si>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</si>
  <si>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</si>
  <si>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</si>
  <si>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</si>
  <si>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</si>
  <si>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</si>
  <si>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</si>
  <si>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</si>
  <si>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</si>
  <si>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</si>
  <si>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</si>
  <si>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</si>
  <si>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</si>
  <si>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</si>
  <si>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</si>
  <si>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</si>
  <si>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</si>
  <si>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</si>
  <si>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</si>
  <si>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</si>
  <si>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</si>
  <si>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</si>
  <si>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</si>
  <si>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</si>
  <si>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</si>
  <si>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</si>
  <si>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</si>
  <si>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</si>
  <si>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</si>
  <si>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</si>
  <si>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</si>
  <si>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</si>
  <si>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</si>
  <si>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</si>
  <si>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</si>
  <si>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</si>
  <si>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</si>
  <si>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</si>
  <si>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</si>
  <si>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</si>
  <si>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</si>
  <si>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</si>
  <si>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</si>
  <si>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</si>
  <si>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</si>
  <si>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</si>
  <si>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</si>
  <si>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</si>
  <si>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</si>
  <si>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</si>
  <si>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</si>
  <si>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</si>
  <si>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</si>
  <si>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</si>
  <si>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</si>
  <si>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</si>
  <si>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</si>
  <si>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</si>
  <si>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</si>
  <si>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</si>
  <si>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</si>
  <si>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</si>
  <si>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</si>
  <si>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</si>
  <si>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</si>
  <si>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</si>
  <si>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</si>
  <si>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</si>
  <si>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</si>
  <si>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</si>
  <si>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</si>
  <si>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</si>
  <si>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</si>
  <si>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</si>
  <si>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</si>
  <si>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</si>
  <si>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</si>
  <si>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</si>
  <si>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</si>
  <si>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</si>
  <si>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</si>
  <si>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</si>
  <si>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</si>
  <si>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</si>
  <si>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</si>
  <si>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</si>
  <si>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</si>
  <si>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</si>
  <si>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</si>
  <si>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</si>
  <si>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</si>
  <si>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</si>
  <si>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</si>
  <si>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</si>
  <si>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</si>
  <si>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</si>
  <si>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</si>
  <si>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</si>
  <si>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</si>
  <si>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</si>
  <si>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</si>
  <si>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</si>
  <si>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</si>
  <si>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</si>
  <si>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</si>
  <si>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</si>
  <si>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</si>
  <si>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</si>
  <si>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</si>
  <si>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</si>
  <si>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</si>
  <si>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</si>
  <si>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</si>
  <si>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</si>
  <si>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</si>
  <si>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</si>
  <si>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</si>
  <si>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</si>
  <si>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</si>
  <si>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</si>
  <si>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</si>
  <si>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</si>
  <si>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</si>
  <si>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</si>
  <si>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</si>
  <si>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</si>
  <si>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</si>
  <si>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</si>
  <si>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</si>
  <si>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</si>
  <si>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</si>
  <si>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</si>
  <si>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</si>
  <si>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</si>
  <si>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</si>
  <si>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</si>
  <si>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</si>
  <si>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</si>
  <si>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</si>
  <si>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</si>
  <si>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</si>
  <si>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</si>
  <si>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</si>
  <si>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</si>
  <si>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</si>
  <si>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</si>
  <si>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</si>
  <si>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</si>
  <si>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</si>
  <si>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</si>
  <si>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</si>
  <si>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</si>
  <si>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</si>
  <si>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</si>
  <si>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</si>
  <si>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</si>
  <si>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</si>
  <si>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</si>
  <si>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</si>
  <si>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</si>
  <si>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</si>
  <si>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</si>
  <si>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</si>
  <si>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</si>
  <si>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</si>
  <si>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</si>
  <si>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</si>
  <si>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</si>
  <si>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</si>
  <si>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</si>
  <si>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</si>
  <si>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</si>
  <si>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</si>
  <si>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</si>
  <si>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</si>
  <si>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</si>
  <si>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</si>
  <si>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</si>
  <si>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</si>
  <si>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</si>
  <si>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</si>
  <si>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</si>
  <si>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</si>
  <si>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</si>
  <si>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</si>
  <si>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</si>
  <si>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</si>
  <si>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</si>
  <si>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</si>
  <si>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</si>
  <si>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</si>
  <si>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</si>
  <si>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</si>
  <si>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</si>
  <si>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</si>
  <si>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</si>
  <si>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</si>
  <si>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</si>
  <si>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</si>
  <si>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</si>
  <si>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</si>
  <si>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</si>
  <si>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</si>
  <si>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</si>
  <si>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</si>
  <si>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</si>
  <si>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</si>
  <si>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</si>
  <si>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</si>
  <si>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</si>
  <si>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</si>
  <si>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</si>
  <si>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</si>
  <si>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</si>
  <si>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</si>
  <si>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</si>
  <si>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</si>
  <si>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</si>
  <si>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</si>
  <si>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</si>
  <si>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</si>
  <si>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</si>
  <si>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</si>
  <si>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</si>
  <si>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</si>
  <si>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</si>
  <si>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</si>
  <si>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</si>
  <si>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</si>
  <si>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</si>
  <si>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</si>
  <si>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</si>
  <si>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</si>
  <si>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</si>
  <si>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</si>
  <si>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</si>
  <si>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</si>
  <si>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</si>
  <si>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</si>
  <si>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</si>
  <si>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</si>
  <si>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</si>
  <si>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</si>
  <si>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</si>
  <si>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</si>
  <si>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</si>
  <si>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</si>
  <si>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</si>
  <si>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</si>
  <si>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</si>
  <si>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</si>
  <si>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</si>
  <si>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</si>
  <si>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</si>
  <si>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</si>
  <si>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</si>
  <si>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</si>
  <si>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</si>
  <si>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</si>
  <si>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</si>
  <si>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</si>
  <si>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</si>
  <si>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</si>
  <si>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</si>
  <si>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</si>
  <si>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</si>
  <si>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</si>
  <si>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</si>
  <si>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</si>
  <si>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</si>
  <si>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</si>
  <si>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</si>
  <si>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</si>
  <si>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</si>
  <si>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</si>
  <si>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</si>
  <si>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</si>
  <si>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</si>
  <si>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</si>
  <si>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</si>
  <si>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</si>
  <si>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</si>
  <si>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</si>
  <si>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</si>
  <si>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</si>
  <si>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</si>
  <si>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</si>
  <si>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</si>
  <si>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</si>
  <si>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</si>
  <si>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</si>
  <si>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</si>
  <si>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</si>
  <si>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</si>
  <si>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</si>
  <si>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</si>
  <si>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</si>
  <si>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</si>
  <si>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</si>
  <si>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</si>
  <si>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</si>
  <si>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</si>
  <si>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</si>
  <si>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</si>
  <si>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</si>
  <si>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</si>
  <si>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</si>
  <si>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</si>
  <si>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</si>
  <si>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</si>
  <si>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</si>
  <si>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</si>
  <si>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</si>
  <si>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</si>
  <si>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</si>
  <si>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</si>
  <si>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</si>
  <si>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</si>
  <si>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</si>
  <si>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</si>
  <si>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</si>
  <si>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</si>
  <si>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</si>
  <si>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</si>
  <si>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</si>
  <si>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</si>
  <si>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</si>
  <si>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</si>
  <si>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</si>
  <si>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</si>
  <si>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</si>
  <si>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</si>
  <si>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</si>
  <si>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</si>
  <si>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</si>
  <si>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</si>
  <si>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</si>
  <si>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</si>
  <si>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</si>
  <si>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</si>
  <si>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</si>
  <si>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</si>
  <si>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</si>
  <si>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</si>
  <si>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</si>
  <si>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</si>
  <si>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</si>
  <si>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</si>
  <si>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</si>
  <si>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</si>
  <si>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</si>
  <si>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</si>
  <si>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</si>
  <si>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</si>
  <si>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</si>
  <si>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</si>
  <si>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</si>
  <si>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</si>
  <si>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</si>
  <si>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</si>
  <si>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</si>
  <si>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</si>
  <si>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</si>
  <si>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</si>
  <si>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</si>
  <si>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</si>
  <si>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</si>
  <si>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</si>
  <si>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</si>
  <si>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</si>
  <si>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</si>
  <si>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</si>
  <si>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</si>
  <si>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</si>
  <si>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</si>
  <si>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</si>
  <si>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</si>
  <si>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</si>
  <si>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</si>
  <si>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</si>
  <si>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</si>
  <si>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</si>
  <si>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</si>
  <si>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</si>
  <si>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</si>
  <si>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</si>
  <si>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</si>
  <si>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</si>
  <si>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</si>
  <si>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</si>
  <si>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</si>
  <si>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</si>
  <si>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</si>
  <si>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</si>
  <si>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</si>
  <si>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</si>
  <si>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</si>
  <si>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</si>
  <si>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</si>
  <si>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</si>
  <si>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</si>
  <si>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</si>
  <si>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</si>
  <si>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</si>
  <si>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</si>
  <si>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</si>
  <si>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</si>
  <si>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</si>
  <si>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</si>
  <si>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</si>
  <si>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</si>
  <si>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</si>
  <si>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</si>
  <si>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</si>
  <si>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</si>
  <si>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</si>
  <si>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</si>
  <si>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</si>
  <si>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</si>
  <si>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</si>
  <si>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</si>
  <si>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</si>
  <si>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</si>
  <si>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</si>
  <si>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</si>
  <si>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</si>
  <si>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</si>
  <si>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</si>
  <si>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</si>
  <si>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</si>
  <si>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</si>
  <si>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</si>
  <si>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</si>
  <si>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</si>
  <si>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</si>
  <si>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</si>
  <si>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</si>
  <si>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</si>
  <si>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</si>
  <si>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</si>
  <si>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</si>
  <si>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</si>
  <si>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</si>
  <si>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</si>
  <si>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</si>
  <si>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</si>
  <si>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</si>
  <si>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</si>
  <si>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</si>
  <si>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</si>
  <si>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</si>
  <si>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</si>
  <si>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</si>
  <si>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</si>
  <si>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</si>
  <si>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</si>
  <si>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</si>
  <si>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</si>
  <si>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</si>
  <si>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</si>
  <si>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</si>
  <si>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</si>
  <si>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</si>
  <si>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</si>
  <si>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</si>
  <si>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</si>
  <si>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</si>
  <si>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</si>
  <si>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</si>
  <si>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</si>
  <si>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</si>
  <si>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</si>
  <si>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</si>
  <si>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</si>
  <si>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</si>
  <si>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</si>
  <si>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</si>
  <si>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</si>
  <si>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</si>
  <si>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</si>
  <si>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</si>
  <si>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</si>
  <si>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</si>
  <si>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</si>
  <si>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</si>
  <si>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</si>
  <si>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</si>
  <si>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</si>
  <si>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</si>
  <si>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</si>
  <si>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</si>
  <si>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</si>
  <si>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</si>
  <si>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</si>
  <si>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</si>
  <si>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</si>
  <si>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</si>
  <si>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</si>
  <si>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</si>
  <si>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</si>
  <si>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</si>
  <si>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</si>
  <si>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</si>
  <si>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</si>
  <si>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</si>
  <si>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</si>
  <si>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</si>
  <si>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</si>
  <si>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</si>
  <si>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</si>
  <si>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</si>
  <si>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</si>
  <si>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</si>
  <si>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</si>
  <si>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</si>
  <si>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</si>
  <si>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</si>
  <si>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</si>
  <si>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</si>
  <si>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</si>
  <si>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</si>
  <si>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</si>
  <si>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</si>
  <si>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</si>
  <si>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</si>
  <si>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</si>
  <si>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</si>
  <si>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</si>
  <si>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</si>
  <si>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</si>
  <si>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</si>
  <si>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</si>
  <si>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</si>
  <si>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</si>
  <si>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</si>
  <si>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</si>
  <si>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</si>
  <si>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</si>
  <si>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</si>
  <si>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</si>
  <si>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</si>
  <si>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</si>
  <si>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</si>
  <si>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</si>
  <si>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</si>
  <si>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</si>
  <si>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</si>
  <si>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</si>
  <si>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</si>
  <si>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</si>
  <si>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</si>
  <si>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</si>
  <si>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</si>
  <si>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</si>
  <si>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</si>
  <si>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</si>
  <si>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</si>
  <si>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</si>
  <si>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</si>
  <si>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</si>
  <si>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</si>
  <si>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</si>
  <si>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</si>
  <si>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</si>
  <si>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</si>
  <si>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</si>
  <si>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</si>
  <si>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</si>
  <si>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</si>
  <si>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</si>
  <si>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</si>
  <si>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</si>
  <si>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</si>
  <si>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</si>
  <si>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</si>
  <si>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</si>
  <si>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</si>
  <si>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</si>
  <si>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</si>
  <si>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</si>
  <si>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</si>
  <si>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</si>
  <si>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</si>
  <si>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</si>
  <si>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</si>
  <si>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</si>
  <si>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</si>
  <si>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</si>
  <si>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</si>
  <si>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</si>
  <si>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</si>
  <si>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</si>
  <si>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</si>
  <si>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</si>
  <si>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</si>
  <si>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</si>
  <si>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</si>
  <si>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</si>
  <si>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</si>
  <si>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</si>
  <si>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</si>
  <si>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</si>
  <si>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</si>
  <si>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</si>
  <si>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</si>
  <si>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</si>
  <si>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</si>
  <si>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</si>
  <si>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</si>
  <si>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</si>
  <si>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</si>
  <si>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</si>
  <si>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</si>
  <si>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</si>
  <si>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</si>
  <si>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</si>
  <si>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</si>
  <si>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</si>
  <si>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</si>
  <si>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</si>
  <si>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</si>
  <si>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</si>
  <si>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</si>
  <si>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</si>
  <si>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</si>
  <si>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</si>
  <si>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</si>
  <si>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</si>
  <si>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</si>
  <si>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</si>
  <si>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</si>
  <si>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</si>
  <si>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</si>
  <si>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</si>
  <si>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</si>
  <si>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</si>
  <si>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</si>
  <si>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</si>
  <si>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</si>
  <si>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</si>
  <si>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</si>
  <si>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</si>
  <si>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</si>
  <si>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</si>
  <si>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</si>
  <si>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</si>
  <si>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</si>
  <si>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</si>
  <si>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</si>
  <si>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</si>
  <si>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</si>
  <si>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</si>
  <si>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</si>
  <si>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</si>
  <si>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</si>
  <si>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</si>
  <si>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</si>
  <si>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</si>
  <si>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</si>
  <si>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</si>
  <si>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</si>
  <si>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</si>
  <si>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</si>
  <si>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</si>
  <si>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</si>
  <si>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</si>
  <si>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</si>
  <si>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</si>
  <si>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</si>
  <si>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</si>
  <si>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</si>
  <si>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</si>
  <si>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</si>
  <si>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</si>
  <si>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</si>
  <si>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</si>
  <si>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</si>
  <si>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</si>
  <si>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</si>
  <si>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</si>
  <si>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</si>
  <si>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</si>
  <si>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</si>
  <si>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</si>
  <si>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</si>
  <si>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</si>
  <si>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</si>
  <si>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</si>
  <si>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</si>
  <si>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</si>
  <si>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</si>
  <si>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</si>
  <si>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</si>
  <si>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</si>
  <si>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</si>
  <si>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</si>
  <si>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</si>
  <si>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</si>
  <si>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</si>
  <si>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</si>
  <si>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</si>
  <si>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</si>
  <si>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</si>
  <si>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</si>
  <si>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</si>
  <si>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</si>
  <si>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</si>
  <si>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</si>
  <si>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</si>
  <si>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</si>
  <si>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</si>
  <si>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</si>
  <si>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</si>
  <si>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</si>
  <si>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</si>
  <si>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</si>
  <si>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</si>
  <si>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</si>
  <si>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</si>
  <si>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</si>
  <si>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</si>
  <si>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</si>
  <si>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</si>
  <si>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</si>
  <si>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</si>
  <si>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</si>
  <si>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</si>
  <si>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</si>
  <si>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</si>
  <si>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</si>
  <si>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</si>
  <si>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</si>
  <si>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</si>
  <si>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</si>
  <si>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</si>
  <si>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</si>
  <si>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</si>
  <si>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</si>
  <si>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</si>
  <si>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</si>
  <si>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</si>
  <si>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</si>
  <si>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</si>
  <si>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</si>
  <si>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</si>
  <si>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</si>
  <si>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</si>
  <si>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</si>
  <si>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</si>
  <si>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</si>
  <si>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</si>
  <si>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</si>
  <si>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</si>
  <si>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</si>
  <si>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</si>
  <si>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</si>
  <si>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</si>
  <si>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</si>
  <si>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</si>
  <si>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</si>
  <si>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</si>
  <si>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</si>
  <si>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</si>
  <si>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</si>
  <si>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</si>
  <si>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</si>
  <si>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</si>
  <si>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</si>
  <si>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</si>
  <si>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</si>
  <si>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</si>
  <si>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</si>
  <si>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</si>
  <si>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</si>
  <si>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</si>
  <si>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</si>
  <si>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</si>
  <si>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</si>
  <si>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</si>
  <si>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</si>
  <si>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</si>
  <si>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</si>
  <si>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</si>
  <si>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</si>
  <si>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</si>
  <si>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</si>
  <si>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</si>
  <si>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</si>
  <si>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</si>
  <si>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</si>
  <si>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</si>
  <si>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</si>
  <si>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</si>
  <si>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</si>
  <si>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</si>
  <si>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</si>
  <si>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</si>
  <si>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</si>
  <si>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</si>
  <si>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</si>
  <si>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</si>
  <si>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</si>
  <si>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</si>
  <si>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</si>
  <si>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</si>
  <si>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</si>
  <si>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</si>
  <si>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</si>
  <si>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</si>
  <si>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</si>
  <si>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</si>
  <si>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</si>
  <si>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</si>
  <si>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</si>
  <si>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</si>
  <si>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</si>
  <si>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</si>
  <si>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</si>
  <si>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</si>
  <si>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</si>
  <si>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</si>
  <si>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</si>
  <si>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</si>
  <si>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</si>
  <si>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</si>
  <si>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</si>
  <si>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</si>
  <si>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</si>
  <si>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</si>
  <si>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</si>
  <si>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</si>
  <si>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</si>
  <si>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</si>
  <si>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</si>
  <si>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</si>
  <si>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</si>
  <si>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</si>
  <si>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</si>
  <si>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</si>
  <si>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</si>
  <si>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</si>
  <si>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</si>
  <si>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</si>
  <si>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</si>
  <si>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</si>
  <si>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</si>
  <si>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</si>
  <si>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</si>
  <si>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</si>
  <si>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</si>
  <si>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</si>
  <si>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</si>
  <si>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</si>
  <si>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</si>
  <si>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</si>
  <si>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</si>
  <si>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</si>
  <si>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</si>
  <si>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</si>
  <si>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</si>
  <si>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</si>
  <si>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</si>
  <si>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</si>
  <si>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</si>
  <si>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</si>
  <si>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</si>
  <si>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</si>
  <si>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</si>
  <si>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</si>
  <si>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</si>
  <si>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</si>
  <si>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</si>
  <si>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</si>
  <si>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</si>
  <si>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</si>
  <si>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</si>
  <si>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</si>
  <si>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</si>
  <si>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</si>
  <si>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</si>
  <si>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</si>
  <si>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</si>
  <si>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</si>
  <si>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</si>
  <si>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</si>
  <si>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</si>
  <si>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</si>
  <si>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</si>
  <si>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</si>
  <si>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</si>
  <si>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</si>
  <si>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</si>
  <si>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</si>
  <si>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</si>
  <si>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</si>
  <si>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</si>
  <si>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</si>
  <si>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</si>
  <si>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</si>
  <si>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</si>
  <si>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</si>
  <si>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</si>
  <si>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</si>
  <si>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</si>
  <si>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</si>
  <si>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</si>
  <si>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</si>
  <si>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</si>
  <si>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</si>
  <si>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</si>
  <si>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</si>
  <si>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</si>
  <si>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</si>
  <si>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</si>
  <si>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</si>
  <si>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</si>
  <si>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</si>
  <si>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</si>
  <si>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</si>
  <si>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</si>
  <si>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</si>
  <si>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</si>
  <si>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</si>
  <si>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</si>
  <si>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</si>
  <si>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</si>
  <si>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</si>
  <si>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</si>
  <si>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</si>
  <si>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</si>
  <si>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</si>
  <si>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</si>
  <si>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</si>
  <si>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</si>
  <si>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</si>
  <si>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</si>
  <si>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</si>
  <si>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</si>
  <si>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</si>
  <si>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</si>
  <si>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</si>
  <si>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</si>
  <si>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</si>
  <si>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</si>
  <si>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</si>
  <si>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</si>
  <si>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</si>
  <si>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</si>
  <si>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</si>
  <si>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</si>
  <si>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</si>
  <si>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</si>
  <si>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</si>
  <si>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</si>
  <si>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</si>
  <si>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</si>
  <si>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</si>
  <si>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</si>
  <si>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</si>
  <si>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</si>
  <si>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</si>
  <si>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</si>
  <si>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</si>
  <si>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</si>
  <si>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</si>
  <si>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</si>
  <si>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</si>
  <si>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</si>
  <si>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</si>
  <si>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</si>
  <si>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</si>
  <si>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</si>
  <si>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</si>
  <si>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</si>
  <si>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</si>
  <si>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</si>
  <si>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</si>
  <si>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</si>
  <si>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</si>
  <si>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</si>
  <si>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</si>
  <si>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</si>
  <si>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</si>
  <si>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</si>
  <si>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</si>
  <si>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</si>
  <si>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</si>
  <si>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</si>
  <si>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</si>
  <si>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</si>
  <si>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</si>
  <si>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</si>
  <si>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</si>
  <si>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</si>
  <si>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</si>
  <si>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</si>
  <si>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</si>
  <si>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</si>
  <si>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</si>
  <si>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</si>
  <si>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</si>
  <si>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</si>
  <si>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</si>
  <si>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</si>
  <si>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</si>
  <si>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</si>
  <si>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</si>
  <si>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</si>
  <si>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</si>
  <si>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</si>
  <si>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</si>
  <si>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</si>
  <si>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</si>
  <si>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</si>
  <si>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</si>
  <si>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</si>
  <si>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</si>
  <si>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</si>
  <si>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</si>
  <si>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</si>
  <si>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</si>
  <si>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</si>
  <si>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</si>
  <si>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</si>
  <si>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</si>
  <si>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</si>
  <si>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</si>
  <si>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</si>
  <si>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</si>
  <si>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</si>
  <si>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</si>
  <si>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</si>
  <si>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</si>
  <si>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</si>
  <si>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</si>
  <si>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</si>
  <si>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</si>
  <si>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</si>
  <si>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</si>
  <si>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</si>
  <si>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</si>
  <si>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</si>
  <si>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</si>
  <si>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</si>
  <si>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</si>
  <si>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</si>
  <si>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</si>
  <si>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</si>
  <si>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</si>
  <si>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</si>
  <si>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</si>
  <si>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</si>
  <si>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</si>
  <si>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</si>
  <si>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</si>
  <si>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</si>
  <si>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</si>
  <si>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</si>
  <si>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</si>
  <si>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</si>
  <si>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</si>
  <si>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</si>
  <si>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</si>
  <si>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</si>
  <si>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</si>
  <si>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</si>
  <si>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</si>
  <si>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</si>
  <si>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</si>
  <si>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</si>
  <si>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</si>
  <si>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</si>
  <si>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</si>
  <si>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</si>
  <si>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</si>
  <si>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</si>
  <si>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</si>
  <si>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</si>
  <si>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</si>
  <si>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</si>
  <si>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</si>
  <si>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</si>
  <si>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</si>
  <si>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</si>
  <si>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</si>
  <si>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</si>
  <si>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</si>
  <si>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</si>
  <si>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</si>
  <si>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</si>
  <si>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</si>
  <si>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</si>
  <si>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</si>
  <si>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</si>
  <si>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</si>
  <si>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</si>
  <si>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</si>
  <si>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</si>
  <si>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</si>
  <si>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</si>
  <si>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</si>
  <si>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</si>
  <si>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</si>
  <si>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</si>
  <si>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</si>
  <si>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</si>
  <si>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</si>
  <si>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</si>
  <si>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</si>
  <si>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</si>
  <si>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</si>
  <si>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</si>
  <si>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</si>
  <si>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</si>
  <si>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</si>
  <si>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</si>
  <si>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</si>
  <si>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</si>
  <si>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</si>
  <si>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</si>
  <si>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</si>
  <si>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</si>
  <si>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</si>
  <si>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</si>
  <si>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</si>
  <si>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</si>
  <si>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</si>
  <si>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</si>
  <si>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</si>
  <si>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</si>
  <si>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</si>
  <si>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</si>
  <si>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</si>
  <si>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</si>
  <si>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</si>
  <si>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</si>
  <si>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</si>
  <si>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</si>
  <si>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</si>
  <si>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</si>
  <si>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</si>
  <si>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</si>
  <si>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</si>
  <si>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</si>
  <si>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</si>
  <si>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</si>
  <si>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</si>
  <si>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</si>
  <si>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</si>
  <si>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</si>
  <si>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</si>
  <si>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</si>
  <si>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</si>
  <si>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</si>
  <si>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</si>
  <si>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</si>
  <si>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</si>
  <si>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</si>
  <si>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</si>
  <si>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</si>
  <si>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</si>
  <si>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</si>
  <si>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</si>
  <si>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</si>
  <si>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</si>
  <si>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</si>
  <si>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</si>
  <si>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</si>
  <si>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</si>
  <si>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</si>
  <si>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</si>
  <si>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</si>
  <si>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</si>
  <si>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</si>
  <si>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</si>
  <si>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</si>
  <si>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</si>
  <si>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</si>
  <si>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</si>
  <si>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</si>
  <si>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</si>
  <si>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</si>
  <si>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</si>
  <si>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</si>
  <si>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</si>
  <si>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</si>
  <si>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</si>
  <si>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</si>
  <si>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</si>
  <si>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</si>
  <si>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</si>
  <si>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</si>
  <si>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</si>
  <si>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</si>
  <si>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</si>
  <si>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</si>
  <si>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</si>
  <si>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</si>
  <si>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</si>
  <si>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</si>
  <si>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</si>
  <si>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</si>
  <si>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</si>
  <si>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</si>
  <si>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</si>
  <si>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</si>
  <si>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</si>
  <si>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</si>
  <si>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</si>
  <si>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</si>
  <si>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</si>
  <si>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</si>
  <si>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</si>
  <si>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</si>
  <si>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</si>
  <si>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</si>
  <si>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</si>
  <si>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</si>
  <si>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</si>
  <si>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</si>
  <si>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</si>
  <si>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</si>
  <si>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</si>
  <si>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</si>
  <si>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</si>
  <si>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</si>
  <si>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</si>
  <si>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</si>
  <si>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</si>
  <si>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</si>
  <si>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</si>
  <si>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</si>
  <si>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</si>
  <si>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</si>
  <si>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</si>
  <si>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</si>
  <si>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</si>
  <si>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</si>
  <si>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</si>
  <si>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</si>
  <si>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</si>
  <si>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</si>
  <si>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</si>
  <si>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</si>
  <si>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</si>
  <si>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</si>
  <si>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</si>
  <si>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</si>
  <si>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</si>
  <si>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</si>
  <si>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</si>
  <si>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</si>
  <si>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</si>
  <si>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</si>
  <si>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</si>
  <si>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</si>
  <si>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</si>
  <si>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</si>
  <si>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</si>
  <si>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</si>
  <si>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</si>
  <si>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</si>
  <si>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</si>
  <si>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</si>
  <si>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</si>
  <si>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</si>
  <si>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</si>
  <si>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</si>
  <si>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</si>
  <si>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</si>
  <si>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</si>
  <si>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</si>
  <si>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</si>
  <si>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</si>
  <si>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</si>
  <si>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</si>
  <si>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</si>
  <si>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</si>
  <si>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</si>
  <si>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</si>
  <si>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</si>
  <si>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</si>
  <si>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</si>
  <si>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</si>
  <si>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</si>
  <si>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</si>
  <si>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</si>
  <si>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</si>
  <si>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</si>
  <si>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</si>
  <si>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</si>
  <si>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</si>
  <si>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</si>
  <si>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</si>
  <si>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</si>
  <si>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</si>
  <si>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</si>
  <si>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</si>
  <si>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</si>
  <si>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</si>
  <si>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</si>
  <si>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</si>
  <si>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</si>
  <si>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</si>
  <si>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</si>
  <si>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</si>
  <si>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</si>
  <si>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</si>
  <si>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</si>
  <si>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</si>
  <si>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</si>
  <si>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</si>
  <si>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</si>
  <si>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</si>
  <si>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</si>
  <si>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</si>
  <si>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</si>
  <si>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</si>
  <si>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</si>
  <si>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</si>
  <si>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</si>
  <si>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</si>
  <si>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</si>
  <si>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</si>
  <si>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</si>
  <si>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</si>
  <si>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</si>
  <si>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</si>
  <si>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</si>
  <si>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</si>
  <si>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</si>
  <si>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</si>
  <si>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</si>
  <si>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</si>
  <si>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</si>
  <si>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</si>
  <si>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</si>
  <si>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</si>
  <si>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</si>
  <si>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</si>
  <si>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</si>
  <si>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</si>
  <si>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</si>
  <si>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</si>
  <si>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</si>
  <si>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</si>
  <si>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</si>
  <si>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</si>
  <si>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</si>
  <si>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</si>
  <si>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</si>
  <si>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</si>
  <si>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</si>
  <si>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</si>
  <si>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</si>
  <si>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</si>
  <si>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</si>
  <si>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</si>
  <si>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</si>
  <si>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</si>
  <si>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</si>
  <si>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</si>
  <si>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</si>
  <si>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</si>
  <si>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</si>
  <si>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</si>
  <si>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</si>
  <si>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</si>
  <si>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</si>
  <si>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</si>
  <si>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</si>
  <si>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</si>
  <si>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</si>
  <si>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</si>
  <si>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</si>
  <si>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</si>
  <si>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</si>
  <si>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</si>
  <si>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</si>
  <si>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</si>
  <si>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</si>
  <si>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</si>
  <si>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</si>
  <si>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</si>
  <si>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</si>
  <si>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</si>
  <si>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</si>
  <si>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</si>
  <si>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</si>
  <si>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</si>
  <si>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</si>
  <si>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</si>
  <si>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</si>
  <si>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</si>
  <si>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</si>
  <si>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</si>
  <si>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</si>
  <si>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</si>
  <si>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</si>
  <si>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</si>
  <si>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</si>
  <si>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</si>
  <si>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</si>
  <si>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</si>
  <si>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</si>
  <si>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</si>
  <si>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</si>
  <si>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</si>
  <si>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</si>
  <si>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</si>
  <si>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</si>
  <si>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</si>
  <si>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</si>
  <si>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</si>
  <si>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</si>
  <si>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</si>
  <si>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</si>
  <si>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</si>
  <si>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</si>
  <si>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</si>
  <si>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</si>
  <si>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</si>
  <si>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</si>
  <si>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</si>
  <si>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</si>
  <si>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</si>
  <si>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</si>
  <si>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</si>
  <si>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</si>
  <si>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</si>
  <si>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</si>
  <si>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</si>
  <si>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</si>
  <si>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</si>
  <si>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</si>
  <si>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</si>
  <si>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</si>
  <si>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</si>
  <si>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</si>
  <si>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</si>
  <si>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</si>
  <si>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</si>
  <si>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</si>
  <si>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</si>
  <si>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</si>
  <si>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</si>
  <si>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</si>
  <si>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</si>
  <si>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</si>
  <si>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</si>
  <si>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</si>
  <si>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</si>
  <si>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</si>
  <si>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</si>
  <si>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</si>
  <si>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</si>
  <si>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</si>
  <si>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</si>
  <si>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</si>
  <si>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</si>
  <si>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</si>
  <si>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</si>
  <si>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</si>
  <si>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</si>
  <si>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</si>
  <si>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</si>
  <si>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</si>
  <si>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</si>
  <si>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</si>
  <si>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</si>
  <si>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</si>
  <si>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</si>
  <si>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</si>
  <si>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</si>
  <si>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</si>
  <si>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</si>
  <si>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</si>
  <si>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</si>
  <si>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</si>
  <si>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</si>
  <si>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</si>
  <si>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</si>
  <si>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</si>
  <si>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</si>
  <si>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</si>
  <si>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</si>
  <si>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</si>
  <si>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</si>
  <si>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</si>
  <si>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</si>
  <si>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</si>
  <si>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</si>
  <si>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</si>
  <si>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</si>
  <si>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</si>
  <si>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</si>
  <si>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</si>
  <si>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</si>
  <si>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</si>
  <si>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</si>
  <si>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</si>
  <si>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</si>
  <si>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</si>
  <si>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</si>
  <si>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</si>
  <si>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</si>
  <si>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</si>
  <si>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</si>
  <si>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</si>
  <si>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</si>
  <si>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</si>
  <si>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</si>
  <si>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</si>
  <si>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</si>
  <si>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</si>
  <si>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</si>
  <si>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</si>
  <si>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</si>
  <si>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</si>
  <si>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</si>
  <si>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</si>
  <si>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</si>
  <si>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</si>
  <si>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</si>
  <si>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</si>
  <si>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</si>
  <si>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</si>
  <si>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</si>
  <si>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</si>
  <si>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</si>
  <si>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</si>
  <si>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</si>
  <si>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</si>
  <si>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</si>
  <si>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</si>
  <si>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</si>
  <si>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</si>
  <si>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</si>
  <si>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</si>
  <si>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</si>
  <si>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</si>
  <si>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</si>
  <si>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</si>
  <si>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</si>
  <si>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</si>
  <si>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</si>
  <si>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</si>
  <si>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</si>
  <si>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</si>
  <si>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</si>
  <si>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</si>
  <si>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</si>
  <si>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</si>
  <si>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</si>
  <si>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</si>
  <si>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</si>
  <si>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</si>
  <si>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</si>
  <si>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</si>
  <si>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</si>
  <si>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</si>
  <si>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</si>
  <si>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</si>
  <si>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</si>
  <si>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</si>
  <si>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</si>
  <si>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</si>
  <si>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</si>
  <si>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</si>
  <si>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</si>
  <si>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</si>
  <si>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</si>
  <si>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</si>
  <si>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</si>
  <si>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</si>
  <si>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</si>
  <si>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</si>
  <si>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</si>
  <si>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</si>
  <si>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</si>
  <si>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</si>
  <si>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</si>
  <si>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</si>
  <si>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</si>
  <si>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</si>
  <si>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</si>
  <si>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</si>
  <si>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</si>
  <si>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</si>
  <si>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</si>
  <si>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</si>
  <si>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</si>
  <si>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</si>
  <si>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</si>
  <si>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</si>
  <si>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</si>
  <si>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</si>
  <si>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</si>
  <si>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</si>
  <si>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</si>
  <si>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</si>
  <si>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</si>
  <si>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</si>
  <si>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</si>
  <si>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</si>
  <si>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</si>
  <si>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</si>
  <si>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</si>
  <si>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</si>
  <si>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</si>
  <si>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</si>
  <si>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</si>
  <si>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</si>
  <si>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</si>
  <si>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</si>
  <si>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</si>
  <si>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</si>
  <si>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</si>
  <si>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</si>
  <si>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</si>
  <si>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</si>
  <si>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</si>
  <si>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</si>
  <si>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</si>
  <si>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</si>
  <si>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</si>
  <si>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</si>
  <si>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</si>
  <si>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</si>
  <si>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</si>
  <si>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</si>
  <si>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</si>
  <si>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</si>
  <si>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</si>
  <si>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</si>
  <si>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</si>
  <si>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</si>
  <si>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</si>
  <si>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</si>
  <si>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</si>
  <si>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</si>
  <si>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</si>
  <si>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</si>
  <si>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</si>
  <si>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</si>
  <si>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</si>
  <si>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</si>
  <si>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</si>
  <si>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</si>
  <si>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</si>
  <si>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</si>
  <si>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</si>
  <si>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</si>
  <si>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</si>
  <si>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</si>
  <si>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</si>
  <si>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</si>
  <si>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</si>
  <si>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</si>
  <si>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</si>
  <si>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</si>
  <si>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</si>
  <si>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</si>
  <si>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</si>
  <si>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</si>
  <si>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</si>
  <si>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</si>
  <si>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</si>
  <si>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</si>
  <si>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</si>
  <si>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</si>
  <si>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</si>
  <si>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</si>
  <si>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</si>
  <si>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</si>
  <si>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</si>
  <si>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</si>
  <si>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</si>
  <si>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</si>
  <si>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</si>
  <si>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</si>
  <si>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</si>
  <si>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</si>
  <si>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</si>
  <si>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</si>
  <si>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</si>
  <si>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</si>
  <si>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</si>
  <si>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</si>
  <si>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</si>
  <si>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</si>
  <si>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</si>
  <si>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</si>
  <si>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</si>
  <si>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</si>
  <si>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</si>
  <si>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</si>
  <si>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</si>
  <si>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</si>
  <si>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</si>
  <si>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</si>
  <si>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</si>
  <si>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</si>
  <si>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</si>
  <si>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</si>
  <si>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</si>
  <si>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</si>
  <si>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</si>
  <si>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</si>
  <si>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</si>
  <si>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</si>
  <si>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</si>
  <si>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</si>
  <si>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</si>
  <si>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</si>
  <si>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</si>
  <si>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</si>
  <si>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</si>
  <si>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</si>
  <si>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</si>
  <si>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</si>
  <si>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</si>
  <si>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</si>
  <si>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</si>
  <si>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</si>
  <si>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</si>
  <si>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</si>
  <si>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</si>
  <si>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</si>
  <si>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</si>
  <si>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</si>
  <si>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</si>
  <si>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</si>
  <si>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</si>
  <si>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</si>
  <si>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</si>
  <si>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</si>
  <si>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</si>
  <si>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</si>
  <si>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</si>
  <si>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</si>
  <si>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</si>
  <si>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</si>
  <si>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</si>
  <si>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</si>
  <si>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</si>
  <si>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</si>
  <si>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</si>
  <si>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</si>
  <si>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</si>
  <si>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</si>
  <si>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</si>
  <si>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</si>
  <si>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</si>
  <si>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</si>
  <si>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</si>
  <si>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</si>
  <si>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</si>
  <si>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</si>
  <si>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</si>
  <si>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</si>
  <si>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</si>
  <si>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</si>
  <si>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</si>
  <si>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</si>
  <si>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</si>
  <si>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</si>
  <si>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</si>
  <si>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</si>
  <si>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</si>
  <si>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</si>
  <si>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</si>
  <si>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</si>
  <si>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</si>
  <si>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</si>
  <si>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</si>
  <si>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</si>
  <si>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</si>
  <si>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</si>
  <si>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</si>
  <si>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</si>
  <si>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</si>
  <si>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</si>
  <si>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</si>
  <si>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</si>
  <si>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</si>
  <si>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</si>
  <si>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</si>
  <si>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</si>
  <si>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</si>
  <si>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</si>
  <si>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</si>
  <si>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</si>
  <si>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</si>
  <si>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</si>
  <si>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</si>
  <si>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</si>
  <si>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</si>
  <si>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</si>
  <si>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</si>
  <si>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</si>
  <si>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</si>
  <si>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</si>
  <si>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</si>
  <si>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</si>
  <si>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</si>
  <si>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</si>
  <si>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</si>
  <si>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</si>
  <si>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</si>
  <si>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</si>
  <si>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</si>
  <si>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</si>
  <si>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</si>
  <si>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</si>
  <si>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</si>
  <si>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</si>
  <si>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</si>
  <si>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</si>
  <si>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</si>
  <si>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</si>
  <si>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</si>
  <si>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</si>
  <si>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</si>
  <si>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</si>
  <si>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</si>
  <si>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</si>
  <si>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</si>
  <si>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</si>
  <si>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</si>
  <si>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</si>
  <si>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</si>
  <si>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</si>
  <si>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</si>
  <si>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</si>
  <si>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</si>
  <si>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</si>
  <si>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</si>
  <si>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</si>
  <si>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</si>
  <si>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</si>
  <si>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</si>
  <si>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</si>
  <si>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</si>
  <si>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</si>
  <si>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</si>
  <si>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</si>
  <si>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</si>
  <si>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</si>
  <si>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</si>
  <si>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</si>
  <si>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</si>
  <si>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</si>
  <si>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</si>
  <si>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</si>
  <si>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</si>
  <si>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</si>
  <si>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</si>
  <si>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</si>
  <si>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</si>
  <si>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</si>
  <si>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</si>
  <si>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</si>
  <si>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</si>
  <si>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</si>
  <si>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</si>
  <si>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</si>
  <si>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</si>
  <si>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</si>
  <si>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</si>
  <si>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</si>
  <si>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</si>
  <si>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</si>
  <si>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</si>
  <si>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</si>
  <si>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</si>
  <si>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</si>
  <si>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</si>
  <si>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</si>
  <si>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</si>
  <si>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</si>
  <si>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</si>
  <si>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</si>
  <si>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</si>
  <si>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</si>
  <si>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</si>
  <si>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</si>
  <si>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</si>
  <si>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</si>
  <si>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</si>
  <si>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</si>
  <si>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</si>
  <si>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</si>
  <si>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</si>
  <si>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</si>
  <si>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</si>
  <si>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</si>
  <si>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</si>
  <si>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</si>
  <si>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</si>
  <si>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</si>
  <si>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</si>
  <si>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</si>
  <si>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</si>
  <si>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</si>
  <si>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</si>
  <si>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</si>
  <si>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</si>
  <si>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</si>
  <si>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</si>
  <si>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</si>
  <si>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</si>
  <si>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</si>
  <si>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</si>
  <si>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</si>
  <si>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</si>
  <si>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</si>
  <si>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</si>
  <si>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</si>
  <si>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</si>
  <si>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</si>
  <si>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</si>
  <si>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</si>
  <si>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</si>
  <si>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</si>
  <si>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</si>
  <si>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</si>
  <si>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</si>
  <si>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</si>
  <si>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</si>
  <si>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</si>
  <si>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</si>
  <si>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</si>
  <si>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</si>
  <si>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</si>
  <si>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</si>
  <si>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</si>
  <si>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</si>
  <si>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</si>
  <si>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</si>
  <si>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</si>
  <si>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</si>
  <si>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</si>
  <si>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</si>
  <si>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</si>
  <si>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</si>
  <si>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</si>
  <si>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</si>
  <si>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</si>
  <si>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</si>
  <si>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</si>
  <si>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</si>
  <si>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</si>
  <si>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</si>
  <si>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</si>
  <si>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</si>
  <si>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</si>
  <si>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</si>
  <si>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</si>
  <si>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</si>
  <si>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</si>
  <si>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</si>
  <si>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</si>
  <si>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</si>
  <si>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</si>
  <si>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</si>
  <si>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</si>
  <si>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</si>
  <si>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</si>
  <si>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</si>
  <si>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</si>
  <si>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</si>
  <si>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</si>
  <si>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</si>
  <si>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</si>
  <si>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</si>
  <si>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</si>
  <si>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</si>
  <si>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</si>
  <si>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</si>
  <si>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</si>
  <si>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</si>
  <si>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</si>
  <si>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</si>
  <si>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</si>
  <si>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</si>
  <si>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</si>
  <si>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</si>
  <si>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</si>
  <si>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</si>
  <si>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</si>
  <si>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</si>
  <si>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</si>
  <si>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</si>
  <si>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</si>
  <si>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</si>
  <si>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</si>
  <si>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</si>
  <si>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</si>
  <si>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</si>
  <si>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</si>
  <si>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</si>
  <si>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</si>
  <si>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</si>
  <si>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</si>
  <si>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</si>
  <si>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</si>
  <si>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</si>
  <si>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</si>
  <si>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</si>
  <si>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</si>
  <si>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</si>
  <si>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</si>
  <si>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</si>
  <si>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</si>
  <si>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</si>
  <si>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</si>
  <si>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</si>
  <si>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</si>
  <si>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</si>
  <si>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</si>
  <si>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</si>
  <si>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</si>
  <si>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</si>
  <si>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</si>
  <si>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</si>
  <si>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</si>
  <si>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</si>
  <si>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</si>
  <si>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</si>
  <si>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</si>
  <si>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</si>
  <si>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</si>
  <si>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</si>
  <si>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</si>
  <si>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</si>
  <si>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</si>
  <si>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</si>
  <si>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</si>
  <si>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</si>
  <si>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</si>
  <si>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</si>
  <si>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</si>
  <si>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</si>
  <si>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</si>
  <si>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</si>
  <si>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</si>
  <si>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</si>
  <si>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</si>
  <si>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</si>
  <si>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</si>
  <si>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</si>
  <si>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</si>
  <si>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</si>
  <si>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</si>
  <si>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</si>
  <si>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</si>
  <si>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</si>
  <si>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</si>
  <si>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</si>
  <si>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</si>
  <si>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</si>
  <si>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</si>
  <si>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</si>
  <si>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</si>
  <si>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</si>
  <si>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</si>
  <si>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</si>
  <si>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</si>
  <si>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</si>
  <si>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</si>
  <si>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</si>
  <si>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</si>
  <si>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</si>
  <si>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</si>
  <si>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</si>
  <si>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</si>
  <si>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</si>
  <si>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</si>
  <si>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</si>
  <si>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</si>
  <si>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</si>
  <si>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</si>
  <si>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</si>
  <si>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</si>
  <si>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</si>
  <si>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</si>
  <si>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</si>
  <si>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</si>
  <si>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</si>
  <si>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</si>
  <si>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</si>
  <si>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</si>
  <si>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</si>
  <si>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</si>
  <si>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</si>
  <si>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</si>
  <si>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</si>
  <si>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</si>
  <si>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</si>
  <si>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</si>
  <si>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</si>
  <si>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</si>
  <si>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</si>
  <si>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</si>
  <si>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</si>
  <si>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</si>
  <si>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</si>
  <si>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</si>
  <si>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</si>
  <si>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</si>
  <si>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</si>
  <si>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</si>
  <si>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</si>
  <si>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</si>
  <si>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</si>
  <si>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</si>
  <si>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</si>
  <si>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</si>
  <si>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</si>
  <si>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</si>
  <si>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</si>
  <si>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</si>
  <si>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</si>
  <si>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</si>
  <si>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</si>
  <si>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</si>
  <si>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</si>
  <si>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</si>
  <si>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</si>
  <si>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</si>
  <si>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</si>
  <si>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</si>
  <si>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</si>
  <si>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</si>
  <si>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</si>
  <si>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</si>
  <si>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</si>
  <si>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</si>
  <si>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</si>
  <si>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</si>
  <si>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</si>
  <si>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</si>
  <si>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</si>
  <si>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</si>
  <si>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</si>
  <si>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</si>
  <si>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</si>
  <si>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</si>
  <si>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</si>
  <si>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</si>
  <si>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</si>
  <si>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</si>
  <si>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</si>
  <si>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</si>
  <si>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</si>
  <si>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</si>
  <si>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</si>
  <si>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</si>
  <si>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</si>
  <si>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</si>
  <si>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</si>
  <si>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</si>
  <si>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</si>
  <si>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</si>
  <si>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</si>
  <si>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</si>
  <si>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</si>
  <si>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</si>
  <si>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</si>
  <si>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</si>
  <si>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</si>
  <si>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</si>
  <si>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</si>
  <si>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</si>
  <si>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</si>
  <si>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</si>
  <si>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</si>
  <si>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</si>
  <si>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</si>
  <si>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</si>
  <si>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</si>
  <si>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</si>
  <si>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</si>
  <si>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</si>
  <si>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</si>
  <si>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</si>
  <si>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</si>
  <si>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</si>
  <si>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</si>
  <si>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</si>
  <si>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</si>
  <si>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</si>
  <si>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</si>
  <si>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</si>
  <si>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</si>
  <si>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</si>
  <si>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</si>
  <si>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</si>
  <si>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</si>
  <si>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</si>
  <si>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</si>
  <si>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</si>
  <si>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</si>
  <si>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</si>
  <si>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</si>
  <si>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</si>
  <si>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</si>
  <si>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</si>
  <si>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</si>
  <si>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</si>
  <si>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</si>
  <si>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</si>
  <si>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</si>
  <si>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</si>
  <si>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</si>
  <si>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</si>
  <si>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</si>
  <si>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</si>
  <si>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</si>
  <si>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</si>
  <si>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</si>
  <si>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</si>
  <si>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</si>
  <si>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</si>
  <si>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</si>
  <si>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</si>
  <si>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</si>
  <si>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</si>
  <si>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</si>
  <si>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</si>
  <si>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</si>
  <si>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</si>
  <si>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</si>
  <si>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</si>
  <si>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</si>
  <si>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</si>
  <si>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</si>
  <si>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</si>
  <si>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</si>
  <si>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</si>
  <si>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</si>
  <si>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</si>
  <si>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</si>
  <si>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</si>
  <si>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</si>
  <si>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</si>
  <si>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</si>
  <si>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</si>
  <si>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</si>
  <si>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</si>
  <si>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</si>
  <si>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</si>
  <si>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</si>
  <si>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</si>
  <si>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</si>
  <si>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</si>
  <si>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</si>
  <si>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</si>
  <si>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</si>
  <si>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</si>
  <si>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</si>
  <si>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</si>
  <si>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</si>
  <si>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</si>
  <si>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</si>
  <si>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</si>
  <si>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</si>
  <si>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</si>
  <si>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</si>
  <si>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</si>
  <si>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</si>
  <si>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</si>
  <si>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</si>
  <si>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</si>
  <si>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</si>
  <si>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</si>
  <si>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</si>
  <si>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</si>
  <si>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</si>
  <si>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</si>
  <si>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</si>
  <si>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</si>
  <si>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</si>
  <si>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</si>
  <si>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</si>
  <si>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</si>
  <si>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</si>
  <si>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</si>
  <si>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</si>
  <si>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</si>
  <si>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</si>
  <si>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</si>
  <si>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</si>
  <si>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</si>
  <si>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</si>
  <si>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</si>
  <si>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</si>
  <si>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</si>
  <si>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</si>
  <si>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</si>
  <si>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</si>
  <si>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</si>
  <si>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</si>
  <si>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</si>
  <si>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</si>
  <si>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</si>
  <si>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</si>
  <si>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</si>
  <si>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</si>
  <si>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</si>
  <si>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</si>
  <si>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</si>
  <si>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</si>
  <si>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</si>
  <si>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</si>
  <si>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</si>
  <si>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</si>
  <si>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</si>
  <si>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</si>
  <si>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</si>
  <si>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</si>
  <si>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</si>
  <si>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</si>
  <si>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</si>
  <si>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</si>
  <si>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</si>
  <si>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</si>
  <si>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</si>
  <si>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</si>
  <si>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</si>
  <si>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</si>
  <si>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</si>
  <si>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</si>
  <si>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</si>
  <si>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</si>
  <si>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</si>
  <si>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</si>
  <si>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</si>
  <si>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</si>
  <si>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</si>
  <si>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</si>
  <si>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</si>
  <si>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</si>
  <si>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</si>
  <si>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</si>
  <si>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</si>
  <si>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</si>
  <si>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</si>
  <si>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</si>
  <si>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</si>
  <si>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</si>
  <si>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</si>
  <si>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</si>
  <si>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</si>
  <si>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</si>
  <si>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</si>
  <si>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</si>
  <si>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</si>
  <si>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</si>
  <si>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</si>
  <si>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</si>
  <si>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</si>
  <si>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</si>
  <si>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</si>
  <si>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</si>
  <si>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</si>
  <si>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</si>
  <si>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</si>
  <si>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</si>
  <si>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</si>
  <si>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</si>
  <si>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</si>
  <si>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</si>
  <si>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</si>
  <si>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</si>
  <si>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</si>
  <si>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</si>
  <si>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</si>
  <si>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</si>
  <si>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</si>
  <si>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</si>
  <si>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</si>
  <si>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</si>
  <si>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</si>
  <si>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</si>
  <si>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</si>
  <si>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</si>
  <si>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</si>
  <si>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</si>
  <si>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</si>
  <si>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</si>
  <si>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</si>
  <si>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</si>
  <si>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</si>
  <si>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</si>
  <si>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</si>
  <si>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</si>
  <si>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</si>
  <si>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</si>
  <si>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</si>
  <si>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</si>
  <si>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</si>
  <si>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</si>
  <si>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</si>
  <si>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</si>
  <si>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</si>
  <si>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</si>
  <si>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</si>
  <si>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</si>
  <si>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</si>
  <si>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</si>
  <si>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</si>
  <si>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</si>
  <si>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</si>
  <si>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</si>
  <si>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</si>
  <si>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</si>
  <si>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</si>
  <si>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</si>
  <si>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</si>
  <si>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</si>
  <si>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</si>
  <si>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</si>
  <si>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</si>
  <si>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</si>
  <si>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</si>
  <si>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</si>
  <si>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</si>
  <si>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</si>
  <si>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</si>
  <si>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</si>
  <si>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</si>
  <si>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</si>
  <si>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</si>
  <si>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</si>
  <si>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</si>
  <si>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</si>
  <si>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</si>
  <si>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</si>
  <si>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</si>
  <si>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</si>
  <si>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</si>
  <si>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</si>
  <si>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</si>
  <si>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</si>
  <si>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</si>
  <si>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</si>
  <si>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</si>
  <si>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</si>
  <si>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</si>
  <si>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</si>
  <si>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</si>
  <si>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</si>
  <si>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</si>
  <si>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</si>
  <si>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</si>
  <si>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</si>
  <si>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</si>
  <si>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</si>
  <si>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</si>
  <si>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</si>
  <si>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</si>
  <si>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</si>
  <si>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</si>
  <si>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</si>
  <si>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</si>
  <si>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</si>
  <si>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</si>
  <si>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</si>
  <si>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</si>
  <si>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</si>
  <si>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</si>
  <si>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</si>
  <si>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</si>
  <si>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</si>
  <si>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</si>
  <si>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</si>
  <si>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</si>
  <si>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</si>
  <si>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</si>
  <si>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</si>
  <si>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</si>
  <si>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</si>
  <si>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</si>
  <si>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</si>
  <si>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</si>
  <si>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</si>
  <si>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</si>
  <si>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</si>
  <si>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</si>
  <si>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</si>
  <si>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</si>
  <si>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</si>
  <si>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</si>
  <si>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</si>
  <si>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</si>
  <si>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</si>
  <si>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</si>
  <si>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</si>
  <si>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</si>
  <si>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</si>
  <si>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</si>
  <si>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</si>
  <si>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</si>
  <si>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</si>
  <si>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</si>
  <si>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</si>
  <si>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</si>
  <si>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</si>
  <si>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</si>
  <si>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</si>
  <si>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</si>
  <si>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</si>
  <si>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</si>
  <si>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</si>
  <si>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</si>
  <si>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</si>
  <si>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</si>
  <si>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</si>
  <si>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</si>
  <si>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</si>
  <si>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</si>
  <si>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</si>
  <si>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</si>
  <si>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</si>
  <si>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</si>
  <si>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</si>
  <si>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</si>
  <si>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</si>
  <si>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</si>
  <si>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</si>
  <si>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</si>
  <si>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</si>
  <si>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</si>
  <si>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</si>
  <si>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</si>
  <si>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</si>
  <si>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</si>
  <si>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</si>
  <si>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</si>
  <si>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</si>
  <si>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</si>
  <si>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</si>
  <si>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</si>
  <si>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</si>
  <si>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</si>
  <si>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</si>
  <si>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</si>
  <si>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</si>
  <si>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</si>
  <si>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</si>
  <si>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</si>
  <si>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</si>
  <si>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</si>
  <si>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</si>
  <si>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</si>
  <si>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</si>
  <si>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</si>
  <si>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</si>
  <si>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</si>
  <si>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</si>
  <si>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</si>
  <si>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</si>
  <si>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</si>
  <si>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</si>
  <si>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</si>
  <si>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</si>
  <si>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</si>
  <si>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</si>
  <si>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</si>
  <si>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</si>
  <si>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</si>
  <si>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</si>
  <si>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</si>
  <si>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</si>
  <si>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</si>
  <si>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</si>
  <si>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</si>
  <si>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</si>
  <si>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</si>
  <si>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</si>
  <si>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</si>
  <si>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</si>
  <si>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</si>
  <si>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</si>
  <si>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</si>
  <si>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</si>
  <si>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</si>
  <si>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</si>
  <si>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</si>
  <si>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</si>
  <si>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</si>
  <si>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</si>
  <si>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</si>
  <si>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</si>
  <si>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</si>
  <si>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</si>
  <si>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</si>
  <si>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</si>
  <si>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</si>
  <si>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</si>
  <si>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</si>
  <si>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</si>
  <si>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</si>
  <si>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</si>
  <si>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</si>
  <si>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</si>
  <si>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</si>
  <si>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其他：</t>
  </si>
  <si>
    <t>企业</t>
  </si>
  <si>
    <t>出让</t>
  </si>
  <si>
    <t>一致</t>
  </si>
  <si>
    <t>地上</t>
  </si>
  <si>
    <t>指标</t>
  </si>
  <si>
    <t>整体项目合计</t>
  </si>
  <si>
    <t>占地面积</t>
    <phoneticPr fontId="3" type="noConversion"/>
  </si>
  <si>
    <t>容积率</t>
    <phoneticPr fontId="3" type="noConversion"/>
  </si>
  <si>
    <t>总建筑面积</t>
    <phoneticPr fontId="3" type="noConversion"/>
  </si>
  <si>
    <t>计容面积</t>
    <phoneticPr fontId="3" type="noConversion"/>
  </si>
  <si>
    <t>住宅面积</t>
    <phoneticPr fontId="3" type="noConversion"/>
  </si>
  <si>
    <t>商业面积</t>
    <phoneticPr fontId="3" type="noConversion"/>
  </si>
  <si>
    <t>公配面积</t>
    <phoneticPr fontId="3" type="noConversion"/>
  </si>
  <si>
    <t>不计容地下室面积</t>
    <phoneticPr fontId="3" type="noConversion"/>
  </si>
  <si>
    <t>商业</t>
  </si>
  <si>
    <t>底商</t>
  </si>
  <si>
    <t>商业</t>
    <phoneticPr fontId="7" type="noConversion"/>
  </si>
  <si>
    <t>独栋</t>
  </si>
  <si>
    <t>普通住宅</t>
  </si>
  <si>
    <t>普通住宅</t>
    <phoneticPr fontId="7" type="noConversion"/>
  </si>
  <si>
    <t>低密度住宅</t>
  </si>
  <si>
    <t>低密度住宅</t>
    <phoneticPr fontId="7" type="noConversion"/>
  </si>
  <si>
    <t>剩余法-待开发</t>
  </si>
  <si>
    <t>比较法-住宅、综合</t>
  </si>
  <si>
    <t>地下</t>
  </si>
  <si>
    <t>车库</t>
  </si>
  <si>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</si>
  <si>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</si>
  <si>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</si>
  <si>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</si>
  <si>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</si>
  <si>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</si>
  <si>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</si>
  <si>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</si>
  <si>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</si>
  <si>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</si>
  <si>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</si>
  <si>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</si>
  <si>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</si>
  <si>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</si>
  <si>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增城区中新镇九和村83103208A18074地块</t>
  </si>
  <si>
    <t>广州市</t>
  </si>
  <si>
    <t>住宅用地</t>
  </si>
  <si>
    <t>≤3.2</t>
  </si>
  <si>
    <t>挂牌</t>
  </si>
  <si>
    <t>2018-12-07</t>
  </si>
  <si>
    <t>广州市浩玮房地产开发有限公司</t>
  </si>
  <si>
    <t>1星</t>
  </si>
  <si>
    <t>增城区中新镇九和村83103208A18072地块</t>
  </si>
  <si>
    <t>广州市富增房地产开发有限公司</t>
  </si>
  <si>
    <t>增城区中新镇九和村83103208A18073地块</t>
  </si>
  <si>
    <t>增城区荔城街五一村83001205A18063地块</t>
  </si>
  <si>
    <t>综合用地(含住宅)</t>
  </si>
  <si>
    <t>≤7.0</t>
  </si>
  <si>
    <t>2018-11-23</t>
  </si>
  <si>
    <t>广州市市政集团有限公司</t>
  </si>
  <si>
    <t>增城区永宁街九如村83101234A18030地块</t>
  </si>
  <si>
    <t>≤6.0</t>
  </si>
  <si>
    <t>广州市光达投资有限公司</t>
  </si>
  <si>
    <t>增城区中新镇集丰村83103207A18079地块</t>
  </si>
  <si>
    <t>≤2.6</t>
  </si>
  <si>
    <t>2018-11-12</t>
  </si>
  <si>
    <t>中铁房地产集团华南有限公司</t>
  </si>
  <si>
    <t>增城区永宁街九如村、塔岗村83101234A18095地块</t>
  </si>
  <si>
    <t>≤3.9</t>
  </si>
  <si>
    <t>增城市新塘工业加工区开发总公司</t>
  </si>
  <si>
    <t>增城区中新镇中新村83103200A18048地块</t>
  </si>
  <si>
    <t>2018-10-10</t>
  </si>
  <si>
    <t>广州市天健兴业房地产开发有限公司</t>
  </si>
  <si>
    <t>增城区中新镇三迳村83103241A18027地块</t>
  </si>
  <si>
    <t>≤2.7</t>
  </si>
  <si>
    <t>2018-08-13</t>
  </si>
  <si>
    <t>广州华创房地产开发有限公司(华发)</t>
  </si>
  <si>
    <t>增城区荔城街蒋村村、新联村83001221A18110地块</t>
  </si>
  <si>
    <t>≤3.0</t>
  </si>
  <si>
    <t>上海重达实业发展有限公司(凯德)</t>
  </si>
  <si>
    <t>增城区中新镇三迳村83103241A18029地块</t>
  </si>
  <si>
    <t>深圳市润投咨询有限公司(华润)</t>
  </si>
  <si>
    <t>增城区荔城街蒋村村、新联村83001221A18111地块</t>
  </si>
  <si>
    <t>增城区83102235A18035地块</t>
  </si>
  <si>
    <t>≤2.5</t>
  </si>
  <si>
    <t>2018-07-05</t>
  </si>
  <si>
    <t>广州市方圆乐书实业投资有限公司</t>
  </si>
  <si>
    <t>增城区83001221A18064地块</t>
  </si>
  <si>
    <t>2018-06-28</t>
  </si>
  <si>
    <t>中铁建工集团诺德投资有限公司</t>
  </si>
  <si>
    <t>增城区荔城街三联村83001204A18082地块</t>
  </si>
  <si>
    <t>2018-04-28</t>
  </si>
  <si>
    <t>深圳市润投咨询有限公司</t>
  </si>
  <si>
    <t>增城区荔城街三联村83001204A18062地块</t>
  </si>
  <si>
    <t>广州金地房地产开发有限公司(保利)</t>
  </si>
  <si>
    <t>广州碧增房地产开发有限公司(碧桂园)</t>
  </si>
  <si>
    <t>≤2.8</t>
  </si>
  <si>
    <t>广州金地房地产开发有限公司,广州招商房地产有限公司(招商+保利联合体)</t>
  </si>
  <si>
    <t>增城区朱村街朱村村凤岗村83003210A18003号地块</t>
  </si>
  <si>
    <t>l-03-01、l-03-02地块≤1.5;l-03-03、l-03-04地块≤3.2</t>
  </si>
  <si>
    <t>2018-02-28</t>
  </si>
  <si>
    <t>广州市碧城科技投资有限公司</t>
  </si>
  <si>
    <t>增城区朱村街朱村村凤岗村83003210A17026地块</t>
  </si>
  <si>
    <t>l-01-01地块≤1.5,l-01-02地块≤3.2</t>
  </si>
  <si>
    <t>2018-01-15</t>
  </si>
  <si>
    <t>增城区朱村街朱村村凤岗村83003210A17027地块</t>
  </si>
  <si>
    <t>l-02-01、l-02-02地块≤1.5;l-02-03地块≤3.2</t>
  </si>
  <si>
    <t>增城区新塘镇地铁13号线官湖车辆段及上盖地块</t>
  </si>
  <si>
    <t>≤2.81</t>
  </si>
  <si>
    <t>2017-12-01</t>
  </si>
  <si>
    <t>广州地铁集团有限公司</t>
  </si>
  <si>
    <t>增城区新塘镇塘美村83101217A17099号地块</t>
  </si>
  <si>
    <t>≤6.8</t>
  </si>
  <si>
    <t>2017-10-24</t>
  </si>
  <si>
    <t>广东丰乐集团有限公司</t>
  </si>
  <si>
    <t>增城区永宁街长岗村83101229A17083号地块</t>
  </si>
  <si>
    <t>≤7.10</t>
  </si>
  <si>
    <t>2017-10-19</t>
  </si>
  <si>
    <t>百寳投资有限公司</t>
  </si>
  <si>
    <t>增城区荔城街五一村、金星村</t>
  </si>
  <si>
    <t>≤8.2</t>
  </si>
  <si>
    <t>2017-07-31</t>
  </si>
  <si>
    <t>碧桂园</t>
  </si>
  <si>
    <t>增城区永宁街长岗村</t>
  </si>
  <si>
    <t>保利</t>
  </si>
  <si>
    <t>增城区永宁街塔岗村83101234A17022号地块</t>
  </si>
  <si>
    <t>≤3.6</t>
  </si>
  <si>
    <t>2017-06-30</t>
  </si>
  <si>
    <t>增城区新塘镇塘美村后底山83001217A17033号地块</t>
  </si>
  <si>
    <t>2017-05-22</t>
  </si>
  <si>
    <t>广州市讯珑投资管理有限公司(中海联)</t>
  </si>
  <si>
    <t>增城区荔城街庆丰村83001220A16159号地块</t>
  </si>
  <si>
    <t>2017-05-04</t>
  </si>
  <si>
    <t>融信</t>
  </si>
  <si>
    <t>增城区荔城街中山路与西园路交汇处</t>
  </si>
  <si>
    <t>2017-03-29</t>
  </si>
  <si>
    <t>刘接荣(个人)</t>
  </si>
  <si>
    <t>增城区永宁街章陂村</t>
  </si>
  <si>
    <t>≤3.61</t>
  </si>
  <si>
    <t>广州招商房地产有限公司</t>
  </si>
  <si>
    <t>增城区永宁街岗丰村、长岗村</t>
  </si>
  <si>
    <t>广州市碧桂园地产有限公司</t>
  </si>
  <si>
    <t>增城区永宁街塔岗村</t>
  </si>
  <si>
    <t>2017-01-13</t>
  </si>
  <si>
    <t>广东保利房地产开发有限公司</t>
  </si>
  <si>
    <t>增城区增江街西山村</t>
  </si>
  <si>
    <t>2016-11-04</t>
  </si>
  <si>
    <t>广州市南瑞置业有限公司</t>
  </si>
  <si>
    <t>增城区朱村街山田村(土名)</t>
  </si>
  <si>
    <t>广州万科置业有限公司</t>
  </si>
  <si>
    <t>增城区派潭镇刘家村</t>
  </si>
  <si>
    <t>≤2.2</t>
  </si>
  <si>
    <t>2016-10-24</t>
  </si>
  <si>
    <t>增城区小楼镇腊圃村</t>
  </si>
  <si>
    <t>≤1.05</t>
  </si>
  <si>
    <t>增城区增江街狮尾路1号、东方村</t>
  </si>
  <si>
    <t>小于或等于2.5</t>
  </si>
  <si>
    <t>2016-05-20</t>
  </si>
  <si>
    <t>广州市时代胜誉投资有限公司</t>
  </si>
  <si>
    <t>增城区增江街狮尾路1号</t>
  </si>
  <si>
    <t>广州安丰物业管理有限公司</t>
  </si>
  <si>
    <t>增城区朱村街横塱村(土名)</t>
  </si>
  <si>
    <t>小于或等于2.0</t>
  </si>
  <si>
    <t>2016-05-05</t>
  </si>
  <si>
    <t>广州捷景旅游投资有限公司(合景泰富)</t>
  </si>
  <si>
    <t>≤3.2</t>
    <phoneticPr fontId="228" type="noConversion"/>
  </si>
  <si>
    <t>计算容积率</t>
    <phoneticPr fontId="228" type="noConversion"/>
  </si>
  <si>
    <t>龙湖首开·云峰原著</t>
  </si>
  <si>
    <t>碧桂园凤凰城云顶</t>
    <phoneticPr fontId="15" type="noConversion"/>
  </si>
  <si>
    <t>别墅</t>
    <phoneticPr fontId="15" type="noConversion"/>
  </si>
  <si>
    <t>大平层</t>
    <phoneticPr fontId="15" type="noConversion"/>
  </si>
  <si>
    <t>碧桂园凤凰城</t>
    <phoneticPr fontId="15" type="noConversion"/>
  </si>
  <si>
    <t>合生国际</t>
    <phoneticPr fontId="15" type="noConversion"/>
  </si>
  <si>
    <t>越秀保利爱特城</t>
  </si>
  <si>
    <t>中端</t>
    <phoneticPr fontId="15" type="noConversion"/>
  </si>
  <si>
    <t>2.2-2.8</t>
    <phoneticPr fontId="15" type="noConversion"/>
  </si>
  <si>
    <t>高端</t>
    <phoneticPr fontId="15" type="noConversion"/>
  </si>
  <si>
    <t>3-3.5</t>
    <phoneticPr fontId="15" type="noConversion"/>
  </si>
  <si>
    <t>增城区朱村街凤岗村83003210A17025地块</t>
    <phoneticPr fontId="228" type="noConversion"/>
  </si>
  <si>
    <t>增城区增江街狮尾路83002002A17060地块</t>
    <phoneticPr fontId="228" type="noConversion"/>
  </si>
  <si>
    <t>序号</t>
    <phoneticPr fontId="228" type="noConversion"/>
  </si>
  <si>
    <t>起始楼面价</t>
    <phoneticPr fontId="228" type="noConversion"/>
  </si>
  <si>
    <t>黄埔区SDK-A2-2地块</t>
  </si>
  <si>
    <t>2018-12-03</t>
  </si>
  <si>
    <t>广东绿地投资有限公司,广州永龙建设投资有限公司</t>
  </si>
  <si>
    <t>长岭居CPPQ-A-3地块</t>
  </si>
  <si>
    <t>北京盛世广业投资管理有限公司</t>
  </si>
  <si>
    <t>黄埔区开创大道以南、荔红一路以东、伴河路以北、开源大道以西萝岗车辆段地块</t>
  </si>
  <si>
    <t>≤2.14</t>
  </si>
  <si>
    <t>2018-11-22</t>
  </si>
  <si>
    <t>黄埔区茅岗路以东、坑田路以北地块</t>
  </si>
  <si>
    <t>≤3.8</t>
  </si>
  <si>
    <t>北京盛世广业投资管理有限公司(五矿)</t>
  </si>
  <si>
    <t>长岭居CPPQ-A1-3地块</t>
  </si>
  <si>
    <t>≤2.0</t>
  </si>
  <si>
    <t>广州开发区YH-A3-7地块</t>
  </si>
  <si>
    <t>≤2.9</t>
  </si>
  <si>
    <t>广州开发区交通投资集团有限公司</t>
  </si>
  <si>
    <t>广州开发区YH-A4-6地块</t>
  </si>
  <si>
    <t>≤1.5</t>
  </si>
  <si>
    <t>广州开发区人才工作集团有限公司</t>
  </si>
  <si>
    <t>广州开发区KXCD-D1-8地块</t>
  </si>
  <si>
    <t>广州开发区KXC-K1-10地块</t>
  </si>
  <si>
    <t>科学城(广州)投资集团有限公司</t>
  </si>
  <si>
    <t>开发区YH-A3-2地块</t>
  </si>
  <si>
    <t>居住地块a≥1.0且≤2.0;中小学地块b、c≥0.7</t>
  </si>
  <si>
    <t>2017-10-30</t>
  </si>
  <si>
    <t>广州开发区YH-K2-4地块</t>
  </si>
  <si>
    <t>≤2.8(基于住宅可见面积81993㎡计)</t>
  </si>
  <si>
    <t>2017-10-11</t>
  </si>
  <si>
    <t>广州丰实房地产开发有限公司(实地)</t>
  </si>
  <si>
    <t>广州开发区KXC-K1-9地块</t>
  </si>
  <si>
    <t>广州开发区长岭居YH-A4-3地块</t>
  </si>
  <si>
    <t>1.0-1.5</t>
  </si>
  <si>
    <t>2017-04-28</t>
  </si>
  <si>
    <t>万科</t>
  </si>
  <si>
    <t>广州开发区、黄埔区开源大道以南、云峰路以东</t>
  </si>
  <si>
    <t>1.0-2.8</t>
  </si>
  <si>
    <t>2016-11-22</t>
  </si>
  <si>
    <t>广州市龙梁房地产有限公司,北京首都开发股份有限公司</t>
  </si>
  <si>
    <t>广州开发区长岭路以北</t>
  </si>
  <si>
    <t>＞1.0且≤2.0</t>
  </si>
  <si>
    <t>2016-08-26</t>
  </si>
  <si>
    <t>中冶置业集团有限公司</t>
  </si>
  <si>
    <t>容积率</t>
    <phoneticPr fontId="228" type="noConversion"/>
  </si>
  <si>
    <t>正常</t>
  </si>
  <si>
    <t>黄浦区</t>
    <phoneticPr fontId="228" type="noConversion"/>
  </si>
  <si>
    <t>楼面地价</t>
  </si>
  <si>
    <t>招商</t>
    <phoneticPr fontId="15" type="noConversion"/>
  </si>
  <si>
    <t>大平层</t>
    <phoneticPr fontId="15" type="noConversion"/>
  </si>
  <si>
    <t>香江天赋</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</si>
</sst>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微软雅黑"/>
      <family val="2"/>
      <charset val="134"/>
    </font>
    <font>
      <b/>
      <sz val="9"/>
      <name val="微软雅黑"/>
      <family val="2"/>
      <charset val="134"/>
    </font>
    <font>
      <sz val="12"/>
      <color indexed="8"/>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81" fillId="0" borderId="0" applyProtection="0">
      <alignment vertical="center"/>
    </xf>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274" fillId="0" borderId="2" xfId="2" applyFont="1" applyBorder="1" applyAlignment="1">
      <alignment horizontal="center" vertical="center" wrapText="1"/>
    </xf>
    <xf numFmtId="0" fontId="275" fillId="0" borderId="2" xfId="2" applyFont="1" applyBorder="1" applyAlignment="1">
      <alignment horizontal="center" vertical="center" wrapText="1"/>
    </xf>
    <xf numFmtId="43" fontId="275" fillId="0" borderId="2" xfId="16" applyFont="1" applyBorder="1" applyAlignment="1">
      <alignment horizontal="center" vertical="center" wrapText="1"/>
    </xf>
    <xf numFmtId="0" fontId="274" fillId="0" borderId="2" xfId="2" applyFont="1" applyBorder="1" applyAlignment="1">
      <alignment vertical="center" wrapText="1"/>
    </xf>
    <xf numFmtId="43" fontId="274" fillId="0" borderId="2" xfId="16" applyFont="1" applyBorder="1" applyAlignment="1">
      <alignment vertical="center" wrapText="1"/>
    </xf>
    <xf numFmtId="43" fontId="274" fillId="0" borderId="2" xfId="16" applyFont="1" applyBorder="1" applyAlignment="1">
      <alignment horizontal="center" vertical="center"/>
    </xf>
    <xf numFmtId="0" fontId="274" fillId="0" borderId="2" xfId="2" applyFont="1" applyBorder="1" applyAlignment="1">
      <alignment wrapText="1"/>
    </xf>
    <xf numFmtId="178" fontId="81" fillId="0" borderId="2" xfId="2" applyNumberFormat="1" applyFont="1" applyFill="1" applyBorder="1" applyAlignment="1" applyProtection="1">
      <alignment vertical="center"/>
      <protection locked="0"/>
    </xf>
    <xf numFmtId="0" fontId="0" fillId="0" borderId="0" xfId="0" applyFont="1" applyAlignment="1"/>
    <xf numFmtId="0" fontId="276" fillId="8" borderId="0" xfId="0" applyFont="1" applyFill="1" applyAlignment="1" applyProtection="1">
      <protection locked="0"/>
    </xf>
    <xf numFmtId="0" fontId="82" fillId="8" borderId="0" xfId="0" applyFont="1" applyFill="1" applyAlignment="1" applyProtection="1">
      <protection locked="0"/>
    </xf>
    <xf numFmtId="0" fontId="84" fillId="8" borderId="0" xfId="0" applyFont="1" applyFill="1" applyProtection="1">
      <alignment vertical="center"/>
      <protection locked="0"/>
    </xf>
    <xf numFmtId="0" fontId="223" fillId="8" borderId="0" xfId="0" applyFont="1" applyFill="1" applyProtection="1">
      <alignment vertical="center"/>
      <protection locked="0"/>
    </xf>
    <xf numFmtId="43" fontId="0" fillId="0" borderId="0" xfId="0" applyNumberFormat="1">
      <alignment vertical="center"/>
    </xf>
    <xf numFmtId="0" fontId="164" fillId="0" borderId="2" xfId="0" applyFont="1" applyBorder="1" applyAlignment="1">
      <alignment horizontal="center" vertical="center" wrapText="1"/>
    </xf>
    <xf numFmtId="0" fontId="164" fillId="0" borderId="0" xfId="0" applyFont="1" applyAlignment="1">
      <alignment horizontal="center" vertical="center" wrapText="1"/>
    </xf>
    <xf numFmtId="0" fontId="164" fillId="0" borderId="0" xfId="0" applyFont="1" applyAlignment="1"/>
    <xf numFmtId="0" fontId="164" fillId="6" borderId="2" xfId="0" applyFont="1" applyFill="1" applyBorder="1" applyAlignment="1">
      <alignment horizontal="center" vertical="center" wrapText="1"/>
    </xf>
    <xf numFmtId="0" fontId="164" fillId="6" borderId="0" xfId="0" applyFont="1" applyFill="1" applyAlignment="1"/>
    <xf numFmtId="0" fontId="164" fillId="0" borderId="0" xfId="0" applyFont="1" applyFill="1" applyAlignment="1"/>
    <xf numFmtId="0" fontId="164" fillId="0" borderId="2" xfId="0" applyFont="1" applyFill="1" applyBorder="1" applyAlignment="1">
      <alignment horizontal="center" vertical="center" wrapText="1"/>
    </xf>
    <xf numFmtId="0" fontId="164" fillId="9" borderId="0" xfId="0" applyFont="1" applyFill="1" applyAlignment="1"/>
    <xf numFmtId="0" fontId="164" fillId="9" borderId="2" xfId="0" applyFont="1" applyFill="1" applyBorder="1" applyAlignment="1">
      <alignment horizontal="center" vertical="center" wrapText="1"/>
    </xf>
    <xf numFmtId="0" fontId="164" fillId="17" borderId="0" xfId="0" applyFont="1" applyFill="1" applyAlignment="1"/>
    <xf numFmtId="0" fontId="164" fillId="17" borderId="2" xfId="0" applyFont="1" applyFill="1" applyBorder="1" applyAlignment="1">
      <alignment horizontal="center" vertical="center" wrapText="1"/>
    </xf>
    <xf numFmtId="0" fontId="0" fillId="9" borderId="0" xfId="0" applyFill="1" applyAlignment="1"/>
    <xf numFmtId="178" fontId="71" fillId="0" borderId="2" xfId="0" applyNumberFormat="1" applyFont="1" applyFill="1" applyBorder="1" applyAlignment="1" applyProtection="1">
      <alignment horizontal="center" vertical="center" wrapText="1"/>
      <protection locked="0"/>
    </xf>
    <xf numFmtId="0" fontId="133" fillId="9" borderId="0" xfId="0" applyFont="1" applyFill="1" applyAlignment="1" applyProtection="1">
      <protection locked="0"/>
    </xf>
    <xf numFmtId="0" fontId="82" fillId="9" borderId="0" xfId="0" applyFont="1" applyFill="1" applyAlignment="1" applyProtection="1">
      <protection locked="0"/>
    </xf>
    <xf numFmtId="0" fontId="144" fillId="17" borderId="0" xfId="0" applyFont="1" applyFill="1" applyAlignment="1" applyProtection="1">
      <protection locked="0"/>
    </xf>
    <xf numFmtId="185" fontId="76" fillId="17" borderId="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268474.83平方米。根据《建设工程规划许可证》[]、《出让合同》[]，估价对象规划建筑面积为423739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本次评估为委托估价方了解标的物之市场价格提供参考依据而评估出让国有建设用地使用权市场价格。</v>
      </c>
    </row>
    <row r="10" spans="1:55" s="2854" customFormat="1">
      <c r="A10" s="2855" t="s">
        <v>2660</v>
      </c>
      <c r="B10" s="2856" t="str">
        <f>'预评函-1'!A11</f>
        <v>2019年4月2日（评估专业人员勘察现场之日）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根据《国有土地使用证》[]，估价对象（分摊）出让国有建设用地使用权面积为268474.83平方米。根据《建设工程规划许可证》[]、《出让合同》[]，估价对象规划建筑面积为423739平方米。</v>
      </c>
    </row>
    <row r="16" spans="1:55" s="2854" customFormat="1">
      <c r="A16" s="2855" t="s">
        <v>2670</v>
      </c>
      <c r="B16" s="2856" t="str">
        <f>'预评函-1'!A22</f>
        <v>本次估价对象为出让国有建设用地使用权，《国有土地使用证》[]证载土地终止日期为住宅2063年2月9日、商业2033年2月9日车库2043年2月9日。截至估价期日，出让国有建设用地使用权剩余土地使用年限为。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4" customFormat="1">
      <c r="A20" s="2855" t="s">
        <v>2674</v>
      </c>
      <c r="B20" s="2856" t="str">
        <f>'预评函-1'!A27</f>
        <v>——</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估价期日：2019年4月2日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268474.83</v>
      </c>
    </row>
    <row r="44" spans="1:2">
      <c r="A44" s="2855" t="s">
        <v>2741</v>
      </c>
      <c r="B44" s="2856" t="str">
        <f>'预评函-2'!O3</f>
        <v>规划建筑面积/㎡</v>
      </c>
    </row>
    <row r="45" spans="1:2">
      <c r="A45" s="2855" t="s">
        <v>2723</v>
      </c>
      <c r="B45" s="2856">
        <f>'预评函-2'!O5</f>
        <v>423739</v>
      </c>
    </row>
    <row r="46" spans="1:2">
      <c r="A46" s="2855" t="s">
        <v>2724</v>
      </c>
      <c r="B46" s="2856">
        <f ca="1">'预评函-2'!P5</f>
        <v>17879</v>
      </c>
    </row>
    <row r="47" spans="1:2">
      <c r="A47" s="2855" t="s">
        <v>2725</v>
      </c>
      <c r="B47" s="2856">
        <f ca="1">'预评函-2'!Q5</f>
        <v>11328</v>
      </c>
    </row>
    <row r="48" spans="1:2">
      <c r="A48" s="2855" t="s">
        <v>2726</v>
      </c>
      <c r="B48" s="2856">
        <f ca="1">'预评函-2'!R5</f>
        <v>480004</v>
      </c>
    </row>
    <row r="49" spans="1:2">
      <c r="A49" s="2855" t="s">
        <v>2742</v>
      </c>
      <c r="B49" s="2856" t="str">
        <f>'预评函-2'!A6</f>
        <v>抵押价格</v>
      </c>
    </row>
    <row r="50" spans="1:2">
      <c r="A50" s="2855" t="s">
        <v>2727</v>
      </c>
      <c r="B50" s="2856" t="str">
        <f>'预评函-2'!R6</f>
        <v>——</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2.本次评估设定估价对象宗地权属无争议，未被查封或者以其他形式限制其房地产权利，未设定抵押权等他项权利，不涉及第三方权利义务。</v>
      </c>
    </row>
    <row r="60" spans="1:2">
      <c r="A60" s="2855" t="s">
        <v>2683</v>
      </c>
      <c r="B60" s="2856" t="str">
        <f>'预评函-3'!A9</f>
        <v>——</v>
      </c>
    </row>
    <row r="61" spans="1:2">
      <c r="A61" s="2855" t="s">
        <v>2685</v>
      </c>
      <c r="B61" s="2856" t="str">
        <f>'预评函-3'!A10</f>
        <v>——</v>
      </c>
    </row>
    <row r="62" spans="1:2">
      <c r="A62" s="2855" t="s">
        <v>2684</v>
      </c>
      <c r="B62" s="2856" t="str">
        <f>'预评函-3'!A11</f>
        <v>——</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v>
      </c>
    </row>
    <row r="66" spans="1:2">
      <c r="A66" s="2855" t="s">
        <v>2689</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51" t="str">
        <f>IF(B10="北京市","北京市",C10)&amp;F10&amp;B16&amp;"国有建设用地使用权"&amp;B9&amp;"预评估"</f>
        <v>出让国有建设用地使用权预评估</v>
      </c>
      <c r="C1" s="3252"/>
      <c r="D1" s="3252"/>
      <c r="E1" s="3252"/>
      <c r="F1" s="3252"/>
      <c r="G1" s="3252"/>
      <c r="H1" s="3252"/>
      <c r="I1" s="3253"/>
      <c r="J1" s="1692"/>
      <c r="K1" s="2433"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43557</v>
      </c>
      <c r="C3" s="1661" t="s">
        <v>1996</v>
      </c>
      <c r="D3" s="1660">
        <f>B3</f>
        <v>43557</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57"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58"/>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2987</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2988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54"/>
      <c r="C12" s="3255"/>
      <c r="D12" s="3256"/>
      <c r="E12" s="1697" t="s">
        <v>2062</v>
      </c>
      <c r="F12" s="3272" t="s">
        <v>2891</v>
      </c>
      <c r="G12" s="3273"/>
      <c r="H12" s="3273"/>
      <c r="I12" s="3274"/>
      <c r="J12" s="1692"/>
      <c r="K12" s="1772"/>
      <c r="L12" s="1721"/>
      <c r="M12" s="1721"/>
      <c r="N12" s="1692"/>
      <c r="O12" s="1693"/>
      <c r="P12" s="1692"/>
      <c r="Q12" s="1692"/>
      <c r="R12" s="1692"/>
      <c r="S12" s="1692"/>
      <c r="T12" s="1692"/>
      <c r="U12" s="1692"/>
    </row>
    <row r="13" spans="1:21">
      <c r="A13" s="1685" t="s">
        <v>2060</v>
      </c>
      <c r="B13" s="3254"/>
      <c r="C13" s="3255"/>
      <c r="D13" s="3256"/>
      <c r="E13" s="1697" t="s">
        <v>2062</v>
      </c>
      <c r="F13" s="3272" t="s">
        <v>2892</v>
      </c>
      <c r="G13" s="3273"/>
      <c r="H13" s="3273"/>
      <c r="I13" s="3274"/>
      <c r="J13" s="1692"/>
      <c r="K13" s="1772"/>
      <c r="L13" s="1721"/>
      <c r="M13" s="1721"/>
      <c r="N13" s="1692"/>
      <c r="O13" s="1693"/>
      <c r="P13" s="1692"/>
      <c r="Q13" s="1692"/>
      <c r="R13" s="1692"/>
      <c r="S13" s="1692"/>
      <c r="T13" s="1692"/>
      <c r="U13" s="1692"/>
    </row>
    <row r="14" spans="1:21">
      <c r="A14" s="1659" t="s">
        <v>2063</v>
      </c>
      <c r="B14" s="1697"/>
      <c r="C14" s="1843" t="s">
        <v>2990</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2989</v>
      </c>
      <c r="C16" s="1697" t="s">
        <v>1949</v>
      </c>
      <c r="D16" s="2624" t="s">
        <v>1950</v>
      </c>
      <c r="E16" s="1720" t="s">
        <v>3002</v>
      </c>
      <c r="F16" s="1720"/>
      <c r="G16" s="1720" t="s">
        <v>3013</v>
      </c>
      <c r="H16" s="1720"/>
      <c r="I16" s="1684" t="s">
        <v>1955</v>
      </c>
      <c r="J16" s="1692"/>
      <c r="K16" s="2434" t="str">
        <f>IF(D17="","",D16&amp;TEXT(D17,"yyyy年m月d日;;"))</f>
        <v>住宅2063年2月9日</v>
      </c>
      <c r="L16" s="1697" t="str">
        <f>IF(OR(K16="",M16=""),"","、")</f>
        <v>、</v>
      </c>
      <c r="M16" s="2434" t="str">
        <f>IF(E17="","",E16&amp;TEXT(E17,"yyyy年m月d日;;"))</f>
        <v>商业2033年2月9日</v>
      </c>
      <c r="N16" s="1697" t="str">
        <f>IF(OR(M16="",O16=""),"","、")</f>
        <v/>
      </c>
      <c r="O16" s="2434" t="str">
        <f>IF(F17="","",F16&amp;TEXT(F17,"yyyy年m月d日;;"))</f>
        <v/>
      </c>
      <c r="P16" s="1697" t="str">
        <f>IF(OR(O16="",Q16=""),"","、")</f>
        <v/>
      </c>
      <c r="Q16" s="2434" t="str">
        <f>IF(G17="","",G16&amp;TEXT(G17,"yyyy年m月d日;;"))</f>
        <v>车库2043年2月9日</v>
      </c>
      <c r="R16" s="1697" t="str">
        <f>IF(OR(Q16="",S16=""),"","、")</f>
        <v/>
      </c>
      <c r="S16" s="2434" t="str">
        <f>IF(H17="","",H16&amp;TEXT(H17,"yyyy年m月d日;;"))</f>
        <v/>
      </c>
      <c r="T16" s="1697" t="str">
        <f>IF(OR(S16="",U16=""),"","、")</f>
        <v/>
      </c>
      <c r="U16" s="2434" t="str">
        <f>IF(I17="","",I16&amp;TEXT(I17,"yyyy年m月d日;;"))</f>
        <v/>
      </c>
    </row>
    <row r="17" spans="1:21">
      <c r="A17" s="1761"/>
      <c r="B17" s="1680"/>
      <c r="C17" s="1681" t="s">
        <v>1956</v>
      </c>
      <c r="D17" s="1698">
        <v>59576</v>
      </c>
      <c r="E17" s="1698">
        <v>48619</v>
      </c>
      <c r="F17" s="1698"/>
      <c r="G17" s="1698">
        <v>52271</v>
      </c>
      <c r="H17" s="1698"/>
      <c r="I17" s="1698"/>
      <c r="J17" s="1692"/>
      <c r="K17" s="2433" t="str">
        <f>CONCATENATE(K16,L16,M16,N16,O16,P16,Q16,R16,S16,T16,,U16)</f>
        <v>住宅2063年2月9日、商业2033年2月9日车库2043年2月9日</v>
      </c>
      <c r="L17" s="1721"/>
      <c r="M17" s="1721"/>
      <c r="N17" s="1692"/>
      <c r="O17" s="1693"/>
      <c r="P17" s="1692"/>
      <c r="Q17" s="1692"/>
      <c r="R17" s="1692"/>
      <c r="S17" s="1692"/>
      <c r="T17" s="1692"/>
      <c r="U17" s="1692"/>
    </row>
    <row r="18" spans="1:21">
      <c r="A18" s="1761"/>
      <c r="B18" s="1680"/>
      <c r="C18" s="1681" t="s">
        <v>1957</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43.88</v>
      </c>
      <c r="E19" s="1683">
        <f>IF(B16="出让",IF(E17="","",ROUNDDOWN(MIN((E17-$D$3)/365,E18),2)),E18)</f>
        <v>13.86</v>
      </c>
      <c r="F19" s="1683" t="str">
        <f>IF(B16="出让",IF(F17="","",ROUNDDOWN(MIN((F17-$D$3)/365,F18),2)),F18)</f>
        <v/>
      </c>
      <c r="G19" s="1683">
        <f>IF(B16="出让",IF(G17="","",ROUNDDOWN(MIN((G17-$D$3)/365,G18),2)),G18)</f>
        <v>23.87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9"/>
      <c r="E20" s="3270"/>
      <c r="F20" s="3270"/>
      <c r="G20" s="3270"/>
      <c r="H20" s="3270"/>
      <c r="I20" s="3271"/>
      <c r="J20" s="1692"/>
      <c r="K20" s="1772"/>
      <c r="L20" s="1721"/>
      <c r="M20" s="1721"/>
      <c r="N20" s="1692"/>
      <c r="O20" s="1693"/>
      <c r="P20" s="1692"/>
      <c r="Q20" s="1692"/>
      <c r="R20" s="1692"/>
      <c r="S20" s="1692"/>
      <c r="T20" s="1692"/>
      <c r="U20" s="1692"/>
    </row>
    <row r="21" spans="1:21">
      <c r="A21" s="1761" t="s">
        <v>1959</v>
      </c>
      <c r="B21" s="1762" t="s">
        <v>1960</v>
      </c>
      <c r="C21" s="1757">
        <f>'数据-汇总表'!E3</f>
        <v>423739</v>
      </c>
      <c r="D21" s="1758" t="s">
        <v>1961</v>
      </c>
      <c r="E21" s="3259" t="s">
        <v>1999</v>
      </c>
      <c r="F21" s="3260"/>
      <c r="G21" s="3260"/>
      <c r="H21" s="3260"/>
      <c r="I21" s="3261"/>
      <c r="J21" s="1692"/>
      <c r="K21" s="1772"/>
      <c r="L21" s="1721"/>
      <c r="M21" s="1721"/>
      <c r="N21" s="1692"/>
      <c r="O21" s="1693"/>
      <c r="P21" s="1692"/>
      <c r="Q21" s="1692"/>
      <c r="R21" s="1692"/>
      <c r="S21" s="1692"/>
      <c r="T21" s="1692"/>
      <c r="U21" s="1692"/>
    </row>
    <row r="22" spans="1:21">
      <c r="A22" s="3120" t="s">
        <v>952</v>
      </c>
      <c r="B22" s="1659" t="s">
        <v>1962</v>
      </c>
      <c r="C22" s="1684">
        <f>'数据-汇总表'!D3</f>
        <v>268474.83</v>
      </c>
      <c r="D22" s="1685" t="s">
        <v>1961</v>
      </c>
      <c r="E22" s="3259" t="s">
        <v>2893</v>
      </c>
      <c r="F22" s="3260"/>
      <c r="G22" s="3260"/>
      <c r="H22" s="3260"/>
      <c r="I22" s="3261"/>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62" t="s">
        <v>1967</v>
      </c>
      <c r="C24" s="3263"/>
      <c r="D24" s="3264" t="s">
        <v>1968</v>
      </c>
      <c r="E24" s="3265"/>
      <c r="F24" s="1706" t="s">
        <v>1969</v>
      </c>
      <c r="G24" s="1692"/>
      <c r="H24" s="1692"/>
      <c r="I24" s="1705"/>
      <c r="J24" s="1692"/>
      <c r="K24" s="3250"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5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5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36" t="s">
        <v>2002</v>
      </c>
      <c r="B31" s="1762" t="s">
        <v>2003</v>
      </c>
      <c r="C31" s="3275"/>
      <c r="D31" s="3276"/>
      <c r="E31" s="1692"/>
      <c r="F31" s="1692"/>
      <c r="G31" s="1692"/>
      <c r="H31" s="1692"/>
      <c r="I31" s="1705"/>
      <c r="J31" s="1692"/>
      <c r="K31" s="2436"/>
      <c r="L31" s="1692"/>
      <c r="M31" s="1692"/>
      <c r="N31" s="1692"/>
      <c r="O31" s="1692"/>
      <c r="P31" s="1692"/>
      <c r="Q31" s="1692"/>
      <c r="R31" s="1692"/>
      <c r="S31" s="1692"/>
      <c r="T31" s="1692"/>
      <c r="U31" s="1692"/>
    </row>
    <row r="32" spans="1:21">
      <c r="A32" s="3236"/>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36"/>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37"/>
      <c r="B34" s="1659" t="s">
        <v>2006</v>
      </c>
      <c r="C34" s="3238"/>
      <c r="D34" s="3239"/>
      <c r="E34" s="1692"/>
      <c r="F34" s="1692"/>
      <c r="G34" s="1692"/>
      <c r="H34" s="1692"/>
      <c r="I34" s="1705"/>
      <c r="J34" s="1692"/>
      <c r="K34" s="2436"/>
      <c r="L34" s="1692"/>
      <c r="M34" s="1692"/>
      <c r="N34" s="1692"/>
      <c r="O34" s="1692"/>
      <c r="P34" s="1692"/>
      <c r="Q34" s="1692"/>
      <c r="R34" s="1692"/>
      <c r="S34" s="1692"/>
      <c r="T34" s="1692"/>
      <c r="U34" s="1692"/>
    </row>
    <row r="35" spans="1:21">
      <c r="A35" s="3240" t="s">
        <v>847</v>
      </c>
      <c r="B35" s="1720"/>
      <c r="C35" s="1774" t="str">
        <f>IF(B35="场地平整","——","具体情况：")</f>
        <v>具体情况：</v>
      </c>
      <c r="D35" s="3242"/>
      <c r="E35" s="3243"/>
      <c r="F35" s="3243"/>
      <c r="G35" s="3243"/>
      <c r="H35" s="3243"/>
      <c r="I35" s="3244"/>
      <c r="J35" s="1692"/>
      <c r="K35" s="1773"/>
      <c r="L35" s="1721"/>
      <c r="M35" s="1721"/>
      <c r="N35" s="1692"/>
      <c r="O35" s="1693"/>
      <c r="P35" s="1692"/>
      <c r="Q35" s="1692"/>
      <c r="R35" s="1692"/>
      <c r="S35" s="1692"/>
      <c r="T35" s="1692"/>
      <c r="U35" s="1692"/>
    </row>
    <row r="36" spans="1:21">
      <c r="A36" s="3236"/>
      <c r="B36" s="3245" t="s">
        <v>2055</v>
      </c>
      <c r="C36" s="3246"/>
      <c r="D36" s="1790"/>
      <c r="E36" s="3247"/>
      <c r="F36" s="3247"/>
      <c r="G36" s="1685" t="str">
        <f>IF(B35="场地未平整","估价结果处理","")</f>
        <v/>
      </c>
      <c r="H36" s="3248"/>
      <c r="I36" s="3248"/>
      <c r="J36" s="1692"/>
      <c r="K36" s="1773"/>
      <c r="L36" s="1721"/>
      <c r="M36" s="1721"/>
      <c r="N36" s="1692"/>
      <c r="O36" s="1693"/>
      <c r="P36" s="1692"/>
      <c r="Q36" s="1692"/>
      <c r="R36" s="1692"/>
      <c r="S36" s="1692"/>
      <c r="T36" s="1692"/>
      <c r="U36" s="1692"/>
    </row>
    <row r="37" spans="1:21" ht="28.5">
      <c r="A37" s="3236"/>
      <c r="B37" s="3266"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36"/>
      <c r="B38" s="3267"/>
      <c r="C38" s="1667" t="s">
        <v>850</v>
      </c>
      <c r="D38" s="1789">
        <f>ROUNDDOWN(MIN(('数据-取费表'!$B$2-D37)/365,D34),1)</f>
        <v>119.3</v>
      </c>
      <c r="E38" s="1725" t="s">
        <v>851</v>
      </c>
      <c r="F38" s="1692"/>
      <c r="G38" s="1692"/>
      <c r="H38" s="1692"/>
      <c r="I38" s="1705"/>
      <c r="J38" s="1692"/>
      <c r="K38" s="1773"/>
      <c r="L38" s="1692"/>
      <c r="M38" s="1692"/>
      <c r="N38" s="1692"/>
      <c r="O38" s="1692"/>
      <c r="P38" s="1692"/>
      <c r="Q38" s="1692"/>
      <c r="R38" s="1692"/>
      <c r="S38" s="1692"/>
      <c r="T38" s="1692"/>
      <c r="U38" s="1692"/>
    </row>
    <row r="39" spans="1:21">
      <c r="A39" s="3237"/>
      <c r="B39" s="326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9" t="s">
        <v>1986</v>
      </c>
      <c r="T40" s="1729" t="str">
        <f>NUMBERSTRING(7-K40,1)&amp;"通"</f>
        <v>七通</v>
      </c>
      <c r="U40" s="1692"/>
    </row>
    <row r="41" spans="1:21">
      <c r="A41" s="1661"/>
      <c r="B41" s="3241" t="s">
        <v>1722</v>
      </c>
      <c r="C41" s="3241"/>
      <c r="D41" s="3241"/>
      <c r="E41" s="3241"/>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9"/>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268474.83</v>
      </c>
      <c r="B3" s="22">
        <f>IF(C3="否",G5-AT5,G5)</f>
        <v>423739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423739</v>
      </c>
      <c r="H5" s="27">
        <f t="shared" ref="H5:AT5" si="0">SUM(H13:H641)</f>
        <v>410584</v>
      </c>
      <c r="I5" s="27">
        <f t="shared" si="0"/>
        <v>189411</v>
      </c>
      <c r="J5" s="27">
        <f t="shared" si="0"/>
        <v>0</v>
      </c>
      <c r="K5" s="27">
        <f t="shared" si="0"/>
        <v>5132</v>
      </c>
      <c r="L5" s="27">
        <f t="shared" si="0"/>
        <v>0</v>
      </c>
      <c r="M5" s="27">
        <f t="shared" si="0"/>
        <v>47353</v>
      </c>
      <c r="N5" s="27">
        <f t="shared" si="0"/>
        <v>0</v>
      </c>
      <c r="O5" s="27">
        <f t="shared" si="0"/>
        <v>168688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13155</v>
      </c>
      <c r="AD5" s="27">
        <f t="shared" si="0"/>
        <v>13155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423739</v>
      </c>
      <c r="BA5" s="29">
        <f t="shared" si="1"/>
        <v>410584</v>
      </c>
      <c r="BB5" s="29">
        <f t="shared" si="1"/>
        <v>189411</v>
      </c>
      <c r="BC5" s="29">
        <f t="shared" si="1"/>
        <v>5132</v>
      </c>
      <c r="BD5" s="29">
        <f t="shared" si="1"/>
        <v>47353</v>
      </c>
      <c r="BE5" s="29">
        <f t="shared" si="1"/>
        <v>168688</v>
      </c>
      <c r="BF5" s="29">
        <f t="shared" si="1"/>
        <v>0</v>
      </c>
      <c r="BG5" s="29">
        <f t="shared" si="1"/>
        <v>0</v>
      </c>
      <c r="BH5" s="29">
        <f t="shared" si="1"/>
        <v>0</v>
      </c>
      <c r="BI5" s="29">
        <f t="shared" si="1"/>
        <v>0</v>
      </c>
      <c r="BJ5" s="29">
        <f t="shared" si="1"/>
        <v>0</v>
      </c>
      <c r="BK5" s="29">
        <f t="shared" si="1"/>
        <v>0</v>
      </c>
      <c r="BL5" s="29">
        <f t="shared" si="1"/>
        <v>13155</v>
      </c>
      <c r="BM5" s="29">
        <f t="shared" si="1"/>
        <v>13155</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268474.83999999997</v>
      </c>
      <c r="F6" s="27" t="s">
        <v>1</v>
      </c>
      <c r="G6" s="27" t="s">
        <v>2</v>
      </c>
      <c r="H6" s="33">
        <f>SUMIF(I$12:AB$12,"总值",I6:AB6)</f>
        <v>260140.02</v>
      </c>
      <c r="I6" s="27">
        <f t="shared" ref="I6:AB6" si="2">ROUND($A$3*I5/$B$3,2)</f>
        <v>120008.04</v>
      </c>
      <c r="J6" s="27">
        <f t="shared" si="2"/>
        <v>0</v>
      </c>
      <c r="K6" s="27">
        <f t="shared" si="2"/>
        <v>3251.56</v>
      </c>
      <c r="L6" s="27">
        <f t="shared" si="2"/>
        <v>0</v>
      </c>
      <c r="M6" s="27">
        <f t="shared" si="2"/>
        <v>30002.17</v>
      </c>
      <c r="N6" s="27">
        <f t="shared" si="2"/>
        <v>0</v>
      </c>
      <c r="O6" s="27">
        <f t="shared" si="2"/>
        <v>106878.25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8334.82</v>
      </c>
      <c r="AD6" s="27">
        <f t="shared" ref="AD6:AS6" si="3">ROUND($A$3*AD5/$B$3,2)</f>
        <v>8334.82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268474.83</v>
      </c>
      <c r="AZ6" s="27" t="s">
        <v>3</v>
      </c>
      <c r="BA6" s="27">
        <f>ROUND($AY$6*BA5/$AZ$5,2)</f>
        <v>260140.01</v>
      </c>
      <c r="BB6" s="27">
        <f>ROUND($AY$6*BB5/$AZ$5,2)</f>
        <v>120008.04</v>
      </c>
      <c r="BC6" s="27">
        <f t="shared" ref="BC6:BH6" si="4">ROUND($AY$6*BC5/$AZ$5,2)</f>
        <v>3251.56</v>
      </c>
      <c r="BD6" s="27">
        <f t="shared" si="4"/>
        <v>30002.17</v>
      </c>
      <c r="BE6" s="27">
        <f t="shared" si="4"/>
        <v>106878.25</v>
      </c>
      <c r="BF6" s="27">
        <f t="shared" si="4"/>
        <v>0</v>
      </c>
      <c r="BG6" s="27">
        <f t="shared" si="4"/>
        <v>0</v>
      </c>
      <c r="BH6" s="27">
        <f t="shared" si="4"/>
        <v>0</v>
      </c>
      <c r="BI6" s="27">
        <f t="shared" ref="BI6:BT6" si="5">ROUND($AY$6*BI5/$AZ$5,2)</f>
        <v>0</v>
      </c>
      <c r="BJ6" s="27">
        <f t="shared" si="5"/>
        <v>0</v>
      </c>
      <c r="BK6" s="27">
        <f t="shared" si="5"/>
        <v>0</v>
      </c>
      <c r="BL6" s="27">
        <f t="shared" si="5"/>
        <v>8334.82</v>
      </c>
      <c r="BM6" s="27">
        <f t="shared" si="5"/>
        <v>8334.82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2991</v>
      </c>
      <c r="J9" s="51"/>
      <c r="K9" s="2993" t="s">
        <v>2991</v>
      </c>
      <c r="L9" s="51"/>
      <c r="M9" s="2993" t="s">
        <v>2991</v>
      </c>
      <c r="N9" s="51"/>
      <c r="O9" s="59" t="s">
        <v>3012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3002</v>
      </c>
      <c r="L10" s="51"/>
      <c r="M10" s="2995" t="s">
        <v>923</v>
      </c>
      <c r="N10" s="51"/>
      <c r="O10" s="66" t="s">
        <v>3013</v>
      </c>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3005</v>
      </c>
      <c r="J11" s="71"/>
      <c r="K11" s="2994" t="s">
        <v>3003</v>
      </c>
      <c r="L11" s="71"/>
      <c r="M11" s="70" t="s">
        <v>3006</v>
      </c>
      <c r="N11" s="71"/>
      <c r="O11" s="70" t="s">
        <v>3013</v>
      </c>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住宅</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独栋</v>
      </c>
      <c r="BC12" s="79" t="str">
        <f>K11</f>
        <v>底商</v>
      </c>
      <c r="BD12" s="79" t="str">
        <f>M11</f>
        <v>普通住宅</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268474.83</v>
      </c>
      <c r="F13" s="81"/>
      <c r="G13" s="82">
        <f t="shared" ref="G13:G20" si="7">H13+AC13+AT13</f>
        <v>423739</v>
      </c>
      <c r="H13" s="33">
        <f t="shared" ref="H13:H20" si="8">SUMIF(I$12:AB$12,"总值",I13:AB13)</f>
        <v>410584</v>
      </c>
      <c r="I13" s="2992">
        <f>信息!C7-47353</f>
        <v>189411</v>
      </c>
      <c r="J13" s="2992"/>
      <c r="K13" s="2992">
        <f>信息!C8</f>
        <v>5132</v>
      </c>
      <c r="L13" s="2992"/>
      <c r="M13" s="2992">
        <v>47353</v>
      </c>
      <c r="N13" s="83"/>
      <c r="O13" s="83">
        <f>信息!C10</f>
        <v>168688</v>
      </c>
      <c r="P13" s="83"/>
      <c r="Q13" s="83"/>
      <c r="R13" s="83"/>
      <c r="S13" s="83"/>
      <c r="T13" s="83"/>
      <c r="U13" s="83"/>
      <c r="V13" s="83"/>
      <c r="W13" s="83"/>
      <c r="X13" s="83"/>
      <c r="Y13" s="83"/>
      <c r="Z13" s="83"/>
      <c r="AA13" s="83"/>
      <c r="AB13" s="83"/>
      <c r="AC13" s="27">
        <f t="shared" ref="AC13:AC20" si="9">SUMIF(AD$12:AS$12,"总值",AD13:AS13)</f>
        <v>13155</v>
      </c>
      <c r="AD13" s="2996">
        <f>信息!C9</f>
        <v>13155</v>
      </c>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268474.83</v>
      </c>
      <c r="AZ13" s="27">
        <f t="shared" ref="AZ13:AZ20" si="12">BA13+BL13</f>
        <v>423739</v>
      </c>
      <c r="BA13" s="27">
        <f t="shared" ref="BA13:BA20" si="13">SUM(BB13:BK13)</f>
        <v>410584</v>
      </c>
      <c r="BB13" s="27">
        <f t="shared" ref="BB13:BB20" si="14">IF($D13="是",I13-J13,0)</f>
        <v>189411</v>
      </c>
      <c r="BC13" s="27">
        <f t="shared" ref="BC13:BC20" si="15">IF($D13="是",K13-L13,0)</f>
        <v>5132</v>
      </c>
      <c r="BD13" s="27">
        <f t="shared" ref="BD13:BD20" si="16">IF($D13="是",M13-N13,0)</f>
        <v>47353</v>
      </c>
      <c r="BE13" s="27">
        <f t="shared" ref="BE13:BE20" si="17">IF($D13="是",O13-P13,0)</f>
        <v>168688</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13155</v>
      </c>
      <c r="BM13" s="27">
        <f t="shared" ref="BM13:BM20" si="25">IF($D13="是",AD13-AE13,0)</f>
        <v>13155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1" sqref="F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8" t="s">
        <v>203</v>
      </c>
      <c r="B2" s="3288"/>
      <c r="C2" s="3288"/>
      <c r="D2" s="1974" t="s">
        <v>204</v>
      </c>
      <c r="E2" s="106" t="s">
        <v>205</v>
      </c>
      <c r="F2" s="1983"/>
      <c r="G2" s="1198"/>
      <c r="H2" s="1199"/>
      <c r="I2" s="1200" t="s">
        <v>857</v>
      </c>
      <c r="J2" s="1983"/>
      <c r="K2" s="1983"/>
      <c r="L2" s="1983"/>
    </row>
    <row r="3" spans="1:16" ht="15.75" thickBot="1">
      <c r="A3" s="3289" t="s">
        <v>206</v>
      </c>
      <c r="B3" s="3289"/>
      <c r="C3" s="3289"/>
      <c r="D3" s="107">
        <f>'数据-基础表'!AY6</f>
        <v>268474.83</v>
      </c>
      <c r="E3" s="107">
        <f>'数据-基础表'!AZ5</f>
        <v>423739</v>
      </c>
      <c r="F3" s="1983"/>
      <c r="G3" s="280" t="s">
        <v>858</v>
      </c>
      <c r="H3" s="275" t="s">
        <v>859</v>
      </c>
      <c r="I3" s="1975">
        <f>ROUND('数据-基础表'!B3/'数据-基础表'!A3,2)</f>
        <v>1.58</v>
      </c>
      <c r="J3" s="1983"/>
      <c r="K3" s="1983"/>
      <c r="L3" s="1983"/>
    </row>
    <row r="4" spans="1:16" ht="15">
      <c r="A4" s="3290"/>
      <c r="B4" s="3291"/>
      <c r="C4" s="3292"/>
      <c r="D4" s="108" t="s">
        <v>204</v>
      </c>
      <c r="E4" s="109" t="s">
        <v>205</v>
      </c>
      <c r="F4" s="1983"/>
      <c r="G4" s="1201"/>
      <c r="H4" s="275" t="s">
        <v>860</v>
      </c>
      <c r="I4" s="1975">
        <f>ROUND(SUMIF('数据-基础表'!I9:AS9,"地上",'数据-基础表'!I5:AS5)/'数据-基础表'!A3,2)</f>
        <v>0.95</v>
      </c>
      <c r="J4" s="1983"/>
      <c r="K4" s="1983"/>
      <c r="L4" s="1983"/>
    </row>
    <row r="5" spans="1:16">
      <c r="A5" s="110" t="s">
        <v>207</v>
      </c>
      <c r="B5" s="3293" t="s">
        <v>230</v>
      </c>
      <c r="C5" s="3293"/>
      <c r="D5" s="111">
        <f>ROUND($D$3*E5/$E$3,2)</f>
        <v>150010.21</v>
      </c>
      <c r="E5" s="112">
        <f>SUMIF('数据-基础表'!$11:$11,"住宅",'数据-基础表'!$5:$5)</f>
        <v>236764</v>
      </c>
      <c r="F5" s="1983"/>
      <c r="G5" s="280" t="s">
        <v>861</v>
      </c>
      <c r="H5" s="275" t="s">
        <v>859</v>
      </c>
      <c r="I5" s="1975">
        <f>ROUND(E31/D31,2)</f>
        <v>1.58</v>
      </c>
      <c r="J5" s="1983"/>
      <c r="K5" s="1983"/>
      <c r="L5" s="1983"/>
    </row>
    <row r="6" spans="1:16" ht="15" thickBot="1">
      <c r="A6" s="113"/>
      <c r="B6" s="3293" t="s">
        <v>208</v>
      </c>
      <c r="C6" s="3293"/>
      <c r="D6" s="111">
        <f>ROUND($D$3*E6/$E$3,2)</f>
        <v>118464.62</v>
      </c>
      <c r="E6" s="112">
        <f>E3-E5</f>
        <v>186975</v>
      </c>
      <c r="F6" s="1983"/>
      <c r="G6" s="1201"/>
      <c r="H6" s="275" t="s">
        <v>860</v>
      </c>
      <c r="I6" s="1975">
        <f>ROUND(F31/D31,2)</f>
        <v>0.95</v>
      </c>
      <c r="J6" s="1983"/>
      <c r="K6" s="1983"/>
      <c r="L6" s="1983"/>
    </row>
    <row r="7" spans="1:16" ht="15">
      <c r="A7" s="3285"/>
      <c r="B7" s="3286"/>
      <c r="C7" s="3287"/>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153261.76999999999</v>
      </c>
      <c r="E8" s="116">
        <f>SUMIF('数据-基础表'!BB10:BK10,"地上",'数据-基础表'!BB5:BK5)</f>
        <v>241896</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106878.25</v>
      </c>
      <c r="E13" s="116">
        <f>SUMPRODUCT(('数据-基础表'!BB10:BK10="地下")*('数据-基础表'!BB11:BK11="车库")*('数据-基础表'!BB5:BK5))</f>
        <v>168688</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260140.02</v>
      </c>
      <c r="E16" s="120">
        <f>SUM(E8:E15)</f>
        <v>410584</v>
      </c>
      <c r="F16" s="1983"/>
      <c r="G16" s="1985"/>
      <c r="H16" s="968" t="s">
        <v>219</v>
      </c>
      <c r="I16" s="969"/>
      <c r="J16" s="1983"/>
      <c r="K16" s="3279" t="s">
        <v>2567</v>
      </c>
      <c r="L16" s="3280"/>
      <c r="M16" s="3280"/>
      <c r="N16" s="3280"/>
      <c r="O16" s="3280"/>
      <c r="P16" s="3281"/>
    </row>
    <row r="17" spans="1:19" ht="15">
      <c r="A17" s="121" t="s">
        <v>216</v>
      </c>
      <c r="B17" s="122" t="s">
        <v>217</v>
      </c>
      <c r="C17" s="2297" t="s">
        <v>2314</v>
      </c>
      <c r="D17" s="108" t="s">
        <v>204</v>
      </c>
      <c r="E17" s="124" t="s">
        <v>205</v>
      </c>
      <c r="F17" s="125"/>
      <c r="G17" s="1365"/>
      <c r="H17" s="970" t="s">
        <v>218</v>
      </c>
      <c r="I17" s="971" t="s">
        <v>2313</v>
      </c>
      <c r="J17" s="1983"/>
      <c r="K17" s="3282" t="s">
        <v>2568</v>
      </c>
      <c r="L17" s="3283"/>
      <c r="M17" s="3284"/>
      <c r="N17" s="3282" t="s">
        <v>2569</v>
      </c>
      <c r="O17" s="3283"/>
      <c r="P17" s="3284"/>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3007</v>
      </c>
      <c r="D19" s="111">
        <f t="shared" ref="D19:D26" si="1">ROUND($D$3*E19/$E$3,2)</f>
        <v>30002.17</v>
      </c>
      <c r="E19" s="134">
        <f t="shared" ref="E19:E26" si="2">SUM(F19:G19)</f>
        <v>47353</v>
      </c>
      <c r="F19" s="135">
        <f>'数据-基础表'!M13</f>
        <v>47353</v>
      </c>
      <c r="G19" s="1367"/>
      <c r="H19" s="974">
        <f>ROUND($D$3*I19/$E$3,2)</f>
        <v>1666.97</v>
      </c>
      <c r="I19" s="116">
        <f>IF($I$17="自定义",P19,M19)</f>
        <v>2631.01</v>
      </c>
      <c r="J19" s="1983"/>
      <c r="K19" s="2586">
        <f t="shared" ref="K19:K26" si="3">ROUND(E$28*E19/E$27,2)</f>
        <v>0</v>
      </c>
      <c r="L19" s="275">
        <f t="shared" ref="L19:L26" si="4">ROUND(IF(COUNTIF(C19,"*住宅*")&gt;0,E$29*E19/E$32,0),2)</f>
        <v>2631.01</v>
      </c>
      <c r="M19" s="2587">
        <f>K19+L19</f>
        <v>2631.01</v>
      </c>
      <c r="N19" s="2588"/>
      <c r="O19" s="2589"/>
      <c r="P19" s="2590">
        <f>N19+O19</f>
        <v>0</v>
      </c>
      <c r="R19" s="275">
        <f t="shared" ref="R19:S26" si="5">D19+H19</f>
        <v>31669.14</v>
      </c>
      <c r="S19" s="2300">
        <f t="shared" si="5"/>
        <v>49984.01</v>
      </c>
    </row>
    <row r="20" spans="1:19">
      <c r="A20" s="138"/>
      <c r="B20" s="115" t="s">
        <v>226</v>
      </c>
      <c r="C20" s="2999" t="s">
        <v>3009</v>
      </c>
      <c r="D20" s="111">
        <f t="shared" si="1"/>
        <v>120008.04</v>
      </c>
      <c r="E20" s="134">
        <f t="shared" si="2"/>
        <v>189411</v>
      </c>
      <c r="F20" s="135">
        <f>'数据-基础表'!I13</f>
        <v>189411</v>
      </c>
      <c r="G20" s="1367"/>
      <c r="H20" s="974">
        <f t="shared" ref="H20:H26" si="6">ROUND($D$3*I20/$E$3,2)</f>
        <v>6667.85</v>
      </c>
      <c r="I20" s="116">
        <f t="shared" ref="I20:I26" si="7">IF($I$17="自定义",P20,M20)</f>
        <v>10523.99</v>
      </c>
      <c r="J20" s="1983"/>
      <c r="K20" s="2586">
        <f t="shared" si="3"/>
        <v>0</v>
      </c>
      <c r="L20" s="275">
        <f t="shared" si="4"/>
        <v>10523.99</v>
      </c>
      <c r="M20" s="2587">
        <f t="shared" ref="M20:M26" si="8">K20+L20</f>
        <v>10523.99</v>
      </c>
      <c r="N20" s="2588"/>
      <c r="O20" s="2589"/>
      <c r="P20" s="2590">
        <f t="shared" ref="P20:P26" si="9">N20+O20</f>
        <v>0</v>
      </c>
      <c r="R20" s="275">
        <f t="shared" si="5"/>
        <v>126675.89</v>
      </c>
      <c r="S20" s="2300">
        <f t="shared" si="5"/>
        <v>199934.99</v>
      </c>
    </row>
    <row r="21" spans="1:19">
      <c r="A21" s="138"/>
      <c r="B21" s="115" t="s">
        <v>226</v>
      </c>
      <c r="C21" s="2999" t="s">
        <v>3004</v>
      </c>
      <c r="D21" s="111">
        <f t="shared" si="1"/>
        <v>3251.56</v>
      </c>
      <c r="E21" s="134">
        <f t="shared" si="2"/>
        <v>5132</v>
      </c>
      <c r="F21" s="135">
        <f>'数据-基础表'!K13</f>
        <v>5132</v>
      </c>
      <c r="G21" s="1367"/>
      <c r="H21" s="974">
        <f t="shared" si="6"/>
        <v>0</v>
      </c>
      <c r="I21" s="116">
        <f t="shared" si="7"/>
        <v>0</v>
      </c>
      <c r="J21" s="1983"/>
      <c r="K21" s="2586">
        <f t="shared" si="3"/>
        <v>0</v>
      </c>
      <c r="L21" s="275">
        <f t="shared" si="4"/>
        <v>0</v>
      </c>
      <c r="M21" s="2587">
        <f t="shared" si="8"/>
        <v>0</v>
      </c>
      <c r="N21" s="2588"/>
      <c r="O21" s="2589"/>
      <c r="P21" s="2590">
        <f t="shared" si="9"/>
        <v>0</v>
      </c>
      <c r="R21" s="275">
        <f t="shared" si="5"/>
        <v>3251.56</v>
      </c>
      <c r="S21" s="2300">
        <f t="shared" si="5"/>
        <v>5132</v>
      </c>
    </row>
    <row r="22" spans="1:19">
      <c r="A22" s="138"/>
      <c r="B22" s="115" t="s">
        <v>226</v>
      </c>
      <c r="C22" s="3184" t="s">
        <v>3014</v>
      </c>
      <c r="D22" s="111">
        <f t="shared" si="1"/>
        <v>106878.25</v>
      </c>
      <c r="E22" s="134">
        <f t="shared" si="2"/>
        <v>168688</v>
      </c>
      <c r="F22" s="140"/>
      <c r="G22" s="1368">
        <f>'数据-基础表'!O13</f>
        <v>168688</v>
      </c>
      <c r="H22" s="974">
        <f t="shared" si="6"/>
        <v>0</v>
      </c>
      <c r="I22" s="116">
        <f t="shared" si="7"/>
        <v>0</v>
      </c>
      <c r="J22" s="1983"/>
      <c r="K22" s="2586">
        <f t="shared" si="3"/>
        <v>0</v>
      </c>
      <c r="L22" s="275">
        <f t="shared" si="4"/>
        <v>0</v>
      </c>
      <c r="M22" s="2587">
        <f t="shared" si="8"/>
        <v>0</v>
      </c>
      <c r="N22" s="2588"/>
      <c r="O22" s="2589"/>
      <c r="P22" s="2590">
        <f t="shared" si="9"/>
        <v>0</v>
      </c>
      <c r="R22" s="275">
        <f t="shared" si="5"/>
        <v>106878.25</v>
      </c>
      <c r="S22" s="2300">
        <f t="shared" si="5"/>
        <v>168688</v>
      </c>
    </row>
    <row r="23" spans="1:19">
      <c r="A23" s="138"/>
      <c r="B23" s="115" t="s">
        <v>226</v>
      </c>
      <c r="C23" s="139"/>
      <c r="D23" s="111">
        <f>ROUND($D$3*E23/$E$3,2)</f>
        <v>0</v>
      </c>
      <c r="E23" s="134">
        <f>SUM(F23:G23)</f>
        <v>0</v>
      </c>
      <c r="F23" s="140"/>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260140.02</v>
      </c>
      <c r="E27" s="143">
        <f>IF(SUM(E19:E26)='数据-基础表'!BA5,SUM(E19:E26),IF(F27="地上面积有误","面积有误","地下面积有误"))</f>
        <v>410584</v>
      </c>
      <c r="F27" s="134">
        <f>IF(SUM(F19:F26)=E8,SUM(F19:F26),"地上面积有误")</f>
        <v>241896</v>
      </c>
      <c r="G27" s="112">
        <f>SUM(G19:G26)</f>
        <v>168688</v>
      </c>
      <c r="H27" s="975">
        <f>SUM(H19:H26)</f>
        <v>8334.82</v>
      </c>
      <c r="I27" s="976">
        <f>SUM(I19:I26)</f>
        <v>13155</v>
      </c>
      <c r="J27" s="1983"/>
      <c r="K27" s="2595">
        <f>SUM(K19:K26)</f>
        <v>0</v>
      </c>
      <c r="L27" s="2596">
        <f>SUM(L19:L26)</f>
        <v>13155</v>
      </c>
      <c r="M27" s="2597">
        <f>SUM(M19:M26)</f>
        <v>13155</v>
      </c>
      <c r="N27" s="2595">
        <f t="shared" ref="N27:O27" si="10">SUM(N19:N26)</f>
        <v>0</v>
      </c>
      <c r="O27" s="2596">
        <f t="shared" si="10"/>
        <v>0</v>
      </c>
      <c r="P27" s="2598">
        <f>SUM(P19:P26)</f>
        <v>0</v>
      </c>
      <c r="R27" s="2304" t="str">
        <f>IF(SUM(R19:R26)=$D$3,SUM(R19:R26),SUM(R19:R26)&amp;"误差"&amp;ROUND(SUM(R19:R26)-$D$3,2))</f>
        <v>268474.84误差0.01</v>
      </c>
      <c r="S27" s="275">
        <f>IF(SUM(S19:S26)=$E$3,SUM(S19:S26),SUM(S19:S26)&amp;"误差"&amp;ROUND(SUM(S19:S26)-E3,2))</f>
        <v>423739</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8334.82</v>
      </c>
      <c r="E29" s="134">
        <f>SUM(F29:G29)</f>
        <v>13155</v>
      </c>
      <c r="F29" s="144">
        <f>'数据-基础表'!BM5+'数据-基础表'!BO5</f>
        <v>13155</v>
      </c>
      <c r="G29" s="146">
        <f>'数据-基础表'!BN5+'数据-基础表'!BP5</f>
        <v>0</v>
      </c>
      <c r="H29" s="1983"/>
      <c r="I29" s="1983"/>
      <c r="J29" s="1983"/>
      <c r="K29" s="1983"/>
      <c r="L29" s="1983"/>
    </row>
    <row r="30" spans="1:19">
      <c r="A30" s="138"/>
      <c r="B30" s="111"/>
      <c r="C30" s="147" t="s">
        <v>215</v>
      </c>
      <c r="D30" s="134">
        <f>SUM(D28:D29)</f>
        <v>8334.82</v>
      </c>
      <c r="E30" s="134">
        <f>SUM(E28:E29)</f>
        <v>13155</v>
      </c>
      <c r="F30" s="134">
        <f>SUM(F28:F29)</f>
        <v>13155</v>
      </c>
      <c r="G30" s="112">
        <f>SUM(G28:G29)</f>
        <v>0</v>
      </c>
      <c r="H30" s="1983"/>
      <c r="I30" s="1983"/>
      <c r="J30" s="1983"/>
      <c r="K30" s="1983"/>
      <c r="L30" s="1983"/>
    </row>
    <row r="31" spans="1:19" ht="32.25" customHeight="1" thickBot="1">
      <c r="A31" s="1369"/>
      <c r="B31" s="1370" t="s">
        <v>229</v>
      </c>
      <c r="C31" s="2329" t="s">
        <v>2323</v>
      </c>
      <c r="D31" s="1371">
        <f>D27+D30</f>
        <v>268474.83999999997</v>
      </c>
      <c r="E31" s="1371">
        <f>E27+E30</f>
        <v>423739</v>
      </c>
      <c r="F31" s="1372">
        <f>F27+F30</f>
        <v>255051</v>
      </c>
      <c r="G31" s="1373">
        <f>G27+G30</f>
        <v>168688</v>
      </c>
      <c r="H31" s="1983"/>
      <c r="I31" s="1983"/>
      <c r="J31" s="1983"/>
      <c r="K31" s="1983"/>
      <c r="L31" s="1983"/>
    </row>
    <row r="32" spans="1:19">
      <c r="A32" s="1983"/>
      <c r="B32" s="2341" t="s">
        <v>2322</v>
      </c>
      <c r="C32" s="2625"/>
      <c r="D32" s="1201"/>
      <c r="E32" s="1201">
        <f>SUMIF(C19:C26,"*住宅*",E19:E26)</f>
        <v>236764</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21"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43557</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普通住宅</v>
      </c>
      <c r="B6" s="2336" t="str">
        <f>IF(A6=0,"","经营性")</f>
        <v>经营性</v>
      </c>
      <c r="C6" s="173" t="s">
        <v>923</v>
      </c>
      <c r="D6" s="2307">
        <f>SUMIF(项目基本情况!D$15:I$15,C6,项目基本情况!D$18:I$18)</f>
        <v>70</v>
      </c>
      <c r="E6" s="2308">
        <f>IF(B6="","",SUMIF(项目基本情况!D$15:I$15,C6,项目基本情况!D$17:I$17))</f>
        <v>59576</v>
      </c>
      <c r="F6" s="174">
        <f>SUMIF(项目基本情况!D$15:I$15,C6,项目基本情况!D$19:I$19)</f>
        <v>43.88</v>
      </c>
      <c r="G6" s="175">
        <f>IF(ISERROR(ROUND(POWER(1+H6,D6-F6)*(POWER(1+H6,F6)-1)/(POWER(1+H6,D6)-1),3)),0,ROUND(POWER(1+H6,D6-F6)*(POWER(1+H6,F6)-1)/(POWER(1+H6,D6)-1),3))</f>
        <v>0.91200000000000003</v>
      </c>
      <c r="H6" s="3000">
        <v>0.05</v>
      </c>
      <c r="I6" s="3000">
        <v>5.5E-2</v>
      </c>
      <c r="J6" s="176">
        <v>0.09</v>
      </c>
      <c r="K6" s="179">
        <f>SUMIF('数据-汇总表'!C$19:C$33,'数据-取费表'!A6,'数据-汇总表'!E$19:E$33)</f>
        <v>47353</v>
      </c>
      <c r="L6" s="3001">
        <v>3800</v>
      </c>
      <c r="M6" s="177">
        <f t="shared" ref="M6:M14" si="0">ROUND(K6*L6/10000,0)</f>
        <v>17994</v>
      </c>
      <c r="N6" s="3002">
        <v>0</v>
      </c>
      <c r="O6" s="177">
        <f>IF($N$5="成新度","——",ROUND(M6*N6,0))</f>
        <v>0</v>
      </c>
      <c r="P6" s="178">
        <f>IF($N$5="成新度","——",M6-O6)</f>
        <v>17994</v>
      </c>
      <c r="Q6" s="3003">
        <v>0.2</v>
      </c>
      <c r="R6" s="179">
        <f>SUMIF('数据-汇总表'!C$19:C$33,A6,'数据-汇总表'!R$19:R$33)</f>
        <v>31669.14</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0.88200000000000001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低密度住宅</v>
      </c>
      <c r="B7" s="2336" t="str">
        <f t="shared" ref="B7:B13" si="1">IF(A7=0,"","经营性")</f>
        <v>经营性</v>
      </c>
      <c r="C7" s="173" t="s">
        <v>923</v>
      </c>
      <c r="D7" s="2307">
        <f>SUMIF(项目基本情况!D$15:I$15,C7,项目基本情况!D$18:I$18)</f>
        <v>70</v>
      </c>
      <c r="E7" s="2308">
        <f>IF(B7="","",SUMIF(项目基本情况!D$15:I$15,C7,项目基本情况!D$17:I$17))</f>
        <v>59576</v>
      </c>
      <c r="F7" s="174">
        <f>SUMIF(项目基本情况!D$15:I$15,C7,项目基本情况!D$19:I$19)</f>
        <v>43.88</v>
      </c>
      <c r="G7" s="175">
        <f t="shared" ref="G7:G11" si="2">IF(ISERROR(ROUND(POWER(1+H7,D7-F7)*(POWER(1+H7,F7)-1)/(POWER(1+H7,D7)-1),3)),0,ROUND(POWER(1+H7,D7-F7)*(POWER(1+H7,F7)-1)/(POWER(1+H7,D7)-1),3))</f>
        <v>0.91200000000000003</v>
      </c>
      <c r="H7" s="3000">
        <f>H6</f>
        <v>0.05</v>
      </c>
      <c r="I7" s="3000">
        <v>5.5E-2</v>
      </c>
      <c r="J7" s="176">
        <v>0.09</v>
      </c>
      <c r="K7" s="179">
        <f>SUMIF('数据-汇总表'!C$19:C$33,'数据-取费表'!A7,'数据-汇总表'!E$19:E$33)</f>
        <v>189411</v>
      </c>
      <c r="L7" s="3001">
        <v>2800</v>
      </c>
      <c r="M7" s="177">
        <f t="shared" si="0"/>
        <v>53035</v>
      </c>
      <c r="N7" s="3002">
        <v>0</v>
      </c>
      <c r="O7" s="177">
        <f t="shared" ref="O7:O14" si="3">IF($N$5="成新度","——",ROUND(M7*N7,0))</f>
        <v>0</v>
      </c>
      <c r="P7" s="178">
        <f t="shared" ref="P7:P14" si="4">IF($N$5="成新度","——",M7-O7)</f>
        <v>53035</v>
      </c>
      <c r="Q7" s="3003">
        <v>0.25</v>
      </c>
      <c r="R7" s="179">
        <f>SUMIF('数据-汇总表'!C$19:C$33,A7,'数据-汇总表'!R$19:R$33)</f>
        <v>126675.89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1999"/>
      <c r="AP7" s="1204">
        <f t="shared" ref="AP7:AP13" si="8">ROUND(1-1/(1+H7)^F7,3)</f>
        <v>0.88200000000000001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商业</v>
      </c>
      <c r="B8" s="2336" t="str">
        <f t="shared" si="1"/>
        <v>经营性</v>
      </c>
      <c r="C8" s="173" t="s">
        <v>3002</v>
      </c>
      <c r="D8" s="2307">
        <f>SUMIF(项目基本情况!D$15:I$15,C8,项目基本情况!D$18:I$18)</f>
        <v>40</v>
      </c>
      <c r="E8" s="2308">
        <f>IF(B8="","",SUMIF(项目基本情况!D$15:I$15,C8,项目基本情况!D$17:I$17))</f>
        <v>48619</v>
      </c>
      <c r="F8" s="174">
        <f>SUMIF(项目基本情况!D$15:I$15,C8,项目基本情况!D$19:I$19)</f>
        <v>13.86</v>
      </c>
      <c r="G8" s="175">
        <f t="shared" si="2"/>
        <v>0.59399999999999997</v>
      </c>
      <c r="H8" s="3000">
        <v>5.5E-2</v>
      </c>
      <c r="I8" s="3000">
        <v>0.06</v>
      </c>
      <c r="J8" s="176">
        <v>0.09</v>
      </c>
      <c r="K8" s="179">
        <f>SUMIF('数据-汇总表'!C$19:C$33,'数据-取费表'!A8,'数据-汇总表'!E$19:E$33)</f>
        <v>5132</v>
      </c>
      <c r="L8" s="3001">
        <v>2500</v>
      </c>
      <c r="M8" s="177">
        <f>ROUND(K8*L8/10000,0)</f>
        <v>1283</v>
      </c>
      <c r="N8" s="3002">
        <v>0</v>
      </c>
      <c r="O8" s="177">
        <f t="shared" si="3"/>
        <v>0</v>
      </c>
      <c r="P8" s="178">
        <f t="shared" si="4"/>
        <v>1283</v>
      </c>
      <c r="Q8" s="3003">
        <v>0.2</v>
      </c>
      <c r="R8" s="179">
        <f>SUMIF('数据-汇总表'!C$19:C$33,A8,'数据-汇总表'!R$19:R$33)</f>
        <v>3251.56</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0.52400000000000002</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地下车库</v>
      </c>
      <c r="B9" s="2336" t="str">
        <f t="shared" si="1"/>
        <v>经营性</v>
      </c>
      <c r="C9" s="173" t="s">
        <v>3013</v>
      </c>
      <c r="D9" s="2307">
        <f>SUMIF(项目基本情况!D$15:I$15,C9,项目基本情况!D$18:I$18)</f>
        <v>50</v>
      </c>
      <c r="E9" s="2308">
        <f>IF(B9="","",SUMIF(项目基本情况!D$15:I$15,C9,项目基本情况!D$17:I$17))</f>
        <v>52271</v>
      </c>
      <c r="F9" s="174">
        <f>SUMIF(项目基本情况!D$15:I$15,C9,项目基本情况!D$19:I$19)</f>
        <v>23.87</v>
      </c>
      <c r="G9" s="175">
        <f t="shared" si="2"/>
        <v>0.70699999999999996</v>
      </c>
      <c r="H9" s="176">
        <v>0.04</v>
      </c>
      <c r="I9" s="176">
        <v>4.4999999999999998E-2</v>
      </c>
      <c r="J9" s="176">
        <v>0.09</v>
      </c>
      <c r="K9" s="179">
        <f>SUMIF('数据-汇总表'!C$19:C$33,'数据-取费表'!A9,'数据-汇总表'!E$19:E$33)</f>
        <v>168688</v>
      </c>
      <c r="L9" s="193">
        <v>2000</v>
      </c>
      <c r="M9" s="177">
        <f t="shared" si="0"/>
        <v>33738</v>
      </c>
      <c r="N9" s="194">
        <v>0</v>
      </c>
      <c r="O9" s="177">
        <f t="shared" si="3"/>
        <v>0</v>
      </c>
      <c r="P9" s="178">
        <f t="shared" si="4"/>
        <v>33738</v>
      </c>
      <c r="Q9" s="192">
        <v>0.05</v>
      </c>
      <c r="R9" s="179">
        <f>SUMIF('数据-汇总表'!C$19:C$33,A9,'数据-汇总表'!R$19:R$33)</f>
        <v>106878.25</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0.60799999999999998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v>2000</v>
      </c>
      <c r="M14" s="177">
        <f t="shared" si="0"/>
        <v>0</v>
      </c>
      <c r="N14" s="194">
        <v>0</v>
      </c>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13155</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0.82399999999999995</v>
      </c>
      <c r="H16" s="203">
        <f>ROUND(SUMPRODUCT(H6:H13,K6:K13)/SUMPRODUCT((H6:H13&gt;0)*(K6:K13)),3)</f>
        <v>4.5999999999999999E-2</v>
      </c>
      <c r="I16" s="204"/>
      <c r="J16" s="204"/>
      <c r="K16" s="205">
        <f>SUM(K6:K15)</f>
        <v>423739</v>
      </c>
      <c r="L16" s="206">
        <f>ROUND(M16*10000/SUM(K6:K14),0)</f>
        <v>2583</v>
      </c>
      <c r="M16" s="206">
        <f>SUM(M6:M14)</f>
        <v>106050</v>
      </c>
      <c r="N16" s="207">
        <f>ROUND(SUMPRODUCT(M6:M14,N6:N14)/M16,3)</f>
        <v>0</v>
      </c>
      <c r="O16" s="206">
        <f>SUM(O6:O14)</f>
        <v>0</v>
      </c>
      <c r="P16" s="206">
        <f>SUM(P6:P14)</f>
        <v>106050</v>
      </c>
      <c r="Q16" s="208">
        <f>ROUND(SUMPRODUCT(Q6:Q13,K6:K13)/SUMPRODUCT((Q6:Q13&gt;0)*(K6:K13)),2)</f>
        <v>0.16</v>
      </c>
      <c r="R16" s="2310">
        <f>SUM(R6:R13)</f>
        <v>268474.83999999997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0.76500000000000001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200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200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100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100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43"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43"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43"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51" t="s">
        <v>2906</v>
      </c>
      <c r="D53" s="3052"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2908</v>
      </c>
      <c r="B54" s="186"/>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2909</v>
      </c>
      <c r="B55" s="186"/>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2910</v>
      </c>
      <c r="B56" s="186"/>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2911</v>
      </c>
      <c r="B57" s="186"/>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2912</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2913</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2" sqref="H12"/>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4" t="s">
        <v>1664</v>
      </c>
      <c r="B1" s="3295"/>
      <c r="C1" s="3295"/>
      <c r="D1" s="3295"/>
      <c r="E1" s="3295"/>
      <c r="F1" s="3295"/>
      <c r="G1" s="3295"/>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27">
      <c r="A3" s="1227" t="s">
        <v>1667</v>
      </c>
      <c r="B3" s="1228" t="s">
        <v>1654</v>
      </c>
      <c r="C3" s="3056"/>
      <c r="D3" s="2008"/>
      <c r="E3" s="1229" t="s">
        <v>1667</v>
      </c>
      <c r="F3" s="1230" t="s">
        <v>1655</v>
      </c>
      <c r="G3" s="3060"/>
      <c r="H3" s="2007"/>
      <c r="I3" s="2007"/>
      <c r="J3" s="2007"/>
      <c r="K3" s="2007"/>
      <c r="L3" s="2007"/>
      <c r="M3" s="2007"/>
      <c r="N3" s="2007"/>
      <c r="O3" s="2007"/>
      <c r="P3" s="2007"/>
      <c r="Q3" s="2007"/>
      <c r="R3" s="2007"/>
    </row>
    <row r="4" spans="1:18" ht="14.25">
      <c r="A4" s="1229"/>
      <c r="B4" s="1231" t="s">
        <v>1668</v>
      </c>
      <c r="C4" s="3057"/>
      <c r="D4" s="2008"/>
      <c r="E4" s="1232"/>
      <c r="F4" s="1233" t="s">
        <v>1669</v>
      </c>
      <c r="G4" s="3058"/>
      <c r="H4" s="2007"/>
      <c r="I4" s="2007"/>
      <c r="J4" s="2007"/>
      <c r="K4" s="2007"/>
      <c r="L4" s="2007"/>
      <c r="M4" s="2007"/>
      <c r="N4" s="2007"/>
      <c r="O4" s="2007"/>
      <c r="P4" s="2007"/>
      <c r="Q4" s="2007"/>
      <c r="R4" s="2007"/>
    </row>
    <row r="5" spans="1:18" ht="14.25">
      <c r="A5" s="1229"/>
      <c r="B5" s="1231" t="s">
        <v>1670</v>
      </c>
      <c r="C5" s="3057"/>
      <c r="D5" s="2008"/>
      <c r="E5" s="1232"/>
      <c r="F5" s="1231" t="s">
        <v>2547</v>
      </c>
      <c r="G5" s="3058"/>
      <c r="H5" s="2007"/>
      <c r="I5" s="2007"/>
      <c r="J5" s="2007"/>
      <c r="K5" s="2007"/>
      <c r="L5" s="2007"/>
      <c r="M5" s="2007"/>
      <c r="N5" s="2007"/>
      <c r="O5" s="2007"/>
      <c r="P5" s="2007"/>
      <c r="Q5" s="2007"/>
      <c r="R5" s="2007"/>
    </row>
    <row r="6" spans="1:18" ht="14.25">
      <c r="A6" s="1229"/>
      <c r="B6" s="1231" t="s">
        <v>1656</v>
      </c>
      <c r="C6" s="3058"/>
      <c r="D6" s="2008"/>
      <c r="E6" s="1232"/>
      <c r="F6" s="1231" t="s">
        <v>2548</v>
      </c>
      <c r="G6" s="3058"/>
      <c r="H6" s="2007"/>
      <c r="I6" s="2007"/>
      <c r="J6" s="2007"/>
      <c r="K6" s="2007"/>
      <c r="L6" s="2007"/>
      <c r="M6" s="2007"/>
      <c r="N6" s="2007"/>
      <c r="O6" s="2007"/>
      <c r="P6" s="2007"/>
      <c r="Q6" s="2007"/>
      <c r="R6" s="2007"/>
    </row>
    <row r="7" spans="1:18" ht="15" thickBot="1">
      <c r="A7" s="1229"/>
      <c r="B7" s="1231" t="s">
        <v>2547</v>
      </c>
      <c r="C7" s="3058"/>
      <c r="D7" s="2009"/>
      <c r="E7" s="1234"/>
      <c r="F7" s="1235" t="s">
        <v>1671</v>
      </c>
      <c r="G7" s="3061"/>
      <c r="H7" s="2007"/>
      <c r="I7" s="2007"/>
      <c r="J7" s="2007"/>
      <c r="K7" s="2007"/>
      <c r="L7" s="2007"/>
      <c r="M7" s="2007"/>
      <c r="N7" s="2007"/>
      <c r="O7" s="2007"/>
      <c r="P7" s="2007"/>
      <c r="Q7" s="2007"/>
      <c r="R7" s="2007"/>
    </row>
    <row r="8" spans="1:18" ht="14.25">
      <c r="A8" s="1229"/>
      <c r="B8" s="1231" t="s">
        <v>2548</v>
      </c>
      <c r="C8" s="3058"/>
      <c r="D8" s="2009"/>
      <c r="E8" s="2009"/>
      <c r="F8" s="1553"/>
      <c r="G8" s="1553"/>
      <c r="H8" s="2007"/>
      <c r="I8" s="2007"/>
      <c r="J8" s="2007"/>
      <c r="K8" s="2007"/>
      <c r="L8" s="2007"/>
      <c r="M8" s="2007"/>
      <c r="N8" s="2007"/>
      <c r="O8" s="2007"/>
      <c r="P8" s="2007"/>
      <c r="Q8" s="2007"/>
      <c r="R8" s="2007"/>
    </row>
    <row r="9" spans="1:18" ht="14.25">
      <c r="A9" s="1229"/>
      <c r="B9" s="1231" t="s">
        <v>1657</v>
      </c>
      <c r="C9" s="3057"/>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59"/>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27">
      <c r="A15" s="2566" t="s">
        <v>1658</v>
      </c>
      <c r="B15" s="1242" t="s">
        <v>1654</v>
      </c>
      <c r="C15" s="1243">
        <f>C3</f>
        <v>0</v>
      </c>
      <c r="D15" s="2008"/>
      <c r="E15" s="2563" t="s">
        <v>1659</v>
      </c>
      <c r="F15" s="1242" t="s">
        <v>1674</v>
      </c>
      <c r="G15" s="1244">
        <f>G3</f>
        <v>0</v>
      </c>
    </row>
    <row r="16" spans="1:18">
      <c r="A16" s="2567"/>
      <c r="B16" s="1245" t="s">
        <v>1668</v>
      </c>
      <c r="C16" s="1246">
        <f>C4</f>
        <v>0</v>
      </c>
      <c r="D16" s="2008"/>
      <c r="E16" s="2564"/>
      <c r="F16" s="1247" t="s">
        <v>1669</v>
      </c>
      <c r="G16" s="1005">
        <f>G4</f>
        <v>0</v>
      </c>
    </row>
    <row r="17" spans="1:7" ht="14.25">
      <c r="A17" s="2567"/>
      <c r="B17" s="1245" t="s">
        <v>1670</v>
      </c>
      <c r="C17" s="1246">
        <f>C5</f>
        <v>0</v>
      </c>
      <c r="D17" s="2009"/>
      <c r="E17" s="2564"/>
      <c r="F17" s="1247" t="s">
        <v>1675</v>
      </c>
      <c r="G17" s="2771"/>
    </row>
    <row r="18" spans="1:7">
      <c r="A18" s="2567"/>
      <c r="B18" s="1247" t="s">
        <v>1656</v>
      </c>
      <c r="C18" s="1005">
        <f>C6</f>
        <v>0</v>
      </c>
      <c r="D18" s="2009"/>
      <c r="E18" s="2564"/>
      <c r="F18" s="1247" t="s">
        <v>1671</v>
      </c>
      <c r="G18" s="1005">
        <f>G7</f>
        <v>0</v>
      </c>
    </row>
    <row r="19" spans="1:7" ht="14.25">
      <c r="A19" s="2567"/>
      <c r="B19" s="1247" t="s">
        <v>1660</v>
      </c>
      <c r="C19" s="2771"/>
      <c r="D19" s="2008"/>
      <c r="E19" s="2564"/>
      <c r="F19" s="1231" t="s">
        <v>2547</v>
      </c>
      <c r="G19" s="1005">
        <f>G5</f>
        <v>0</v>
      </c>
    </row>
    <row r="20" spans="1:7">
      <c r="A20" s="2567"/>
      <c r="B20" s="1247" t="s">
        <v>1661</v>
      </c>
      <c r="C20" s="1246">
        <f>C9</f>
        <v>0</v>
      </c>
      <c r="D20" s="2009"/>
      <c r="E20" s="2564"/>
      <c r="F20" s="1231" t="s">
        <v>2548</v>
      </c>
      <c r="G20" s="1005">
        <f>G6</f>
        <v>0</v>
      </c>
    </row>
    <row r="21" spans="1:7" ht="14.25">
      <c r="A21" s="2567"/>
      <c r="B21" s="1231" t="s">
        <v>2547</v>
      </c>
      <c r="C21" s="1005">
        <f>C7</f>
        <v>0</v>
      </c>
      <c r="D21" s="2008"/>
      <c r="E21" s="2564"/>
      <c r="F21" s="1247" t="s">
        <v>1662</v>
      </c>
      <c r="G21" s="3062"/>
    </row>
    <row r="22" spans="1:7" ht="14.25">
      <c r="A22" s="2567"/>
      <c r="B22" s="1231" t="s">
        <v>2548</v>
      </c>
      <c r="C22" s="1005">
        <f>C8</f>
        <v>0</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2845</v>
      </c>
      <c r="B1" s="3020">
        <f>SUM(B14:B23)</f>
        <v>423739</v>
      </c>
      <c r="C1" s="3021"/>
      <c r="D1" s="3021"/>
      <c r="E1" s="3021"/>
      <c r="F1" s="3021"/>
    </row>
    <row r="2" spans="1:9" ht="16.5">
      <c r="A2" s="3020" t="s">
        <v>2846</v>
      </c>
      <c r="B2" s="3020">
        <f>SUM(C14:C23)</f>
        <v>268474.83</v>
      </c>
      <c r="C2" s="3021"/>
      <c r="D2" s="3021"/>
      <c r="E2" s="3021"/>
      <c r="F2" s="3021"/>
    </row>
    <row r="3" spans="1:9" ht="16.5">
      <c r="A3" s="3020" t="s">
        <v>2847</v>
      </c>
      <c r="B3" s="3022">
        <f>项目基本情况!D3</f>
        <v>43557</v>
      </c>
      <c r="C3" s="3021"/>
      <c r="D3" s="3021"/>
      <c r="E3" s="3021"/>
      <c r="F3" s="3021"/>
    </row>
    <row r="4" spans="1:9" ht="33">
      <c r="A4" s="3020" t="s">
        <v>2848</v>
      </c>
      <c r="B4" s="3020" t="s">
        <v>2849</v>
      </c>
      <c r="C4" s="3020" t="s">
        <v>2850</v>
      </c>
      <c r="D4" s="3020" t="s">
        <v>2851</v>
      </c>
      <c r="E4" s="3021"/>
      <c r="F4" s="3021"/>
    </row>
    <row r="5" spans="1:9" ht="16.5">
      <c r="A5" s="3020" t="s">
        <v>2852</v>
      </c>
      <c r="B5" s="3020">
        <f ca="1">SUM(D14:D23)</f>
        <v>480004</v>
      </c>
      <c r="C5" s="3020">
        <f ca="1">ROUND(B5*10000/$B$1,0)</f>
        <v>11328</v>
      </c>
      <c r="D5" s="3020">
        <f ca="1">ROUND(B5*10000/$B$2,0)</f>
        <v>17879</v>
      </c>
      <c r="E5" s="3021"/>
      <c r="F5" s="3021"/>
    </row>
    <row r="6" spans="1:9" ht="16.5">
      <c r="A6" s="3020" t="s">
        <v>2853</v>
      </c>
      <c r="B6" s="3020">
        <f>SUM(G14:G23)</f>
        <v>0</v>
      </c>
      <c r="C6" s="3020">
        <f t="shared" ref="C6:C8" si="0">ROUND(B6*10000/$B$1,0)</f>
        <v>0</v>
      </c>
      <c r="D6" s="3020">
        <f t="shared" ref="D6:D8" si="1">ROUND(B6*10000/$B$2,0)</f>
        <v>0</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423739</v>
      </c>
      <c r="C14" s="3024">
        <f>结果表!K38</f>
        <v>268474.83</v>
      </c>
      <c r="D14" s="3024">
        <f ca="1">结果表!C42</f>
        <v>480004</v>
      </c>
      <c r="E14" s="3024">
        <f ca="1">ROUND(D14*10000/B14,0)</f>
        <v>11328</v>
      </c>
      <c r="F14" s="3024">
        <f ca="1">ROUND(D14*10000/C14,0)</f>
        <v>17879</v>
      </c>
      <c r="G14" s="3024" t="str">
        <f>结果表!C44</f>
        <v>——</v>
      </c>
      <c r="H14" s="3024" t="str">
        <f>结果表!C45</f>
        <v>——</v>
      </c>
      <c r="I14" s="3024" t="str">
        <f>结果表!C46</f>
        <v>——</v>
      </c>
    </row>
    <row r="15" spans="1:9" ht="16.5">
      <c r="A15" s="3027" t="s">
        <v>2862</v>
      </c>
      <c r="B15" s="3028"/>
      <c r="C15" s="3028"/>
      <c r="D15" s="3028"/>
      <c r="E15" s="3024" t="e">
        <f t="shared" ref="E15:E23" si="2">ROUND(D15*10000/B15,0)</f>
        <v>#DIV/0!</v>
      </c>
      <c r="F15" s="3024" t="e">
        <f t="shared" ref="F15:F23" si="3">ROUND(D15*10000/C15,0)</f>
        <v>#DIV/0!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32" t="str">
        <f>项目基本情况!K2</f>
        <v>出让国有建设用地使用权</v>
      </c>
      <c r="B2" s="3333"/>
      <c r="C2" s="3334"/>
      <c r="D2" s="3334"/>
      <c r="E2" s="3334"/>
      <c r="F2" s="3334"/>
      <c r="G2" s="3333"/>
      <c r="H2" s="3333"/>
      <c r="I2" s="3335"/>
      <c r="J2" s="2029"/>
      <c r="K2" s="2028"/>
      <c r="L2" s="2028"/>
      <c r="M2" s="2028"/>
      <c r="N2" s="2028"/>
      <c r="O2" s="2028"/>
      <c r="P2" s="2028"/>
      <c r="Q2" s="2028"/>
      <c r="R2" s="2028"/>
      <c r="S2" s="2028"/>
      <c r="T2" s="2028"/>
      <c r="U2" s="2028"/>
      <c r="V2" s="2028"/>
    </row>
    <row r="3" spans="1:22" ht="14.25">
      <c r="A3" s="3325" t="s">
        <v>298</v>
      </c>
      <c r="B3" s="3326"/>
      <c r="C3" s="3326"/>
      <c r="D3" s="3326"/>
      <c r="E3" s="3326"/>
      <c r="F3" s="3326"/>
      <c r="G3" s="3326"/>
      <c r="H3" s="3326"/>
      <c r="I3" s="3326"/>
      <c r="J3" s="2029"/>
      <c r="K3" s="2028"/>
      <c r="L3" s="2028"/>
      <c r="M3" s="2028"/>
      <c r="N3" s="2028"/>
      <c r="O3" s="2028"/>
      <c r="P3" s="2028"/>
      <c r="Q3" s="2028"/>
      <c r="R3" s="2028"/>
      <c r="S3" s="2028"/>
      <c r="T3" s="2028"/>
      <c r="U3" s="2028"/>
      <c r="V3" s="2028"/>
    </row>
    <row r="4" spans="1:22" ht="14.25">
      <c r="A4" s="258" t="s">
        <v>299</v>
      </c>
      <c r="B4" s="259" t="s">
        <v>300</v>
      </c>
      <c r="C4" s="260" t="s">
        <v>3010</v>
      </c>
      <c r="D4" s="260" t="s">
        <v>3011</v>
      </c>
      <c r="E4" s="3297" t="s">
        <v>301</v>
      </c>
      <c r="F4" s="3298"/>
      <c r="G4" s="3298"/>
      <c r="H4" s="3298"/>
      <c r="I4" s="332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96" t="s">
        <v>302</v>
      </c>
      <c r="B5" s="3322">
        <v>25</v>
      </c>
      <c r="C5" s="3320"/>
      <c r="D5" s="3324"/>
      <c r="E5" s="261" t="s">
        <v>303</v>
      </c>
      <c r="F5" s="262"/>
      <c r="G5" s="262"/>
      <c r="H5" s="262"/>
      <c r="I5" s="263"/>
      <c r="J5" s="2029"/>
      <c r="K5" s="2028"/>
      <c r="L5" s="2028"/>
      <c r="M5" s="2028"/>
      <c r="N5" s="2028"/>
      <c r="O5" s="2028"/>
      <c r="P5" s="2028"/>
      <c r="Q5" s="2028"/>
      <c r="R5" s="2028"/>
      <c r="S5" s="2028"/>
      <c r="T5" s="2028"/>
      <c r="U5" s="2028"/>
      <c r="V5" s="2028"/>
    </row>
    <row r="6" spans="1:22" ht="14.25">
      <c r="A6" s="3296"/>
      <c r="B6" s="3322"/>
      <c r="C6" s="3323"/>
      <c r="D6" s="3324"/>
      <c r="E6" s="261" t="s">
        <v>304</v>
      </c>
      <c r="F6" s="262"/>
      <c r="G6" s="262"/>
      <c r="H6" s="262"/>
      <c r="I6" s="263"/>
      <c r="J6" s="2029"/>
      <c r="K6" s="2028"/>
      <c r="L6" s="2028"/>
      <c r="M6" s="2028"/>
      <c r="N6" s="2028"/>
      <c r="O6" s="2028"/>
      <c r="P6" s="2028"/>
      <c r="Q6" s="2028"/>
      <c r="R6" s="2028"/>
      <c r="S6" s="2028"/>
      <c r="T6" s="2028"/>
      <c r="U6" s="2028"/>
      <c r="V6" s="2028"/>
    </row>
    <row r="7" spans="1:22" ht="14.25">
      <c r="A7" s="3296"/>
      <c r="B7" s="3322"/>
      <c r="C7" s="3321"/>
      <c r="D7" s="3324"/>
      <c r="E7" s="261" t="s">
        <v>305</v>
      </c>
      <c r="F7" s="262"/>
      <c r="G7" s="262"/>
      <c r="H7" s="262"/>
      <c r="I7" s="263"/>
      <c r="J7" s="2029"/>
      <c r="K7" s="2028"/>
      <c r="L7" s="2028"/>
      <c r="M7" s="2028"/>
      <c r="N7" s="2028"/>
      <c r="O7" s="2028"/>
      <c r="P7" s="2028"/>
      <c r="Q7" s="2028"/>
      <c r="R7" s="2028"/>
      <c r="S7" s="2028"/>
      <c r="T7" s="2028"/>
      <c r="U7" s="2028"/>
      <c r="V7" s="2028"/>
    </row>
    <row r="8" spans="1:22" ht="14.25">
      <c r="A8" s="3296" t="s">
        <v>306</v>
      </c>
      <c r="B8" s="3322">
        <v>15</v>
      </c>
      <c r="C8" s="3320"/>
      <c r="D8" s="3324"/>
      <c r="E8" s="261" t="s">
        <v>307</v>
      </c>
      <c r="F8" s="262"/>
      <c r="G8" s="262"/>
      <c r="H8" s="262"/>
      <c r="I8" s="263"/>
      <c r="J8" s="2029"/>
      <c r="K8" s="2028"/>
      <c r="L8" s="2028"/>
      <c r="M8" s="2028"/>
      <c r="N8" s="2028"/>
      <c r="O8" s="2028"/>
      <c r="P8" s="2028"/>
      <c r="Q8" s="2028"/>
      <c r="R8" s="2028"/>
      <c r="S8" s="2028"/>
      <c r="T8" s="2028"/>
      <c r="U8" s="2028"/>
      <c r="V8" s="2028"/>
    </row>
    <row r="9" spans="1:22" ht="14.25">
      <c r="A9" s="3296"/>
      <c r="B9" s="3322"/>
      <c r="C9" s="3321"/>
      <c r="D9" s="3324"/>
      <c r="E9" s="261" t="s">
        <v>308</v>
      </c>
      <c r="F9" s="262"/>
      <c r="G9" s="262"/>
      <c r="H9" s="262"/>
      <c r="I9" s="263"/>
      <c r="J9" s="2029"/>
      <c r="K9" s="2028"/>
      <c r="L9" s="2028"/>
      <c r="M9" s="2028"/>
      <c r="N9" s="2028"/>
      <c r="O9" s="2028"/>
      <c r="P9" s="2028"/>
      <c r="Q9" s="2028"/>
      <c r="R9" s="2028"/>
      <c r="S9" s="2028"/>
      <c r="T9" s="2028"/>
      <c r="U9" s="2028"/>
      <c r="V9" s="2028"/>
    </row>
    <row r="10" spans="1:22" ht="14.25">
      <c r="A10" s="3296" t="s">
        <v>309</v>
      </c>
      <c r="B10" s="3322">
        <v>15</v>
      </c>
      <c r="C10" s="3320"/>
      <c r="D10" s="3324"/>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6"/>
      <c r="B11" s="3322"/>
      <c r="C11" s="3321"/>
      <c r="D11" s="3324"/>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6" t="s">
        <v>312</v>
      </c>
      <c r="B12" s="3322">
        <v>15</v>
      </c>
      <c r="C12" s="3320"/>
      <c r="D12" s="3324"/>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6"/>
      <c r="B13" s="3322"/>
      <c r="C13" s="3321"/>
      <c r="D13" s="3324"/>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6" t="s">
        <v>315</v>
      </c>
      <c r="B14" s="3322">
        <v>30</v>
      </c>
      <c r="C14" s="3320">
        <v>4.5</v>
      </c>
      <c r="D14" s="3324">
        <v>5.5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6"/>
      <c r="B15" s="3322"/>
      <c r="C15" s="3323"/>
      <c r="D15" s="3324"/>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6"/>
      <c r="B16" s="3322"/>
      <c r="C16" s="3321"/>
      <c r="D16" s="3324"/>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4.5</v>
      </c>
      <c r="D17" s="265">
        <f>SUM(D5:D16)</f>
        <v>5.5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0.45</v>
      </c>
      <c r="D18" s="267">
        <f>1-C18</f>
        <v>0.55000000000000004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615719</v>
      </c>
      <c r="D19" s="271">
        <f ca="1">SUMIF(INDIRECT("'"&amp;D4&amp;"'"&amp;"!A:A"),结果表!B19,INDIRECT("'"&amp;D4&amp;"'"&amp;"!B:B"))</f>
        <v>368964</v>
      </c>
      <c r="E19" s="268" t="s">
        <v>323</v>
      </c>
      <c r="F19" s="269" t="s">
        <v>322</v>
      </c>
      <c r="G19" s="272">
        <f ca="1">ROUND(C19*$C$18+D19*$D$18,0)</f>
        <v>480004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14531</v>
      </c>
      <c r="D20" s="277">
        <f ca="1">SUMIF(INDIRECT("'"&amp;D4&amp;"'"&amp;"!A:A"),结果表!B20,INDIRECT("'"&amp;D4&amp;"'"&amp;"!B:B"))</f>
        <v>8707</v>
      </c>
      <c r="E20" s="274"/>
      <c r="F20" s="275" t="s">
        <v>325</v>
      </c>
      <c r="G20" s="278">
        <f ca="1">ROUND(C20*$C$18+D20*$D$18,0)</f>
        <v>11328</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22934</v>
      </c>
      <c r="D21" s="151">
        <f ca="1">SUMIF(INDIRECT("'"&amp;D4&amp;"'"&amp;"!A:A"),结果表!B21,INDIRECT("'"&amp;D4&amp;"'"&amp;"!B:B"))</f>
        <v>13743</v>
      </c>
      <c r="E21" s="274"/>
      <c r="F21" s="280" t="s">
        <v>327</v>
      </c>
      <c r="G21" s="282">
        <f ca="1">ROUND(C21*$C$18+D21*$D$18,0)</f>
        <v>17879</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0.66877798375993325</v>
      </c>
      <c r="E22" s="284"/>
      <c r="F22" s="285"/>
      <c r="G22" s="286">
        <f ca="1">ROUND(G19/('数据-汇总表'!D3/666.67),0)</f>
        <v>1192</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2"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3"/>
      <c r="B25" s="1321" t="s">
        <v>331</v>
      </c>
      <c r="C25" s="290">
        <f>IF(B30=0,0,C30)</f>
        <v>0</v>
      </c>
      <c r="D25" s="291"/>
      <c r="E25" s="311"/>
      <c r="F25" s="311"/>
      <c r="G25" s="311"/>
      <c r="H25" s="311"/>
      <c r="I25" s="311"/>
      <c r="J25" s="2028"/>
      <c r="K25" s="1255" t="str">
        <f ca="1">项目基本情况!B16&amp;"国有建设用地使用权价格："&amp;O38&amp;"万元"</f>
        <v>出让国有建设用地使用权价格：480004万元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大写金额：人民币肆拾捌亿零肆万元整</v>
      </c>
      <c r="L26" s="1252"/>
      <c r="M26" s="1252"/>
      <c r="N26" s="1252"/>
      <c r="O26" s="1251"/>
      <c r="P26" s="2028"/>
      <c r="Q26" s="2028"/>
      <c r="R26" s="2028"/>
      <c r="S26" s="2028"/>
      <c r="T26" s="2028"/>
      <c r="U26" s="2028"/>
      <c r="V26" s="2028"/>
      <c r="W26" s="292"/>
      <c r="X26" s="292"/>
      <c r="Y26" s="292"/>
      <c r="Z26" s="292"/>
    </row>
    <row r="27" spans="1:26" ht="18">
      <c r="A27" s="293">
        <f ca="1">ROUND(G19/'数据-汇总表'!F27*10000,0)</f>
        <v>19843</v>
      </c>
      <c r="B27" s="294"/>
      <c r="C27" s="294"/>
      <c r="D27" s="295"/>
      <c r="E27" s="311"/>
      <c r="F27" s="311"/>
      <c r="G27" s="311"/>
      <c r="H27" s="311"/>
      <c r="I27" s="311"/>
      <c r="J27" s="2028"/>
      <c r="K27" s="1258" t="str">
        <f ca="1">"单位面积地价："&amp;M38&amp;"元/平方米"</f>
        <v>单位面积地价：17879元/平方米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楼面地价：11328元/平方米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05" t="s">
        <v>336</v>
      </c>
      <c r="B30" s="309"/>
      <c r="C30" s="309"/>
      <c r="D30" s="310"/>
      <c r="E30" s="3106" t="s">
        <v>2964</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抵押担保权已注销时的抵押价格：——万元</v>
      </c>
      <c r="L31" s="2443"/>
      <c r="M31" s="2443"/>
      <c r="N31" s="2443"/>
      <c r="O31" s="2444"/>
      <c r="P31" s="2028"/>
      <c r="V31" s="2028"/>
    </row>
    <row r="32" spans="1:26" ht="18.75" thickBot="1">
      <c r="A32" s="268" t="s">
        <v>337</v>
      </c>
      <c r="B32" s="1381" t="s">
        <v>1689</v>
      </c>
      <c r="C32" s="1382">
        <f ca="1">G19-C24</f>
        <v>480004</v>
      </c>
      <c r="D32" s="1383" t="s">
        <v>1690</v>
      </c>
      <c r="E32" s="311"/>
      <c r="F32" s="311"/>
      <c r="G32" s="311"/>
      <c r="H32" s="311"/>
      <c r="I32" s="311"/>
      <c r="J32" s="2028"/>
      <c r="K32" s="2442" t="e">
        <f>IF(K31="——","——","大写金额：人民币"&amp;NUMBERSTRING(INT(O40*10000),2)&amp;"元整")</f>
        <v>#VALUE!</v>
      </c>
      <c r="L32" s="2445"/>
      <c r="M32" s="2445"/>
      <c r="N32" s="2445"/>
      <c r="O32" s="2446"/>
      <c r="P32" s="2028"/>
      <c r="V32" s="2028"/>
    </row>
    <row r="33" spans="1:26" ht="18.75" thickBot="1">
      <c r="A33" s="298" t="s">
        <v>340</v>
      </c>
      <c r="B33" s="1384" t="s">
        <v>1691</v>
      </c>
      <c r="C33" s="264">
        <f ca="1">ROUND(C32*10000/'数据-汇总表'!E3,0)</f>
        <v>11328</v>
      </c>
      <c r="D33" s="1385" t="s">
        <v>1692</v>
      </c>
      <c r="E33" s="3302"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17879</v>
      </c>
      <c r="D34" s="1387" t="s">
        <v>1692</v>
      </c>
      <c r="E34" s="3343"/>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1192</v>
      </c>
      <c r="D35" s="1390" t="s">
        <v>1694</v>
      </c>
      <c r="E35" s="3344"/>
      <c r="F35" s="301" t="s">
        <v>342</v>
      </c>
      <c r="G35" s="982"/>
      <c r="H35" s="981" t="s">
        <v>343</v>
      </c>
      <c r="I35" s="311"/>
      <c r="J35" s="2028"/>
      <c r="K35" s="3317" t="s">
        <v>350</v>
      </c>
      <c r="L35" s="3317" t="s">
        <v>351</v>
      </c>
      <c r="M35" s="1264" t="s">
        <v>352</v>
      </c>
      <c r="N35" s="3317" t="s">
        <v>353</v>
      </c>
      <c r="O35" s="3317" t="s">
        <v>354</v>
      </c>
      <c r="P35" s="2028"/>
      <c r="V35" s="2028"/>
    </row>
    <row r="36" spans="1:26" ht="16.5" customHeight="1">
      <c r="A36" s="303" t="s">
        <v>344</v>
      </c>
      <c r="B36" s="304" t="s">
        <v>333</v>
      </c>
      <c r="C36" s="305" t="s">
        <v>345</v>
      </c>
      <c r="D36" s="305" t="s">
        <v>346</v>
      </c>
      <c r="E36" s="306" t="s">
        <v>347</v>
      </c>
      <c r="F36" s="311"/>
      <c r="G36" s="311"/>
      <c r="H36" s="311"/>
      <c r="I36" s="311"/>
      <c r="J36" s="2030"/>
      <c r="K36" s="3318"/>
      <c r="L36" s="3318"/>
      <c r="M36" s="1266" t="s">
        <v>355</v>
      </c>
      <c r="N36" s="3318"/>
      <c r="O36" s="3318"/>
      <c r="P36" s="2028"/>
      <c r="V36" s="2028"/>
    </row>
    <row r="37" spans="1:26" ht="16.5" customHeight="1" thickBot="1">
      <c r="A37" s="1260" t="s">
        <v>348</v>
      </c>
      <c r="B37" s="307"/>
      <c r="C37" s="294"/>
      <c r="D37" s="294"/>
      <c r="E37" s="295"/>
      <c r="F37" s="311"/>
      <c r="G37" s="311"/>
      <c r="H37" s="311"/>
      <c r="I37" s="311"/>
      <c r="J37" s="2030"/>
      <c r="K37" s="3319"/>
      <c r="L37" s="3319"/>
      <c r="M37" s="1267"/>
      <c r="N37" s="3319"/>
      <c r="O37" s="3319"/>
      <c r="P37" s="2028"/>
      <c r="V37" s="2028"/>
    </row>
    <row r="38" spans="1:26" ht="16.5" customHeight="1" thickBot="1">
      <c r="A38" s="1260" t="s">
        <v>349</v>
      </c>
      <c r="B38" s="307"/>
      <c r="C38" s="294"/>
      <c r="D38" s="294"/>
      <c r="E38" s="295"/>
      <c r="F38" s="311"/>
      <c r="G38" s="311"/>
      <c r="H38" s="311"/>
      <c r="I38" s="311"/>
      <c r="J38" s="2030"/>
      <c r="K38" s="1268">
        <f>'数据-汇总表'!D3</f>
        <v>268474.83</v>
      </c>
      <c r="L38" s="1269">
        <f>'数据-汇总表'!E3</f>
        <v>423739</v>
      </c>
      <c r="M38" s="1269">
        <f ca="1">C34</f>
        <v>17879</v>
      </c>
      <c r="N38" s="1269">
        <f ca="1">C33</f>
        <v>11328</v>
      </c>
      <c r="O38" s="1270">
        <f ca="1">C32</f>
        <v>480004</v>
      </c>
      <c r="P38" s="2028"/>
      <c r="V38" s="2028"/>
    </row>
    <row r="39" spans="1:26" ht="16.5" customHeight="1" thickBot="1">
      <c r="A39" s="1265"/>
      <c r="B39" s="308"/>
      <c r="C39" s="309"/>
      <c r="D39" s="309"/>
      <c r="E39" s="310"/>
      <c r="F39" s="311"/>
      <c r="G39" s="311"/>
      <c r="H39" s="311"/>
      <c r="I39" s="311"/>
      <c r="J39" s="2030"/>
      <c r="K39" s="3362" t="str">
        <f>MID(A44,3,LEN(A44)-2)</f>
        <v/>
      </c>
      <c r="L39" s="3363"/>
      <c r="M39" s="3363"/>
      <c r="N39" s="3364"/>
      <c r="O39" s="1392" t="str">
        <f>C44</f>
        <v>——</v>
      </c>
      <c r="P39" s="2028"/>
      <c r="V39" s="2028"/>
    </row>
    <row r="40" spans="1:26" ht="19.5" thickBot="1">
      <c r="A40" s="104" t="s">
        <v>873</v>
      </c>
      <c r="B40" s="311"/>
      <c r="C40" s="311"/>
      <c r="D40" s="311"/>
      <c r="E40" s="311"/>
      <c r="F40" s="311"/>
      <c r="G40" s="311"/>
      <c r="H40" s="311"/>
      <c r="I40" s="311"/>
      <c r="J40" s="2030"/>
      <c r="K40" s="3362" t="str">
        <f t="shared" ref="K40:K41" si="0">MID(A45,3,LEN(A45)-2)</f>
        <v/>
      </c>
      <c r="L40" s="3363"/>
      <c r="M40" s="3363"/>
      <c r="N40" s="3364"/>
      <c r="O40" s="1392" t="str">
        <f>C45</f>
        <v>——</v>
      </c>
      <c r="P40" s="2028"/>
      <c r="V40" s="2028"/>
    </row>
    <row r="41" spans="1:26" ht="16.5" thickBot="1">
      <c r="A41" s="312" t="s">
        <v>356</v>
      </c>
      <c r="B41" s="313"/>
      <c r="C41" s="314" t="s">
        <v>357</v>
      </c>
      <c r="D41" s="315" t="s">
        <v>358</v>
      </c>
      <c r="E41" s="315" t="s">
        <v>359</v>
      </c>
      <c r="F41" s="316" t="s">
        <v>360</v>
      </c>
      <c r="G41" s="311"/>
      <c r="H41" s="311"/>
      <c r="I41" s="311"/>
      <c r="J41" s="2030"/>
      <c r="K41" s="3362" t="str">
        <f t="shared" si="0"/>
        <v/>
      </c>
      <c r="L41" s="3363"/>
      <c r="M41" s="3363"/>
      <c r="N41" s="3364"/>
      <c r="O41" s="1392" t="str">
        <f>C46</f>
        <v>——</v>
      </c>
      <c r="P41" s="2028"/>
      <c r="V41" s="2028"/>
    </row>
    <row r="42" spans="1:26" ht="29.25">
      <c r="A42" s="3304" t="s">
        <v>2068</v>
      </c>
      <c r="B42" s="3305"/>
      <c r="C42" s="264">
        <f ca="1">C32</f>
        <v>480004</v>
      </c>
      <c r="D42" s="317">
        <f ca="1">C33</f>
        <v>11328</v>
      </c>
      <c r="E42" s="317">
        <f ca="1">C34</f>
        <v>17879</v>
      </c>
      <c r="F42" s="318">
        <f ca="1">C35</f>
        <v>1192</v>
      </c>
      <c r="G42" s="311"/>
      <c r="H42" s="311"/>
      <c r="I42" s="319"/>
      <c r="J42" s="2030"/>
      <c r="K42" s="1271" t="s">
        <v>361</v>
      </c>
      <c r="L42" s="2047" t="s">
        <v>362</v>
      </c>
      <c r="M42" s="1272" t="s">
        <v>363</v>
      </c>
      <c r="N42" s="2048" t="s">
        <v>364</v>
      </c>
      <c r="O42" s="2049" t="s">
        <v>365</v>
      </c>
      <c r="P42" s="2028"/>
      <c r="V42" s="2028"/>
    </row>
    <row r="43" spans="1:26" ht="30">
      <c r="A43" s="3315" t="s">
        <v>2731</v>
      </c>
      <c r="B43" s="3316"/>
      <c r="C43" s="264">
        <f>IF(H33="正常操作",G33+G34+G35,G34+G35)</f>
        <v>0</v>
      </c>
      <c r="D43" s="317" t="s">
        <v>43</v>
      </c>
      <c r="E43" s="317" t="s">
        <v>44</v>
      </c>
      <c r="F43" s="318" t="s">
        <v>44</v>
      </c>
      <c r="G43" s="2844" t="s">
        <v>952</v>
      </c>
      <c r="H43" s="311"/>
      <c r="I43" s="319"/>
      <c r="J43" s="2030"/>
      <c r="K43" s="1273" t="str">
        <f>C4</f>
        <v>剩余法-待开发</v>
      </c>
      <c r="L43" s="1274">
        <f ca="1">IF(L42="估价结果/万元",C19,C20)</f>
        <v>615719</v>
      </c>
      <c r="M43" s="1275">
        <f>C18</f>
        <v>0.45</v>
      </c>
      <c r="N43" s="1276">
        <f ca="1">IF(N42="测算结果/万元",G19,G20)</f>
        <v>480004</v>
      </c>
      <c r="O43" s="1277">
        <f ca="1">IF(O42="最终结果/万元",C32,C33)</f>
        <v>480004</v>
      </c>
      <c r="P43" s="2028"/>
      <c r="V43" s="2028"/>
    </row>
    <row r="44" spans="1:26" ht="30.75" thickBot="1">
      <c r="A44" s="3304" t="str">
        <f>IF(OR(项目基本情况!E8="抵押价格",项目基本情况!E8="已注销及未注销"),"3.抵押价格","——")</f>
        <v>——</v>
      </c>
      <c r="B44" s="3305"/>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比较法-住宅、综合</v>
      </c>
      <c r="L44" s="1279">
        <f ca="1">IF(L42="估价结果/万元",D19,D20)</f>
        <v>368964</v>
      </c>
      <c r="M44" s="1280">
        <f>D18</f>
        <v>0.55000000000000004</v>
      </c>
      <c r="N44" s="1281"/>
      <c r="O44" s="1282"/>
      <c r="P44" s="2028"/>
      <c r="V44" s="2028"/>
    </row>
    <row r="45" spans="1:26" ht="15">
      <c r="A45" s="3310" t="str">
        <f>IF(项目基本情况!E8="已注销及未注销","4.抵押担保权已注销时的抵押价格",IF(项目基本情况!E8="已注销","3.抵押担保权已注销时的抵押价格","——"))</f>
        <v>——</v>
      </c>
      <c r="B45" s="3311"/>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1" t="s">
        <v>374</v>
      </c>
      <c r="B63" s="3352"/>
      <c r="C63" s="3353"/>
      <c r="D63" s="341">
        <f ca="1">ROUND(C42*F63,0)</f>
        <v>288002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12" t="s">
        <v>378</v>
      </c>
      <c r="B64" s="3313"/>
      <c r="C64" s="3313"/>
      <c r="D64" s="3313"/>
      <c r="E64" s="3313"/>
      <c r="F64" s="3313"/>
      <c r="G64" s="3314"/>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8" t="s">
        <v>386</v>
      </c>
      <c r="B66" s="3309"/>
      <c r="C66" s="3309"/>
      <c r="D66" s="261">
        <f ca="1">IF(H66="情况1",0,IF(H66="情况2",D70,IF(H66="情况3",D71,IF(H66="情况4",D72))))</f>
        <v>15360</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66" t="s">
        <v>385</v>
      </c>
      <c r="M66" s="3367"/>
      <c r="N66" s="2437"/>
      <c r="O66" s="2438"/>
      <c r="P66" s="2439"/>
      <c r="Q66" s="2028"/>
      <c r="R66" s="2028"/>
      <c r="S66" s="2028"/>
      <c r="T66" s="2028"/>
      <c r="U66" s="2028"/>
      <c r="V66" s="2028"/>
    </row>
    <row r="67" spans="1:22" ht="25.5" customHeight="1">
      <c r="A67" s="352" t="s">
        <v>390</v>
      </c>
      <c r="B67" s="3299" t="s">
        <v>391</v>
      </c>
      <c r="C67" s="3299"/>
      <c r="D67" s="353">
        <v>0</v>
      </c>
      <c r="E67" s="41" t="s">
        <v>392</v>
      </c>
      <c r="F67" s="62" t="s">
        <v>21</v>
      </c>
      <c r="G67" s="3354"/>
      <c r="H67" s="311"/>
      <c r="I67" s="1292"/>
      <c r="J67" s="2035"/>
      <c r="K67" s="1976">
        <v>2</v>
      </c>
      <c r="L67" s="3365" t="s">
        <v>389</v>
      </c>
      <c r="M67" s="3365"/>
      <c r="N67" s="1325">
        <f>'数据-取费表'!B2</f>
        <v>43557</v>
      </c>
      <c r="O67" s="1325"/>
      <c r="P67" s="1325"/>
      <c r="Q67" s="2028"/>
      <c r="R67" s="2028"/>
      <c r="S67" s="2028"/>
      <c r="T67" s="2028"/>
      <c r="U67" s="2028"/>
      <c r="V67" s="2028"/>
    </row>
    <row r="68" spans="1:22" ht="25.5" customHeight="1">
      <c r="A68" s="354"/>
      <c r="B68" s="3299" t="s">
        <v>394</v>
      </c>
      <c r="C68" s="3299"/>
      <c r="D68" s="355"/>
      <c r="E68" s="77"/>
      <c r="F68" s="356"/>
      <c r="G68" s="3355"/>
      <c r="H68" s="311"/>
      <c r="I68" s="1292"/>
      <c r="J68" s="2035"/>
      <c r="K68" s="1976">
        <v>3</v>
      </c>
      <c r="L68" s="3365" t="s">
        <v>393</v>
      </c>
      <c r="M68" s="3365"/>
      <c r="N68" s="1293">
        <f ca="1">C42</f>
        <v>480004</v>
      </c>
      <c r="O68" s="1293"/>
      <c r="P68" s="1293"/>
      <c r="Q68" s="2028"/>
      <c r="R68" s="2028"/>
      <c r="S68" s="2028"/>
      <c r="T68" s="2028"/>
      <c r="U68" s="2028"/>
      <c r="V68" s="2028"/>
    </row>
    <row r="69" spans="1:22" ht="12" customHeight="1">
      <c r="A69" s="357"/>
      <c r="B69" s="3299" t="s">
        <v>395</v>
      </c>
      <c r="C69" s="3299"/>
      <c r="D69" s="358"/>
      <c r="E69" s="73"/>
      <c r="F69" s="356"/>
      <c r="G69" s="3356"/>
      <c r="H69" s="311"/>
      <c r="I69" s="1292"/>
      <c r="J69" s="2035"/>
      <c r="K69" s="1294">
        <v>4</v>
      </c>
      <c r="L69" s="3370" t="s">
        <v>2884</v>
      </c>
      <c r="M69" s="3371"/>
      <c r="N69" s="1295" t="str">
        <f>C44</f>
        <v>——</v>
      </c>
      <c r="O69" s="1295"/>
      <c r="P69" s="1295"/>
      <c r="Q69" s="2028"/>
      <c r="R69" s="2028"/>
      <c r="S69" s="2028"/>
      <c r="T69" s="2028"/>
      <c r="U69" s="2028"/>
      <c r="V69" s="2028"/>
    </row>
    <row r="70" spans="1:22" ht="24" customHeight="1">
      <c r="A70" s="359" t="s">
        <v>396</v>
      </c>
      <c r="B70" s="3299" t="s">
        <v>397</v>
      </c>
      <c r="C70" s="3299"/>
      <c r="D70" s="358">
        <f ca="1">ROUND(D63*'数据-取费表'!B41/(1+'数据-取费表'!C42),0)</f>
        <v>15360</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300" t="s">
        <v>405</v>
      </c>
      <c r="C71" s="3301"/>
      <c r="D71" s="358">
        <f ca="1">ROUND(D63*'数据-取费表'!B41/(1+'数据-取费表'!C42),0)</f>
        <v>15360</v>
      </c>
      <c r="E71" s="17" t="s">
        <v>398</v>
      </c>
      <c r="F71" s="360">
        <f>'数据-取费表'!B41</f>
        <v>5.6000000000000001E-2</v>
      </c>
      <c r="G71" s="361"/>
      <c r="H71" s="311"/>
      <c r="I71" s="1292"/>
      <c r="J71" s="2035"/>
      <c r="K71" s="3036" t="s">
        <v>399</v>
      </c>
      <c r="L71" s="3372" t="s">
        <v>400</v>
      </c>
      <c r="M71" s="3372"/>
      <c r="N71" s="3036" t="s">
        <v>401</v>
      </c>
      <c r="O71" s="3036" t="s">
        <v>402</v>
      </c>
      <c r="P71" s="3036" t="s">
        <v>403</v>
      </c>
      <c r="Q71" s="2028"/>
      <c r="R71" s="2028"/>
      <c r="S71" s="2028"/>
      <c r="T71" s="2028"/>
      <c r="U71" s="2028"/>
      <c r="V71" s="2028"/>
    </row>
    <row r="72" spans="1:22" ht="12" customHeight="1">
      <c r="A72" s="359" t="s">
        <v>407</v>
      </c>
      <c r="B72" s="3300" t="s">
        <v>408</v>
      </c>
      <c r="C72" s="3301"/>
      <c r="D72" s="358">
        <f ca="1">C86</f>
        <v>15248</v>
      </c>
      <c r="E72" s="73" t="s">
        <v>409</v>
      </c>
      <c r="F72" s="360">
        <f>'数据-取费表'!B41</f>
        <v>5.6000000000000001E-2</v>
      </c>
      <c r="G72" s="361"/>
      <c r="H72" s="1298"/>
      <c r="I72" s="1292"/>
      <c r="J72" s="2035"/>
      <c r="K72" s="1976">
        <v>1</v>
      </c>
      <c r="L72" s="3347" t="s">
        <v>406</v>
      </c>
      <c r="M72" s="3347"/>
      <c r="N72" s="1296">
        <f ca="1">D66</f>
        <v>15360</v>
      </c>
      <c r="O72" s="1859" t="str">
        <f>E66</f>
        <v>销售额×税（费）率</v>
      </c>
      <c r="P72" s="1297">
        <f>F66</f>
        <v>5.6000000000000001E-2</v>
      </c>
      <c r="Q72" s="2028"/>
      <c r="R72" s="2028"/>
      <c r="S72" s="2028"/>
      <c r="T72" s="2028"/>
      <c r="U72" s="2028"/>
      <c r="V72" s="2028"/>
    </row>
    <row r="73" spans="1:22" ht="24" customHeight="1">
      <c r="A73" s="3341" t="s">
        <v>411</v>
      </c>
      <c r="B73" s="3309"/>
      <c r="C73" s="3309"/>
      <c r="D73" s="362">
        <f>IF(H73="个人住宅",0,ROUND(D63*I73,0))</f>
        <v>0</v>
      </c>
      <c r="E73" s="17" t="s">
        <v>412</v>
      </c>
      <c r="F73" s="360" t="str">
        <f>IF(H73="正常",I73,"免征")</f>
        <v>免征</v>
      </c>
      <c r="G73" s="361"/>
      <c r="H73" s="191" t="s">
        <v>2456</v>
      </c>
      <c r="I73" s="360">
        <f>'数据-取费表'!B49</f>
        <v>5.0000000000000001E-4</v>
      </c>
      <c r="J73" s="2035"/>
      <c r="K73" s="1976">
        <v>2</v>
      </c>
      <c r="L73" s="3347" t="s">
        <v>410</v>
      </c>
      <c r="M73" s="3347"/>
      <c r="N73" s="1296">
        <f t="shared" ref="N73:P74" si="1">D73</f>
        <v>0</v>
      </c>
      <c r="O73" s="1859" t="str">
        <f t="shared" si="1"/>
        <v>销售额×税（费）率</v>
      </c>
      <c r="P73" s="1297" t="str">
        <f t="shared" si="1"/>
        <v>免征</v>
      </c>
      <c r="Q73" s="2028"/>
      <c r="R73" s="2028"/>
      <c r="S73" s="2028"/>
      <c r="T73" s="2028"/>
      <c r="U73" s="2028"/>
      <c r="V73" s="2028"/>
    </row>
    <row r="74" spans="1:22" ht="24.75">
      <c r="A74" s="3341" t="s">
        <v>415</v>
      </c>
      <c r="B74" s="3309"/>
      <c r="C74" s="3309"/>
      <c r="D74" s="362">
        <f ca="1">IF(H74="个人住宅",D75,D76)</f>
        <v>162349</v>
      </c>
      <c r="E74" s="17" t="s">
        <v>416</v>
      </c>
      <c r="F74" s="360" t="str">
        <f>IF(H74="正常",F76,"免征")</f>
        <v>——</v>
      </c>
      <c r="G74" s="983" t="s">
        <v>417</v>
      </c>
      <c r="H74" s="363" t="s">
        <v>413</v>
      </c>
      <c r="I74" s="42"/>
      <c r="J74" s="2035"/>
      <c r="K74" s="1976">
        <v>3</v>
      </c>
      <c r="L74" s="3347" t="s">
        <v>414</v>
      </c>
      <c r="M74" s="3347"/>
      <c r="N74" s="1296">
        <f t="shared" ca="1" si="1"/>
        <v>162349</v>
      </c>
      <c r="O74" s="1859" t="str">
        <f t="shared" si="1"/>
        <v>增值额×税（费）率</v>
      </c>
      <c r="P74" s="1299" t="str">
        <f t="shared" si="1"/>
        <v>——</v>
      </c>
      <c r="Q74" s="2028"/>
      <c r="R74" s="2028"/>
      <c r="S74" s="2028"/>
      <c r="T74" s="2028"/>
      <c r="U74" s="2028"/>
      <c r="V74" s="2028"/>
    </row>
    <row r="75" spans="1:22" ht="24">
      <c r="A75" s="359" t="s">
        <v>418</v>
      </c>
      <c r="B75" s="3297" t="s">
        <v>419</v>
      </c>
      <c r="C75" s="3327"/>
      <c r="D75" s="364">
        <v>0</v>
      </c>
      <c r="E75" s="41" t="s">
        <v>420</v>
      </c>
      <c r="F75" s="365"/>
      <c r="G75" s="361"/>
      <c r="H75" s="42"/>
      <c r="I75" s="42"/>
      <c r="J75" s="2035"/>
      <c r="K75" s="3029">
        <f>IF(H77="非个人房产","",4)</f>
        <v>4</v>
      </c>
      <c r="L75" s="3347" t="str">
        <f>IF(H77="非个人房产","——","个人所得税")</f>
        <v>个人所得税</v>
      </c>
      <c r="M75" s="3347"/>
      <c r="N75" s="1300">
        <f ca="1">D77</f>
        <v>2880</v>
      </c>
      <c r="O75" s="1872" t="str">
        <f>E77</f>
        <v>销售额×税（费）率</v>
      </c>
      <c r="P75" s="1301">
        <f>F77</f>
        <v>0.01</v>
      </c>
      <c r="Q75" s="2028"/>
      <c r="R75" s="2028"/>
      <c r="S75" s="2028"/>
      <c r="T75" s="2028"/>
      <c r="U75" s="2028"/>
      <c r="V75" s="2028"/>
    </row>
    <row r="76" spans="1:22" ht="24.75">
      <c r="A76" s="359" t="s">
        <v>396</v>
      </c>
      <c r="B76" s="3297" t="s">
        <v>422</v>
      </c>
      <c r="C76" s="3298"/>
      <c r="D76" s="362">
        <f ca="1">IF(H76="转让取得",C99,C115)</f>
        <v>162349</v>
      </c>
      <c r="E76" s="17" t="s">
        <v>423</v>
      </c>
      <c r="F76" s="53" t="s">
        <v>21</v>
      </c>
      <c r="G76" s="361"/>
      <c r="H76" s="363" t="s">
        <v>424</v>
      </c>
      <c r="I76" s="42"/>
      <c r="J76" s="2035"/>
      <c r="K76" s="3029" t="str">
        <f>IF(项目基本情况!K6="上海银行",IF(K75="",4,K75+1),"")</f>
        <v/>
      </c>
      <c r="L76" s="3358" t="str">
        <f>IF(项目基本情况!K6="上海银行","其他处置费用","")</f>
        <v/>
      </c>
      <c r="M76" s="3359"/>
      <c r="N76" s="1296" t="str">
        <f>IF(项目基本情况!K6="上海银行",N89,"")</f>
        <v/>
      </c>
      <c r="O76" s="3360" t="str">
        <f>IF(项目基本情况!K6="上海银行","包含处置中涉及的律师、诉讼、拍卖、评估等费用","")</f>
        <v/>
      </c>
      <c r="P76" s="3361"/>
      <c r="Q76" s="2028"/>
      <c r="R76" s="2028"/>
      <c r="S76" s="2028"/>
      <c r="T76" s="2028"/>
      <c r="U76" s="2028"/>
      <c r="V76" s="2028"/>
    </row>
    <row r="77" spans="1:22" ht="26.25" thickBot="1">
      <c r="A77" s="3349" t="s">
        <v>426</v>
      </c>
      <c r="B77" s="3350"/>
      <c r="C77" s="3350"/>
      <c r="D77" s="366">
        <f ca="1">IF(H77="非个人房产","——",IF(H77="个人住宅",0,ROUND(D63*I77,0)))</f>
        <v>2880</v>
      </c>
      <c r="E77" s="367" t="str">
        <f>IF(H77="非个人房产","——","销售额×税（费）率")</f>
        <v>销售额×税（费）率</v>
      </c>
      <c r="F77" s="368">
        <f>IF(H77="非个人房产","——",IF(H77="个人住宅","免征",I77))</f>
        <v>0.01</v>
      </c>
      <c r="G77" s="984" t="s">
        <v>417</v>
      </c>
      <c r="H77" s="363" t="s">
        <v>2885</v>
      </c>
      <c r="I77" s="369">
        <v>0.01</v>
      </c>
      <c r="J77" s="2035"/>
      <c r="K77" s="3348">
        <f>IF(AND(K75="",K76=""),4,IF(项目基本情况!K6="上海银行",K76+1,K75+1))</f>
        <v>5</v>
      </c>
      <c r="L77" s="3347" t="s">
        <v>2886</v>
      </c>
      <c r="M77" s="3035" t="s">
        <v>421</v>
      </c>
      <c r="N77" s="1302"/>
      <c r="O77" s="1303">
        <f ca="1">SUMIF(N72:N76,"&lt;9e307")</f>
        <v>180589</v>
      </c>
      <c r="P77" s="1304"/>
      <c r="Q77" s="3033" t="e">
        <f ca="1">O77/N69</f>
        <v>#VALUE!</v>
      </c>
      <c r="R77" s="2028"/>
      <c r="S77" s="2028"/>
      <c r="T77" s="2028"/>
      <c r="U77" s="2028"/>
      <c r="V77" s="2028"/>
    </row>
    <row r="78" spans="1:22" ht="12" customHeight="1">
      <c r="A78" s="1305"/>
      <c r="B78" s="311"/>
      <c r="C78" s="311"/>
      <c r="D78" s="311"/>
      <c r="E78" s="42"/>
      <c r="F78" s="42"/>
      <c r="G78" s="42"/>
      <c r="H78" s="1003"/>
      <c r="I78" s="311"/>
      <c r="J78" s="2035"/>
      <c r="K78" s="3348"/>
      <c r="L78" s="3347"/>
      <c r="M78" s="3035" t="s">
        <v>425</v>
      </c>
      <c r="N78" s="1302"/>
      <c r="O78" s="1303" t="str">
        <f ca="1">NUMBERSTRING(INT(O77*10000),2)&amp;"元整"</f>
        <v>壹拾捌亿零伍佰捌拾玖万元整</v>
      </c>
      <c r="P78" s="1304"/>
      <c r="Q78" s="2028"/>
      <c r="R78" s="2028"/>
      <c r="S78" s="2028"/>
      <c r="T78" s="2028"/>
      <c r="U78" s="2028"/>
      <c r="V78" s="2028"/>
    </row>
    <row r="79" spans="1:22" ht="13.5" thickBot="1">
      <c r="A79" s="3342" t="s">
        <v>427</v>
      </c>
      <c r="B79" s="3342"/>
      <c r="C79" s="3342"/>
      <c r="D79" s="3342"/>
      <c r="E79" s="3342"/>
      <c r="F79" s="42"/>
      <c r="G79" s="42"/>
      <c r="H79" s="1003"/>
      <c r="I79" s="311"/>
      <c r="J79" s="2035"/>
      <c r="K79" s="3368">
        <f>K77+1</f>
        <v>6</v>
      </c>
      <c r="L79" s="3347" t="s">
        <v>2887</v>
      </c>
      <c r="M79" s="3035" t="s">
        <v>421</v>
      </c>
      <c r="N79" s="1302"/>
      <c r="O79" s="1303" t="e">
        <f ca="1">N69-O77</f>
        <v>#VALUE!</v>
      </c>
      <c r="P79" s="1304"/>
      <c r="Q79" s="2028"/>
      <c r="R79" s="2028"/>
      <c r="S79" s="2028"/>
      <c r="T79" s="2028"/>
      <c r="U79" s="2028"/>
      <c r="V79" s="2028"/>
    </row>
    <row r="80" spans="1:22" ht="12.75">
      <c r="A80" s="3337" t="s">
        <v>428</v>
      </c>
      <c r="B80" s="3338"/>
      <c r="C80" s="994"/>
      <c r="D80" s="994" t="s">
        <v>429</v>
      </c>
      <c r="E80" s="370" t="s">
        <v>430</v>
      </c>
      <c r="F80" s="42"/>
      <c r="G80" s="42"/>
      <c r="H80" s="1003"/>
      <c r="I80" s="311"/>
      <c r="J80" s="2028"/>
      <c r="K80" s="3369"/>
      <c r="L80" s="3347"/>
      <c r="M80" s="3035"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274288</v>
      </c>
      <c r="D81" s="373"/>
      <c r="E81" s="374"/>
      <c r="F81" s="42"/>
      <c r="G81" s="42"/>
      <c r="H81" s="1003"/>
      <c r="I81" s="311"/>
      <c r="J81" s="2028"/>
      <c r="K81" s="3029">
        <f>K79+1</f>
        <v>7</v>
      </c>
      <c r="L81" s="3345" t="s">
        <v>2888</v>
      </c>
      <c r="M81" s="3346"/>
      <c r="N81" s="1306"/>
      <c r="O81" s="1307" t="e">
        <f ca="1">ROUND(O79*10000/'数据-汇总表'!E3,0)</f>
        <v>#VALUE!</v>
      </c>
      <c r="P81" s="1308"/>
      <c r="Q81" s="2028"/>
      <c r="R81" s="2028"/>
      <c r="S81" s="2028"/>
      <c r="T81" s="2028"/>
      <c r="U81" s="2028"/>
      <c r="V81" s="2028"/>
    </row>
    <row r="82" spans="1:26" ht="13.5" thickTop="1">
      <c r="A82" s="375" t="s">
        <v>1825</v>
      </c>
      <c r="B82" s="376" t="s">
        <v>432</v>
      </c>
      <c r="C82" s="377">
        <f ca="1">D63</f>
        <v>288002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57" t="s">
        <v>2875</v>
      </c>
      <c r="L83" s="3041" t="s">
        <v>2876</v>
      </c>
      <c r="M83" s="3031" t="e">
        <f>IF(N69&gt;10000,N69*0.5%,IF(AND(N69&gt;1000,N69&lt;=10000),N69*1%,IF(AND(N69&gt;100,N69&lt;=1000),N69*3%,IF(AND(N69&gt;10,N69&lt;=100),N69*5%,N69*8%))))</f>
        <v>#VALUE!</v>
      </c>
      <c r="N83" s="53" t="e">
        <f>ROUND(M83,1)</f>
        <v>#VALUE!</v>
      </c>
      <c r="O83" s="3034"/>
      <c r="P83" s="2028"/>
      <c r="Q83" s="2028"/>
      <c r="R83" s="2028"/>
      <c r="S83" s="2028"/>
      <c r="T83" s="2028"/>
      <c r="U83" s="2028"/>
      <c r="V83" s="2028"/>
    </row>
    <row r="84" spans="1:26" ht="12.75">
      <c r="A84" s="381" t="s">
        <v>1827</v>
      </c>
      <c r="B84" s="382" t="s">
        <v>434</v>
      </c>
      <c r="C84" s="383">
        <v>2000</v>
      </c>
      <c r="D84" s="384" t="s">
        <v>19</v>
      </c>
      <c r="E84" s="3076" t="s">
        <v>2936</v>
      </c>
      <c r="F84" s="42"/>
      <c r="G84" s="42"/>
      <c r="H84" s="1003"/>
      <c r="I84" s="311"/>
      <c r="J84" s="2028"/>
      <c r="K84" s="3357"/>
      <c r="L84" s="3041" t="s">
        <v>2877</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2878</v>
      </c>
      <c r="P84" s="2028"/>
      <c r="Q84" s="2028"/>
      <c r="R84" s="2028"/>
      <c r="S84" s="2028"/>
      <c r="T84" s="2028"/>
      <c r="U84" s="2028"/>
      <c r="V84" s="2028"/>
    </row>
    <row r="85" spans="1:26" ht="12.75">
      <c r="A85" s="381" t="s">
        <v>1828</v>
      </c>
      <c r="B85" s="382" t="s">
        <v>435</v>
      </c>
      <c r="C85" s="385">
        <f ca="1">C81-C84</f>
        <v>272288</v>
      </c>
      <c r="D85" s="378" t="s">
        <v>19</v>
      </c>
      <c r="E85" s="379"/>
      <c r="F85" s="42"/>
      <c r="G85" s="42"/>
      <c r="H85" s="1003"/>
      <c r="I85" s="311"/>
      <c r="J85" s="2028"/>
      <c r="K85" s="3357"/>
      <c r="L85" s="3041" t="s">
        <v>2879</v>
      </c>
      <c r="M85" s="3031" t="e">
        <f>IF(N69&gt;1000,N69*0.1%,IF(AND(N69&gt;500,N69&lt;=1000),N69*0.5%,IF(AND(N69&gt;50,N69&lt;=500),N69*1%,IF(AND(N69&gt;1,N69&lt;=50),N69*1.5%))))</f>
        <v>#VALUE!</v>
      </c>
      <c r="N85" s="53" t="e">
        <f t="shared" si="2"/>
        <v>#VALUE!</v>
      </c>
      <c r="O85" s="2028" t="s">
        <v>2878</v>
      </c>
      <c r="P85" s="2028"/>
      <c r="Q85" s="2028"/>
      <c r="R85" s="2028"/>
      <c r="S85" s="2028"/>
      <c r="T85" s="2028"/>
      <c r="U85" s="2028"/>
      <c r="V85" s="2028"/>
    </row>
    <row r="86" spans="1:26" ht="13.5" thickBot="1">
      <c r="A86" s="386" t="s">
        <v>1829</v>
      </c>
      <c r="B86" s="387" t="s">
        <v>436</v>
      </c>
      <c r="C86" s="388">
        <f ca="1">IF(C85&lt;=0,0,ROUND(C85*D86,0))</f>
        <v>15248</v>
      </c>
      <c r="D86" s="389">
        <f>'数据-取费表'!B41</f>
        <v>5.6000000000000001E-2</v>
      </c>
      <c r="E86" s="390"/>
      <c r="F86" s="42"/>
      <c r="G86" s="42"/>
      <c r="H86" s="1003"/>
      <c r="I86" s="311"/>
      <c r="J86" s="2028"/>
      <c r="K86" s="3357"/>
      <c r="L86" s="3041" t="s">
        <v>2880</v>
      </c>
      <c r="M86" s="3031" t="e">
        <f>N69*0.5%</f>
        <v>#VALUE!</v>
      </c>
      <c r="N86" s="53" t="e">
        <f>IF(M86&gt;0.5,0.5,ROUND(M86,0))</f>
        <v>#VALUE!</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7"/>
      <c r="L87" s="3041" t="s">
        <v>2882</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8"/>
      <c r="R87" s="2028"/>
      <c r="S87" s="2028"/>
      <c r="T87" s="2028"/>
      <c r="U87" s="2028"/>
      <c r="V87" s="2028"/>
      <c r="W87" s="292"/>
      <c r="X87" s="292"/>
      <c r="Y87" s="292"/>
      <c r="Z87" s="292"/>
    </row>
    <row r="88" spans="1:26" s="1314" customFormat="1" ht="15" thickBot="1">
      <c r="A88" s="3339" t="s">
        <v>437</v>
      </c>
      <c r="B88" s="3340"/>
      <c r="C88" s="3340"/>
      <c r="D88" s="3340"/>
      <c r="E88" s="3340"/>
      <c r="F88" s="3340"/>
      <c r="G88" s="3340"/>
      <c r="H88" s="3340"/>
      <c r="I88" s="1315"/>
      <c r="J88" s="2036"/>
      <c r="K88" s="3357"/>
      <c r="L88" s="3041" t="s">
        <v>2883</v>
      </c>
      <c r="M88" s="3031" t="e">
        <f>IF(N69&gt;10000,N69*0.5%,IF(AND(N69&gt;5000,N69&lt;=10000),N69*1%,IF(AND(N69&gt;1000,N69&lt;=5000),N69*2%,IF(AND(N69&gt;200,N69&lt;=1000),N69*3%,N69*5%))))</f>
        <v>#VALUE!</v>
      </c>
      <c r="N88" s="53" t="e">
        <f>ROUND(M88,1)</f>
        <v>#VALUE!</v>
      </c>
      <c r="O88" s="3034"/>
      <c r="P88" s="11"/>
      <c r="Q88" s="2033"/>
      <c r="R88" s="2033"/>
      <c r="S88" s="2033"/>
      <c r="T88" s="2033"/>
      <c r="U88" s="2033"/>
      <c r="V88" s="2033"/>
      <c r="W88" s="2037"/>
      <c r="X88" s="2037"/>
      <c r="Y88" s="2037"/>
      <c r="Z88" s="2037"/>
    </row>
    <row r="89" spans="1:26" s="1314" customFormat="1" ht="14.25">
      <c r="A89" s="3337" t="s">
        <v>428</v>
      </c>
      <c r="B89" s="3338"/>
      <c r="C89" s="994"/>
      <c r="D89" s="994" t="s">
        <v>429</v>
      </c>
      <c r="E89" s="391" t="s">
        <v>438</v>
      </c>
      <c r="F89" s="392"/>
      <c r="G89" s="392"/>
      <c r="H89" s="393"/>
      <c r="I89" s="1316"/>
      <c r="J89" s="2038"/>
      <c r="K89" s="3357"/>
      <c r="L89" s="3041" t="s">
        <v>27</v>
      </c>
      <c r="M89" s="3032"/>
      <c r="N89" s="53" t="e">
        <f>ROUND(SUM(N83:N88),0)</f>
        <v>#VALUE!</v>
      </c>
      <c r="O89" s="3042"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274288</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4227</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300" t="s">
        <v>447</v>
      </c>
      <c r="F94" s="3299"/>
      <c r="G94" s="3299"/>
      <c r="H94" s="3336"/>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1646</v>
      </c>
      <c r="D96" s="406">
        <f>'数据-取费表'!B43</f>
        <v>6.000000000000001E-3</v>
      </c>
      <c r="E96" s="3328" t="s">
        <v>2429</v>
      </c>
      <c r="F96" s="3329"/>
      <c r="G96" s="3329"/>
      <c r="H96" s="3330"/>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270061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63.889519753962624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160557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9" t="s">
        <v>454</v>
      </c>
      <c r="B101" s="3340"/>
      <c r="C101" s="3340"/>
      <c r="D101" s="3340"/>
      <c r="E101" s="3340"/>
      <c r="F101" s="3340"/>
      <c r="G101" s="3340"/>
      <c r="H101" s="3340"/>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7" t="s">
        <v>428</v>
      </c>
      <c r="B102" s="3338"/>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274288</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2341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577</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31" t="s">
        <v>462</v>
      </c>
      <c r="F109" s="3329"/>
      <c r="G109" s="3329"/>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31" t="s">
        <v>464</v>
      </c>
      <c r="F110" s="3329"/>
      <c r="G110" s="3329"/>
      <c r="H110" s="3330"/>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1646</v>
      </c>
      <c r="D111" s="406">
        <f>'数据-取费表'!B43</f>
        <v>6.000000000000001E-3</v>
      </c>
      <c r="E111" s="3328" t="s">
        <v>2429</v>
      </c>
      <c r="F111" s="3329"/>
      <c r="G111" s="3329"/>
      <c r="H111" s="3330"/>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31" t="s">
        <v>2454</v>
      </c>
      <c r="F112" s="3329"/>
      <c r="G112" s="3329"/>
      <c r="H112" s="3330"/>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271947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116.16702263989748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162349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opLeftCell="D1" workbookViewId="0">
      <selection activeCell="H23" sqref="H23"/>
    </sheetView>
  </sheetViews>
  <sheetFormatPr defaultRowHeight="12"/>
  <cols>
    <col min="1" max="1" width="9" style="3193"/>
    <col min="2" max="2" width="36.5" style="3193" customWidth="1"/>
    <col min="3" max="3" width="6.25" style="3193" customWidth="1"/>
    <col min="4" max="6" width="13.875" style="3193" customWidth="1"/>
    <col min="7" max="7" width="9.75" style="3193" customWidth="1"/>
    <col min="8" max="8" width="7.25" style="3193" customWidth="1"/>
    <col min="9" max="9" width="7.875" style="3193" customWidth="1"/>
    <col min="10" max="10" width="9" style="3193" customWidth="1"/>
    <col min="11" max="14" width="10.625" style="3193" customWidth="1"/>
    <col min="15" max="15" width="6.25" style="3193" customWidth="1"/>
    <col min="16" max="16" width="54.75" style="3193" customWidth="1"/>
    <col min="17" max="17" width="7.875" style="3193" customWidth="1"/>
    <col min="18" max="259" width="9" style="3193"/>
    <col min="260" max="260" width="38" style="3193" customWidth="1"/>
    <col min="261" max="261" width="6.25" style="3193" customWidth="1"/>
    <col min="262" max="264" width="13.875" style="3193" customWidth="1"/>
    <col min="265" max="265" width="36.25" style="3193" customWidth="1"/>
    <col min="266" max="266" width="7.875" style="3193" customWidth="1"/>
    <col min="267" max="267" width="9" style="3193" customWidth="1"/>
    <col min="268" max="269" width="10.625" style="3193" customWidth="1"/>
    <col min="270" max="270" width="14.375" style="3193" customWidth="1"/>
    <col min="271" max="271" width="6.25" style="3193" customWidth="1"/>
    <col min="272" max="272" width="54.75" style="3193" customWidth="1"/>
    <col min="273" max="273" width="7.875" style="3193" customWidth="1"/>
    <col min="274" max="515" width="9" style="3193"/>
    <col min="516" max="516" width="38" style="3193" customWidth="1"/>
    <col min="517" max="517" width="6.25" style="3193" customWidth="1"/>
    <col min="518" max="520" width="13.875" style="3193" customWidth="1"/>
    <col min="521" max="521" width="36.25" style="3193" customWidth="1"/>
    <col min="522" max="522" width="7.875" style="3193" customWidth="1"/>
    <col min="523" max="523" width="9" style="3193" customWidth="1"/>
    <col min="524" max="525" width="10.625" style="3193" customWidth="1"/>
    <col min="526" max="526" width="14.375" style="3193" customWidth="1"/>
    <col min="527" max="527" width="6.25" style="3193" customWidth="1"/>
    <col min="528" max="528" width="54.75" style="3193" customWidth="1"/>
    <col min="529" max="529" width="7.875" style="3193" customWidth="1"/>
    <col min="530" max="771" width="9" style="3193"/>
    <col min="772" max="772" width="38" style="3193" customWidth="1"/>
    <col min="773" max="773" width="6.25" style="3193" customWidth="1"/>
    <col min="774" max="776" width="13.875" style="3193" customWidth="1"/>
    <col min="777" max="777" width="36.25" style="3193" customWidth="1"/>
    <col min="778" max="778" width="7.875" style="3193" customWidth="1"/>
    <col min="779" max="779" width="9" style="3193" customWidth="1"/>
    <col min="780" max="781" width="10.625" style="3193" customWidth="1"/>
    <col min="782" max="782" width="14.375" style="3193" customWidth="1"/>
    <col min="783" max="783" width="6.25" style="3193" customWidth="1"/>
    <col min="784" max="784" width="54.75" style="3193" customWidth="1"/>
    <col min="785" max="785" width="7.875" style="3193" customWidth="1"/>
    <col min="786" max="1027" width="9" style="3193"/>
    <col min="1028" max="1028" width="38" style="3193" customWidth="1"/>
    <col min="1029" max="1029" width="6.25" style="3193" customWidth="1"/>
    <col min="1030" max="1032" width="13.875" style="3193" customWidth="1"/>
    <col min="1033" max="1033" width="36.25" style="3193" customWidth="1"/>
    <col min="1034" max="1034" width="7.875" style="3193" customWidth="1"/>
    <col min="1035" max="1035" width="9" style="3193" customWidth="1"/>
    <col min="1036" max="1037" width="10.625" style="3193" customWidth="1"/>
    <col min="1038" max="1038" width="14.375" style="3193" customWidth="1"/>
    <col min="1039" max="1039" width="6.25" style="3193" customWidth="1"/>
    <col min="1040" max="1040" width="54.75" style="3193" customWidth="1"/>
    <col min="1041" max="1041" width="7.875" style="3193" customWidth="1"/>
    <col min="1042" max="1283" width="9" style="3193"/>
    <col min="1284" max="1284" width="38" style="3193" customWidth="1"/>
    <col min="1285" max="1285" width="6.25" style="3193" customWidth="1"/>
    <col min="1286" max="1288" width="13.875" style="3193" customWidth="1"/>
    <col min="1289" max="1289" width="36.25" style="3193" customWidth="1"/>
    <col min="1290" max="1290" width="7.875" style="3193" customWidth="1"/>
    <col min="1291" max="1291" width="9" style="3193" customWidth="1"/>
    <col min="1292" max="1293" width="10.625" style="3193" customWidth="1"/>
    <col min="1294" max="1294" width="14.375" style="3193" customWidth="1"/>
    <col min="1295" max="1295" width="6.25" style="3193" customWidth="1"/>
    <col min="1296" max="1296" width="54.75" style="3193" customWidth="1"/>
    <col min="1297" max="1297" width="7.875" style="3193" customWidth="1"/>
    <col min="1298" max="1539" width="9" style="3193"/>
    <col min="1540" max="1540" width="38" style="3193" customWidth="1"/>
    <col min="1541" max="1541" width="6.25" style="3193" customWidth="1"/>
    <col min="1542" max="1544" width="13.875" style="3193" customWidth="1"/>
    <col min="1545" max="1545" width="36.25" style="3193" customWidth="1"/>
    <col min="1546" max="1546" width="7.875" style="3193" customWidth="1"/>
    <col min="1547" max="1547" width="9" style="3193" customWidth="1"/>
    <col min="1548" max="1549" width="10.625" style="3193" customWidth="1"/>
    <col min="1550" max="1550" width="14.375" style="3193" customWidth="1"/>
    <col min="1551" max="1551" width="6.25" style="3193" customWidth="1"/>
    <col min="1552" max="1552" width="54.75" style="3193" customWidth="1"/>
    <col min="1553" max="1553" width="7.875" style="3193" customWidth="1"/>
    <col min="1554" max="1795" width="9" style="3193"/>
    <col min="1796" max="1796" width="38" style="3193" customWidth="1"/>
    <col min="1797" max="1797" width="6.25" style="3193" customWidth="1"/>
    <col min="1798" max="1800" width="13.875" style="3193" customWidth="1"/>
    <col min="1801" max="1801" width="36.25" style="3193" customWidth="1"/>
    <col min="1802" max="1802" width="7.875" style="3193" customWidth="1"/>
    <col min="1803" max="1803" width="9" style="3193" customWidth="1"/>
    <col min="1804" max="1805" width="10.625" style="3193" customWidth="1"/>
    <col min="1806" max="1806" width="14.375" style="3193" customWidth="1"/>
    <col min="1807" max="1807" width="6.25" style="3193" customWidth="1"/>
    <col min="1808" max="1808" width="54.75" style="3193" customWidth="1"/>
    <col min="1809" max="1809" width="7.875" style="3193" customWidth="1"/>
    <col min="1810" max="2051" width="9" style="3193"/>
    <col min="2052" max="2052" width="38" style="3193" customWidth="1"/>
    <col min="2053" max="2053" width="6.25" style="3193" customWidth="1"/>
    <col min="2054" max="2056" width="13.875" style="3193" customWidth="1"/>
    <col min="2057" max="2057" width="36.25" style="3193" customWidth="1"/>
    <col min="2058" max="2058" width="7.875" style="3193" customWidth="1"/>
    <col min="2059" max="2059" width="9" style="3193" customWidth="1"/>
    <col min="2060" max="2061" width="10.625" style="3193" customWidth="1"/>
    <col min="2062" max="2062" width="14.375" style="3193" customWidth="1"/>
    <col min="2063" max="2063" width="6.25" style="3193" customWidth="1"/>
    <col min="2064" max="2064" width="54.75" style="3193" customWidth="1"/>
    <col min="2065" max="2065" width="7.875" style="3193" customWidth="1"/>
    <col min="2066" max="2307" width="9" style="3193"/>
    <col min="2308" max="2308" width="38" style="3193" customWidth="1"/>
    <col min="2309" max="2309" width="6.25" style="3193" customWidth="1"/>
    <col min="2310" max="2312" width="13.875" style="3193" customWidth="1"/>
    <col min="2313" max="2313" width="36.25" style="3193" customWidth="1"/>
    <col min="2314" max="2314" width="7.875" style="3193" customWidth="1"/>
    <col min="2315" max="2315" width="9" style="3193" customWidth="1"/>
    <col min="2316" max="2317" width="10.625" style="3193" customWidth="1"/>
    <col min="2318" max="2318" width="14.375" style="3193" customWidth="1"/>
    <col min="2319" max="2319" width="6.25" style="3193" customWidth="1"/>
    <col min="2320" max="2320" width="54.75" style="3193" customWidth="1"/>
    <col min="2321" max="2321" width="7.875" style="3193" customWidth="1"/>
    <col min="2322" max="2563" width="9" style="3193"/>
    <col min="2564" max="2564" width="38" style="3193" customWidth="1"/>
    <col min="2565" max="2565" width="6.25" style="3193" customWidth="1"/>
    <col min="2566" max="2568" width="13.875" style="3193" customWidth="1"/>
    <col min="2569" max="2569" width="36.25" style="3193" customWidth="1"/>
    <col min="2570" max="2570" width="7.875" style="3193" customWidth="1"/>
    <col min="2571" max="2571" width="9" style="3193" customWidth="1"/>
    <col min="2572" max="2573" width="10.625" style="3193" customWidth="1"/>
    <col min="2574" max="2574" width="14.375" style="3193" customWidth="1"/>
    <col min="2575" max="2575" width="6.25" style="3193" customWidth="1"/>
    <col min="2576" max="2576" width="54.75" style="3193" customWidth="1"/>
    <col min="2577" max="2577" width="7.875" style="3193" customWidth="1"/>
    <col min="2578" max="2819" width="9" style="3193"/>
    <col min="2820" max="2820" width="38" style="3193" customWidth="1"/>
    <col min="2821" max="2821" width="6.25" style="3193" customWidth="1"/>
    <col min="2822" max="2824" width="13.875" style="3193" customWidth="1"/>
    <col min="2825" max="2825" width="36.25" style="3193" customWidth="1"/>
    <col min="2826" max="2826" width="7.875" style="3193" customWidth="1"/>
    <col min="2827" max="2827" width="9" style="3193" customWidth="1"/>
    <col min="2828" max="2829" width="10.625" style="3193" customWidth="1"/>
    <col min="2830" max="2830" width="14.375" style="3193" customWidth="1"/>
    <col min="2831" max="2831" width="6.25" style="3193" customWidth="1"/>
    <col min="2832" max="2832" width="54.75" style="3193" customWidth="1"/>
    <col min="2833" max="2833" width="7.875" style="3193" customWidth="1"/>
    <col min="2834" max="3075" width="9" style="3193"/>
    <col min="3076" max="3076" width="38" style="3193" customWidth="1"/>
    <col min="3077" max="3077" width="6.25" style="3193" customWidth="1"/>
    <col min="3078" max="3080" width="13.875" style="3193" customWidth="1"/>
    <col min="3081" max="3081" width="36.25" style="3193" customWidth="1"/>
    <col min="3082" max="3082" width="7.875" style="3193" customWidth="1"/>
    <col min="3083" max="3083" width="9" style="3193" customWidth="1"/>
    <col min="3084" max="3085" width="10.625" style="3193" customWidth="1"/>
    <col min="3086" max="3086" width="14.375" style="3193" customWidth="1"/>
    <col min="3087" max="3087" width="6.25" style="3193" customWidth="1"/>
    <col min="3088" max="3088" width="54.75" style="3193" customWidth="1"/>
    <col min="3089" max="3089" width="7.875" style="3193" customWidth="1"/>
    <col min="3090" max="3331" width="9" style="3193"/>
    <col min="3332" max="3332" width="38" style="3193" customWidth="1"/>
    <col min="3333" max="3333" width="6.25" style="3193" customWidth="1"/>
    <col min="3334" max="3336" width="13.875" style="3193" customWidth="1"/>
    <col min="3337" max="3337" width="36.25" style="3193" customWidth="1"/>
    <col min="3338" max="3338" width="7.875" style="3193" customWidth="1"/>
    <col min="3339" max="3339" width="9" style="3193" customWidth="1"/>
    <col min="3340" max="3341" width="10.625" style="3193" customWidth="1"/>
    <col min="3342" max="3342" width="14.375" style="3193" customWidth="1"/>
    <col min="3343" max="3343" width="6.25" style="3193" customWidth="1"/>
    <col min="3344" max="3344" width="54.75" style="3193" customWidth="1"/>
    <col min="3345" max="3345" width="7.875" style="3193" customWidth="1"/>
    <col min="3346" max="3587" width="9" style="3193"/>
    <col min="3588" max="3588" width="38" style="3193" customWidth="1"/>
    <col min="3589" max="3589" width="6.25" style="3193" customWidth="1"/>
    <col min="3590" max="3592" width="13.875" style="3193" customWidth="1"/>
    <col min="3593" max="3593" width="36.25" style="3193" customWidth="1"/>
    <col min="3594" max="3594" width="7.875" style="3193" customWidth="1"/>
    <col min="3595" max="3595" width="9" style="3193" customWidth="1"/>
    <col min="3596" max="3597" width="10.625" style="3193" customWidth="1"/>
    <col min="3598" max="3598" width="14.375" style="3193" customWidth="1"/>
    <col min="3599" max="3599" width="6.25" style="3193" customWidth="1"/>
    <col min="3600" max="3600" width="54.75" style="3193" customWidth="1"/>
    <col min="3601" max="3601" width="7.875" style="3193" customWidth="1"/>
    <col min="3602" max="3843" width="9" style="3193"/>
    <col min="3844" max="3844" width="38" style="3193" customWidth="1"/>
    <col min="3845" max="3845" width="6.25" style="3193" customWidth="1"/>
    <col min="3846" max="3848" width="13.875" style="3193" customWidth="1"/>
    <col min="3849" max="3849" width="36.25" style="3193" customWidth="1"/>
    <col min="3850" max="3850" width="7.875" style="3193" customWidth="1"/>
    <col min="3851" max="3851" width="9" style="3193" customWidth="1"/>
    <col min="3852" max="3853" width="10.625" style="3193" customWidth="1"/>
    <col min="3854" max="3854" width="14.375" style="3193" customWidth="1"/>
    <col min="3855" max="3855" width="6.25" style="3193" customWidth="1"/>
    <col min="3856" max="3856" width="54.75" style="3193" customWidth="1"/>
    <col min="3857" max="3857" width="7.875" style="3193" customWidth="1"/>
    <col min="3858" max="4099" width="9" style="3193"/>
    <col min="4100" max="4100" width="38" style="3193" customWidth="1"/>
    <col min="4101" max="4101" width="6.25" style="3193" customWidth="1"/>
    <col min="4102" max="4104" width="13.875" style="3193" customWidth="1"/>
    <col min="4105" max="4105" width="36.25" style="3193" customWidth="1"/>
    <col min="4106" max="4106" width="7.875" style="3193" customWidth="1"/>
    <col min="4107" max="4107" width="9" style="3193" customWidth="1"/>
    <col min="4108" max="4109" width="10.625" style="3193" customWidth="1"/>
    <col min="4110" max="4110" width="14.375" style="3193" customWidth="1"/>
    <col min="4111" max="4111" width="6.25" style="3193" customWidth="1"/>
    <col min="4112" max="4112" width="54.75" style="3193" customWidth="1"/>
    <col min="4113" max="4113" width="7.875" style="3193" customWidth="1"/>
    <col min="4114" max="4355" width="9" style="3193"/>
    <col min="4356" max="4356" width="38" style="3193" customWidth="1"/>
    <col min="4357" max="4357" width="6.25" style="3193" customWidth="1"/>
    <col min="4358" max="4360" width="13.875" style="3193" customWidth="1"/>
    <col min="4361" max="4361" width="36.25" style="3193" customWidth="1"/>
    <col min="4362" max="4362" width="7.875" style="3193" customWidth="1"/>
    <col min="4363" max="4363" width="9" style="3193" customWidth="1"/>
    <col min="4364" max="4365" width="10.625" style="3193" customWidth="1"/>
    <col min="4366" max="4366" width="14.375" style="3193" customWidth="1"/>
    <col min="4367" max="4367" width="6.25" style="3193" customWidth="1"/>
    <col min="4368" max="4368" width="54.75" style="3193" customWidth="1"/>
    <col min="4369" max="4369" width="7.875" style="3193" customWidth="1"/>
    <col min="4370" max="4611" width="9" style="3193"/>
    <col min="4612" max="4612" width="38" style="3193" customWidth="1"/>
    <col min="4613" max="4613" width="6.25" style="3193" customWidth="1"/>
    <col min="4614" max="4616" width="13.875" style="3193" customWidth="1"/>
    <col min="4617" max="4617" width="36.25" style="3193" customWidth="1"/>
    <col min="4618" max="4618" width="7.875" style="3193" customWidth="1"/>
    <col min="4619" max="4619" width="9" style="3193" customWidth="1"/>
    <col min="4620" max="4621" width="10.625" style="3193" customWidth="1"/>
    <col min="4622" max="4622" width="14.375" style="3193" customWidth="1"/>
    <col min="4623" max="4623" width="6.25" style="3193" customWidth="1"/>
    <col min="4624" max="4624" width="54.75" style="3193" customWidth="1"/>
    <col min="4625" max="4625" width="7.875" style="3193" customWidth="1"/>
    <col min="4626" max="4867" width="9" style="3193"/>
    <col min="4868" max="4868" width="38" style="3193" customWidth="1"/>
    <col min="4869" max="4869" width="6.25" style="3193" customWidth="1"/>
    <col min="4870" max="4872" width="13.875" style="3193" customWidth="1"/>
    <col min="4873" max="4873" width="36.25" style="3193" customWidth="1"/>
    <col min="4874" max="4874" width="7.875" style="3193" customWidth="1"/>
    <col min="4875" max="4875" width="9" style="3193" customWidth="1"/>
    <col min="4876" max="4877" width="10.625" style="3193" customWidth="1"/>
    <col min="4878" max="4878" width="14.375" style="3193" customWidth="1"/>
    <col min="4879" max="4879" width="6.25" style="3193" customWidth="1"/>
    <col min="4880" max="4880" width="54.75" style="3193" customWidth="1"/>
    <col min="4881" max="4881" width="7.875" style="3193" customWidth="1"/>
    <col min="4882" max="5123" width="9" style="3193"/>
    <col min="5124" max="5124" width="38" style="3193" customWidth="1"/>
    <col min="5125" max="5125" width="6.25" style="3193" customWidth="1"/>
    <col min="5126" max="5128" width="13.875" style="3193" customWidth="1"/>
    <col min="5129" max="5129" width="36.25" style="3193" customWidth="1"/>
    <col min="5130" max="5130" width="7.875" style="3193" customWidth="1"/>
    <col min="5131" max="5131" width="9" style="3193" customWidth="1"/>
    <col min="5132" max="5133" width="10.625" style="3193" customWidth="1"/>
    <col min="5134" max="5134" width="14.375" style="3193" customWidth="1"/>
    <col min="5135" max="5135" width="6.25" style="3193" customWidth="1"/>
    <col min="5136" max="5136" width="54.75" style="3193" customWidth="1"/>
    <col min="5137" max="5137" width="7.875" style="3193" customWidth="1"/>
    <col min="5138" max="5379" width="9" style="3193"/>
    <col min="5380" max="5380" width="38" style="3193" customWidth="1"/>
    <col min="5381" max="5381" width="6.25" style="3193" customWidth="1"/>
    <col min="5382" max="5384" width="13.875" style="3193" customWidth="1"/>
    <col min="5385" max="5385" width="36.25" style="3193" customWidth="1"/>
    <col min="5386" max="5386" width="7.875" style="3193" customWidth="1"/>
    <col min="5387" max="5387" width="9" style="3193" customWidth="1"/>
    <col min="5388" max="5389" width="10.625" style="3193" customWidth="1"/>
    <col min="5390" max="5390" width="14.375" style="3193" customWidth="1"/>
    <col min="5391" max="5391" width="6.25" style="3193" customWidth="1"/>
    <col min="5392" max="5392" width="54.75" style="3193" customWidth="1"/>
    <col min="5393" max="5393" width="7.875" style="3193" customWidth="1"/>
    <col min="5394" max="5635" width="9" style="3193"/>
    <col min="5636" max="5636" width="38" style="3193" customWidth="1"/>
    <col min="5637" max="5637" width="6.25" style="3193" customWidth="1"/>
    <col min="5638" max="5640" width="13.875" style="3193" customWidth="1"/>
    <col min="5641" max="5641" width="36.25" style="3193" customWidth="1"/>
    <col min="5642" max="5642" width="7.875" style="3193" customWidth="1"/>
    <col min="5643" max="5643" width="9" style="3193" customWidth="1"/>
    <col min="5644" max="5645" width="10.625" style="3193" customWidth="1"/>
    <col min="5646" max="5646" width="14.375" style="3193" customWidth="1"/>
    <col min="5647" max="5647" width="6.25" style="3193" customWidth="1"/>
    <col min="5648" max="5648" width="54.75" style="3193" customWidth="1"/>
    <col min="5649" max="5649" width="7.875" style="3193" customWidth="1"/>
    <col min="5650" max="5891" width="9" style="3193"/>
    <col min="5892" max="5892" width="38" style="3193" customWidth="1"/>
    <col min="5893" max="5893" width="6.25" style="3193" customWidth="1"/>
    <col min="5894" max="5896" width="13.875" style="3193" customWidth="1"/>
    <col min="5897" max="5897" width="36.25" style="3193" customWidth="1"/>
    <col min="5898" max="5898" width="7.875" style="3193" customWidth="1"/>
    <col min="5899" max="5899" width="9" style="3193" customWidth="1"/>
    <col min="5900" max="5901" width="10.625" style="3193" customWidth="1"/>
    <col min="5902" max="5902" width="14.375" style="3193" customWidth="1"/>
    <col min="5903" max="5903" width="6.25" style="3193" customWidth="1"/>
    <col min="5904" max="5904" width="54.75" style="3193" customWidth="1"/>
    <col min="5905" max="5905" width="7.875" style="3193" customWidth="1"/>
    <col min="5906" max="6147" width="9" style="3193"/>
    <col min="6148" max="6148" width="38" style="3193" customWidth="1"/>
    <col min="6149" max="6149" width="6.25" style="3193" customWidth="1"/>
    <col min="6150" max="6152" width="13.875" style="3193" customWidth="1"/>
    <col min="6153" max="6153" width="36.25" style="3193" customWidth="1"/>
    <col min="6154" max="6154" width="7.875" style="3193" customWidth="1"/>
    <col min="6155" max="6155" width="9" style="3193" customWidth="1"/>
    <col min="6156" max="6157" width="10.625" style="3193" customWidth="1"/>
    <col min="6158" max="6158" width="14.375" style="3193" customWidth="1"/>
    <col min="6159" max="6159" width="6.25" style="3193" customWidth="1"/>
    <col min="6160" max="6160" width="54.75" style="3193" customWidth="1"/>
    <col min="6161" max="6161" width="7.875" style="3193" customWidth="1"/>
    <col min="6162" max="6403" width="9" style="3193"/>
    <col min="6404" max="6404" width="38" style="3193" customWidth="1"/>
    <col min="6405" max="6405" width="6.25" style="3193" customWidth="1"/>
    <col min="6406" max="6408" width="13.875" style="3193" customWidth="1"/>
    <col min="6409" max="6409" width="36.25" style="3193" customWidth="1"/>
    <col min="6410" max="6410" width="7.875" style="3193" customWidth="1"/>
    <col min="6411" max="6411" width="9" style="3193" customWidth="1"/>
    <col min="6412" max="6413" width="10.625" style="3193" customWidth="1"/>
    <col min="6414" max="6414" width="14.375" style="3193" customWidth="1"/>
    <col min="6415" max="6415" width="6.25" style="3193" customWidth="1"/>
    <col min="6416" max="6416" width="54.75" style="3193" customWidth="1"/>
    <col min="6417" max="6417" width="7.875" style="3193" customWidth="1"/>
    <col min="6418" max="6659" width="9" style="3193"/>
    <col min="6660" max="6660" width="38" style="3193" customWidth="1"/>
    <col min="6661" max="6661" width="6.25" style="3193" customWidth="1"/>
    <col min="6662" max="6664" width="13.875" style="3193" customWidth="1"/>
    <col min="6665" max="6665" width="36.25" style="3193" customWidth="1"/>
    <col min="6666" max="6666" width="7.875" style="3193" customWidth="1"/>
    <col min="6667" max="6667" width="9" style="3193" customWidth="1"/>
    <col min="6668" max="6669" width="10.625" style="3193" customWidth="1"/>
    <col min="6670" max="6670" width="14.375" style="3193" customWidth="1"/>
    <col min="6671" max="6671" width="6.25" style="3193" customWidth="1"/>
    <col min="6672" max="6672" width="54.75" style="3193" customWidth="1"/>
    <col min="6673" max="6673" width="7.875" style="3193" customWidth="1"/>
    <col min="6674" max="6915" width="9" style="3193"/>
    <col min="6916" max="6916" width="38" style="3193" customWidth="1"/>
    <col min="6917" max="6917" width="6.25" style="3193" customWidth="1"/>
    <col min="6918" max="6920" width="13.875" style="3193" customWidth="1"/>
    <col min="6921" max="6921" width="36.25" style="3193" customWidth="1"/>
    <col min="6922" max="6922" width="7.875" style="3193" customWidth="1"/>
    <col min="6923" max="6923" width="9" style="3193" customWidth="1"/>
    <col min="6924" max="6925" width="10.625" style="3193" customWidth="1"/>
    <col min="6926" max="6926" width="14.375" style="3193" customWidth="1"/>
    <col min="6927" max="6927" width="6.25" style="3193" customWidth="1"/>
    <col min="6928" max="6928" width="54.75" style="3193" customWidth="1"/>
    <col min="6929" max="6929" width="7.875" style="3193" customWidth="1"/>
    <col min="6930" max="7171" width="9" style="3193"/>
    <col min="7172" max="7172" width="38" style="3193" customWidth="1"/>
    <col min="7173" max="7173" width="6.25" style="3193" customWidth="1"/>
    <col min="7174" max="7176" width="13.875" style="3193" customWidth="1"/>
    <col min="7177" max="7177" width="36.25" style="3193" customWidth="1"/>
    <col min="7178" max="7178" width="7.875" style="3193" customWidth="1"/>
    <col min="7179" max="7179" width="9" style="3193" customWidth="1"/>
    <col min="7180" max="7181" width="10.625" style="3193" customWidth="1"/>
    <col min="7182" max="7182" width="14.375" style="3193" customWidth="1"/>
    <col min="7183" max="7183" width="6.25" style="3193" customWidth="1"/>
    <col min="7184" max="7184" width="54.75" style="3193" customWidth="1"/>
    <col min="7185" max="7185" width="7.875" style="3193" customWidth="1"/>
    <col min="7186" max="7427" width="9" style="3193"/>
    <col min="7428" max="7428" width="38" style="3193" customWidth="1"/>
    <col min="7429" max="7429" width="6.25" style="3193" customWidth="1"/>
    <col min="7430" max="7432" width="13.875" style="3193" customWidth="1"/>
    <col min="7433" max="7433" width="36.25" style="3193" customWidth="1"/>
    <col min="7434" max="7434" width="7.875" style="3193" customWidth="1"/>
    <col min="7435" max="7435" width="9" style="3193" customWidth="1"/>
    <col min="7436" max="7437" width="10.625" style="3193" customWidth="1"/>
    <col min="7438" max="7438" width="14.375" style="3193" customWidth="1"/>
    <col min="7439" max="7439" width="6.25" style="3193" customWidth="1"/>
    <col min="7440" max="7440" width="54.75" style="3193" customWidth="1"/>
    <col min="7441" max="7441" width="7.875" style="3193" customWidth="1"/>
    <col min="7442" max="7683" width="9" style="3193"/>
    <col min="7684" max="7684" width="38" style="3193" customWidth="1"/>
    <col min="7685" max="7685" width="6.25" style="3193" customWidth="1"/>
    <col min="7686" max="7688" width="13.875" style="3193" customWidth="1"/>
    <col min="7689" max="7689" width="36.25" style="3193" customWidth="1"/>
    <col min="7690" max="7690" width="7.875" style="3193" customWidth="1"/>
    <col min="7691" max="7691" width="9" style="3193" customWidth="1"/>
    <col min="7692" max="7693" width="10.625" style="3193" customWidth="1"/>
    <col min="7694" max="7694" width="14.375" style="3193" customWidth="1"/>
    <col min="7695" max="7695" width="6.25" style="3193" customWidth="1"/>
    <col min="7696" max="7696" width="54.75" style="3193" customWidth="1"/>
    <col min="7697" max="7697" width="7.875" style="3193" customWidth="1"/>
    <col min="7698" max="7939" width="9" style="3193"/>
    <col min="7940" max="7940" width="38" style="3193" customWidth="1"/>
    <col min="7941" max="7941" width="6.25" style="3193" customWidth="1"/>
    <col min="7942" max="7944" width="13.875" style="3193" customWidth="1"/>
    <col min="7945" max="7945" width="36.25" style="3193" customWidth="1"/>
    <col min="7946" max="7946" width="7.875" style="3193" customWidth="1"/>
    <col min="7947" max="7947" width="9" style="3193" customWidth="1"/>
    <col min="7948" max="7949" width="10.625" style="3193" customWidth="1"/>
    <col min="7950" max="7950" width="14.375" style="3193" customWidth="1"/>
    <col min="7951" max="7951" width="6.25" style="3193" customWidth="1"/>
    <col min="7952" max="7952" width="54.75" style="3193" customWidth="1"/>
    <col min="7953" max="7953" width="7.875" style="3193" customWidth="1"/>
    <col min="7954" max="8195" width="9" style="3193"/>
    <col min="8196" max="8196" width="38" style="3193" customWidth="1"/>
    <col min="8197" max="8197" width="6.25" style="3193" customWidth="1"/>
    <col min="8198" max="8200" width="13.875" style="3193" customWidth="1"/>
    <col min="8201" max="8201" width="36.25" style="3193" customWidth="1"/>
    <col min="8202" max="8202" width="7.875" style="3193" customWidth="1"/>
    <col min="8203" max="8203" width="9" style="3193" customWidth="1"/>
    <col min="8204" max="8205" width="10.625" style="3193" customWidth="1"/>
    <col min="8206" max="8206" width="14.375" style="3193" customWidth="1"/>
    <col min="8207" max="8207" width="6.25" style="3193" customWidth="1"/>
    <col min="8208" max="8208" width="54.75" style="3193" customWidth="1"/>
    <col min="8209" max="8209" width="7.875" style="3193" customWidth="1"/>
    <col min="8210" max="8451" width="9" style="3193"/>
    <col min="8452" max="8452" width="38" style="3193" customWidth="1"/>
    <col min="8453" max="8453" width="6.25" style="3193" customWidth="1"/>
    <col min="8454" max="8456" width="13.875" style="3193" customWidth="1"/>
    <col min="8457" max="8457" width="36.25" style="3193" customWidth="1"/>
    <col min="8458" max="8458" width="7.875" style="3193" customWidth="1"/>
    <col min="8459" max="8459" width="9" style="3193" customWidth="1"/>
    <col min="8460" max="8461" width="10.625" style="3193" customWidth="1"/>
    <col min="8462" max="8462" width="14.375" style="3193" customWidth="1"/>
    <col min="8463" max="8463" width="6.25" style="3193" customWidth="1"/>
    <col min="8464" max="8464" width="54.75" style="3193" customWidth="1"/>
    <col min="8465" max="8465" width="7.875" style="3193" customWidth="1"/>
    <col min="8466" max="8707" width="9" style="3193"/>
    <col min="8708" max="8708" width="38" style="3193" customWidth="1"/>
    <col min="8709" max="8709" width="6.25" style="3193" customWidth="1"/>
    <col min="8710" max="8712" width="13.875" style="3193" customWidth="1"/>
    <col min="8713" max="8713" width="36.25" style="3193" customWidth="1"/>
    <col min="8714" max="8714" width="7.875" style="3193" customWidth="1"/>
    <col min="8715" max="8715" width="9" style="3193" customWidth="1"/>
    <col min="8716" max="8717" width="10.625" style="3193" customWidth="1"/>
    <col min="8718" max="8718" width="14.375" style="3193" customWidth="1"/>
    <col min="8719" max="8719" width="6.25" style="3193" customWidth="1"/>
    <col min="8720" max="8720" width="54.75" style="3193" customWidth="1"/>
    <col min="8721" max="8721" width="7.875" style="3193" customWidth="1"/>
    <col min="8722" max="8963" width="9" style="3193"/>
    <col min="8964" max="8964" width="38" style="3193" customWidth="1"/>
    <col min="8965" max="8965" width="6.25" style="3193" customWidth="1"/>
    <col min="8966" max="8968" width="13.875" style="3193" customWidth="1"/>
    <col min="8969" max="8969" width="36.25" style="3193" customWidth="1"/>
    <col min="8970" max="8970" width="7.875" style="3193" customWidth="1"/>
    <col min="8971" max="8971" width="9" style="3193" customWidth="1"/>
    <col min="8972" max="8973" width="10.625" style="3193" customWidth="1"/>
    <col min="8974" max="8974" width="14.375" style="3193" customWidth="1"/>
    <col min="8975" max="8975" width="6.25" style="3193" customWidth="1"/>
    <col min="8976" max="8976" width="54.75" style="3193" customWidth="1"/>
    <col min="8977" max="8977" width="7.875" style="3193" customWidth="1"/>
    <col min="8978" max="9219" width="9" style="3193"/>
    <col min="9220" max="9220" width="38" style="3193" customWidth="1"/>
    <col min="9221" max="9221" width="6.25" style="3193" customWidth="1"/>
    <col min="9222" max="9224" width="13.875" style="3193" customWidth="1"/>
    <col min="9225" max="9225" width="36.25" style="3193" customWidth="1"/>
    <col min="9226" max="9226" width="7.875" style="3193" customWidth="1"/>
    <col min="9227" max="9227" width="9" style="3193" customWidth="1"/>
    <col min="9228" max="9229" width="10.625" style="3193" customWidth="1"/>
    <col min="9230" max="9230" width="14.375" style="3193" customWidth="1"/>
    <col min="9231" max="9231" width="6.25" style="3193" customWidth="1"/>
    <col min="9232" max="9232" width="54.75" style="3193" customWidth="1"/>
    <col min="9233" max="9233" width="7.875" style="3193" customWidth="1"/>
    <col min="9234" max="9475" width="9" style="3193"/>
    <col min="9476" max="9476" width="38" style="3193" customWidth="1"/>
    <col min="9477" max="9477" width="6.25" style="3193" customWidth="1"/>
    <col min="9478" max="9480" width="13.875" style="3193" customWidth="1"/>
    <col min="9481" max="9481" width="36.25" style="3193" customWidth="1"/>
    <col min="9482" max="9482" width="7.875" style="3193" customWidth="1"/>
    <col min="9483" max="9483" width="9" style="3193" customWidth="1"/>
    <col min="9484" max="9485" width="10.625" style="3193" customWidth="1"/>
    <col min="9486" max="9486" width="14.375" style="3193" customWidth="1"/>
    <col min="9487" max="9487" width="6.25" style="3193" customWidth="1"/>
    <col min="9488" max="9488" width="54.75" style="3193" customWidth="1"/>
    <col min="9489" max="9489" width="7.875" style="3193" customWidth="1"/>
    <col min="9490" max="9731" width="9" style="3193"/>
    <col min="9732" max="9732" width="38" style="3193" customWidth="1"/>
    <col min="9733" max="9733" width="6.25" style="3193" customWidth="1"/>
    <col min="9734" max="9736" width="13.875" style="3193" customWidth="1"/>
    <col min="9737" max="9737" width="36.25" style="3193" customWidth="1"/>
    <col min="9738" max="9738" width="7.875" style="3193" customWidth="1"/>
    <col min="9739" max="9739" width="9" style="3193" customWidth="1"/>
    <col min="9740" max="9741" width="10.625" style="3193" customWidth="1"/>
    <col min="9742" max="9742" width="14.375" style="3193" customWidth="1"/>
    <col min="9743" max="9743" width="6.25" style="3193" customWidth="1"/>
    <col min="9744" max="9744" width="54.75" style="3193" customWidth="1"/>
    <col min="9745" max="9745" width="7.875" style="3193" customWidth="1"/>
    <col min="9746" max="9987" width="9" style="3193"/>
    <col min="9988" max="9988" width="38" style="3193" customWidth="1"/>
    <col min="9989" max="9989" width="6.25" style="3193" customWidth="1"/>
    <col min="9990" max="9992" width="13.875" style="3193" customWidth="1"/>
    <col min="9993" max="9993" width="36.25" style="3193" customWidth="1"/>
    <col min="9994" max="9994" width="7.875" style="3193" customWidth="1"/>
    <col min="9995" max="9995" width="9" style="3193" customWidth="1"/>
    <col min="9996" max="9997" width="10.625" style="3193" customWidth="1"/>
    <col min="9998" max="9998" width="14.375" style="3193" customWidth="1"/>
    <col min="9999" max="9999" width="6.25" style="3193" customWidth="1"/>
    <col min="10000" max="10000" width="54.75" style="3193" customWidth="1"/>
    <col min="10001" max="10001" width="7.875" style="3193" customWidth="1"/>
    <col min="10002" max="10243" width="9" style="3193"/>
    <col min="10244" max="10244" width="38" style="3193" customWidth="1"/>
    <col min="10245" max="10245" width="6.25" style="3193" customWidth="1"/>
    <col min="10246" max="10248" width="13.875" style="3193" customWidth="1"/>
    <col min="10249" max="10249" width="36.25" style="3193" customWidth="1"/>
    <col min="10250" max="10250" width="7.875" style="3193" customWidth="1"/>
    <col min="10251" max="10251" width="9" style="3193" customWidth="1"/>
    <col min="10252" max="10253" width="10.625" style="3193" customWidth="1"/>
    <col min="10254" max="10254" width="14.375" style="3193" customWidth="1"/>
    <col min="10255" max="10255" width="6.25" style="3193" customWidth="1"/>
    <col min="10256" max="10256" width="54.75" style="3193" customWidth="1"/>
    <col min="10257" max="10257" width="7.875" style="3193" customWidth="1"/>
    <col min="10258" max="10499" width="9" style="3193"/>
    <col min="10500" max="10500" width="38" style="3193" customWidth="1"/>
    <col min="10501" max="10501" width="6.25" style="3193" customWidth="1"/>
    <col min="10502" max="10504" width="13.875" style="3193" customWidth="1"/>
    <col min="10505" max="10505" width="36.25" style="3193" customWidth="1"/>
    <col min="10506" max="10506" width="7.875" style="3193" customWidth="1"/>
    <col min="10507" max="10507" width="9" style="3193" customWidth="1"/>
    <col min="10508" max="10509" width="10.625" style="3193" customWidth="1"/>
    <col min="10510" max="10510" width="14.375" style="3193" customWidth="1"/>
    <col min="10511" max="10511" width="6.25" style="3193" customWidth="1"/>
    <col min="10512" max="10512" width="54.75" style="3193" customWidth="1"/>
    <col min="10513" max="10513" width="7.875" style="3193" customWidth="1"/>
    <col min="10514" max="10755" width="9" style="3193"/>
    <col min="10756" max="10756" width="38" style="3193" customWidth="1"/>
    <col min="10757" max="10757" width="6.25" style="3193" customWidth="1"/>
    <col min="10758" max="10760" width="13.875" style="3193" customWidth="1"/>
    <col min="10761" max="10761" width="36.25" style="3193" customWidth="1"/>
    <col min="10762" max="10762" width="7.875" style="3193" customWidth="1"/>
    <col min="10763" max="10763" width="9" style="3193" customWidth="1"/>
    <col min="10764" max="10765" width="10.625" style="3193" customWidth="1"/>
    <col min="10766" max="10766" width="14.375" style="3193" customWidth="1"/>
    <col min="10767" max="10767" width="6.25" style="3193" customWidth="1"/>
    <col min="10768" max="10768" width="54.75" style="3193" customWidth="1"/>
    <col min="10769" max="10769" width="7.875" style="3193" customWidth="1"/>
    <col min="10770" max="11011" width="9" style="3193"/>
    <col min="11012" max="11012" width="38" style="3193" customWidth="1"/>
    <col min="11013" max="11013" width="6.25" style="3193" customWidth="1"/>
    <col min="11014" max="11016" width="13.875" style="3193" customWidth="1"/>
    <col min="11017" max="11017" width="36.25" style="3193" customWidth="1"/>
    <col min="11018" max="11018" width="7.875" style="3193" customWidth="1"/>
    <col min="11019" max="11019" width="9" style="3193" customWidth="1"/>
    <col min="11020" max="11021" width="10.625" style="3193" customWidth="1"/>
    <col min="11022" max="11022" width="14.375" style="3193" customWidth="1"/>
    <col min="11023" max="11023" width="6.25" style="3193" customWidth="1"/>
    <col min="11024" max="11024" width="54.75" style="3193" customWidth="1"/>
    <col min="11025" max="11025" width="7.875" style="3193" customWidth="1"/>
    <col min="11026" max="11267" width="9" style="3193"/>
    <col min="11268" max="11268" width="38" style="3193" customWidth="1"/>
    <col min="11269" max="11269" width="6.25" style="3193" customWidth="1"/>
    <col min="11270" max="11272" width="13.875" style="3193" customWidth="1"/>
    <col min="11273" max="11273" width="36.25" style="3193" customWidth="1"/>
    <col min="11274" max="11274" width="7.875" style="3193" customWidth="1"/>
    <col min="11275" max="11275" width="9" style="3193" customWidth="1"/>
    <col min="11276" max="11277" width="10.625" style="3193" customWidth="1"/>
    <col min="11278" max="11278" width="14.375" style="3193" customWidth="1"/>
    <col min="11279" max="11279" width="6.25" style="3193" customWidth="1"/>
    <col min="11280" max="11280" width="54.75" style="3193" customWidth="1"/>
    <col min="11281" max="11281" width="7.875" style="3193" customWidth="1"/>
    <col min="11282" max="11523" width="9" style="3193"/>
    <col min="11524" max="11524" width="38" style="3193" customWidth="1"/>
    <col min="11525" max="11525" width="6.25" style="3193" customWidth="1"/>
    <col min="11526" max="11528" width="13.875" style="3193" customWidth="1"/>
    <col min="11529" max="11529" width="36.25" style="3193" customWidth="1"/>
    <col min="11530" max="11530" width="7.875" style="3193" customWidth="1"/>
    <col min="11531" max="11531" width="9" style="3193" customWidth="1"/>
    <col min="11532" max="11533" width="10.625" style="3193" customWidth="1"/>
    <col min="11534" max="11534" width="14.375" style="3193" customWidth="1"/>
    <col min="11535" max="11535" width="6.25" style="3193" customWidth="1"/>
    <col min="11536" max="11536" width="54.75" style="3193" customWidth="1"/>
    <col min="11537" max="11537" width="7.875" style="3193" customWidth="1"/>
    <col min="11538" max="11779" width="9" style="3193"/>
    <col min="11780" max="11780" width="38" style="3193" customWidth="1"/>
    <col min="11781" max="11781" width="6.25" style="3193" customWidth="1"/>
    <col min="11782" max="11784" width="13.875" style="3193" customWidth="1"/>
    <col min="11785" max="11785" width="36.25" style="3193" customWidth="1"/>
    <col min="11786" max="11786" width="7.875" style="3193" customWidth="1"/>
    <col min="11787" max="11787" width="9" style="3193" customWidth="1"/>
    <col min="11788" max="11789" width="10.625" style="3193" customWidth="1"/>
    <col min="11790" max="11790" width="14.375" style="3193" customWidth="1"/>
    <col min="11791" max="11791" width="6.25" style="3193" customWidth="1"/>
    <col min="11792" max="11792" width="54.75" style="3193" customWidth="1"/>
    <col min="11793" max="11793" width="7.875" style="3193" customWidth="1"/>
    <col min="11794" max="12035" width="9" style="3193"/>
    <col min="12036" max="12036" width="38" style="3193" customWidth="1"/>
    <col min="12037" max="12037" width="6.25" style="3193" customWidth="1"/>
    <col min="12038" max="12040" width="13.875" style="3193" customWidth="1"/>
    <col min="12041" max="12041" width="36.25" style="3193" customWidth="1"/>
    <col min="12042" max="12042" width="7.875" style="3193" customWidth="1"/>
    <col min="12043" max="12043" width="9" style="3193" customWidth="1"/>
    <col min="12044" max="12045" width="10.625" style="3193" customWidth="1"/>
    <col min="12046" max="12046" width="14.375" style="3193" customWidth="1"/>
    <col min="12047" max="12047" width="6.25" style="3193" customWidth="1"/>
    <col min="12048" max="12048" width="54.75" style="3193" customWidth="1"/>
    <col min="12049" max="12049" width="7.875" style="3193" customWidth="1"/>
    <col min="12050" max="12291" width="9" style="3193"/>
    <col min="12292" max="12292" width="38" style="3193" customWidth="1"/>
    <col min="12293" max="12293" width="6.25" style="3193" customWidth="1"/>
    <col min="12294" max="12296" width="13.875" style="3193" customWidth="1"/>
    <col min="12297" max="12297" width="36.25" style="3193" customWidth="1"/>
    <col min="12298" max="12298" width="7.875" style="3193" customWidth="1"/>
    <col min="12299" max="12299" width="9" style="3193" customWidth="1"/>
    <col min="12300" max="12301" width="10.625" style="3193" customWidth="1"/>
    <col min="12302" max="12302" width="14.375" style="3193" customWidth="1"/>
    <col min="12303" max="12303" width="6.25" style="3193" customWidth="1"/>
    <col min="12304" max="12304" width="54.75" style="3193" customWidth="1"/>
    <col min="12305" max="12305" width="7.875" style="3193" customWidth="1"/>
    <col min="12306" max="12547" width="9" style="3193"/>
    <col min="12548" max="12548" width="38" style="3193" customWidth="1"/>
    <col min="12549" max="12549" width="6.25" style="3193" customWidth="1"/>
    <col min="12550" max="12552" width="13.875" style="3193" customWidth="1"/>
    <col min="12553" max="12553" width="36.25" style="3193" customWidth="1"/>
    <col min="12554" max="12554" width="7.875" style="3193" customWidth="1"/>
    <col min="12555" max="12555" width="9" style="3193" customWidth="1"/>
    <col min="12556" max="12557" width="10.625" style="3193" customWidth="1"/>
    <col min="12558" max="12558" width="14.375" style="3193" customWidth="1"/>
    <col min="12559" max="12559" width="6.25" style="3193" customWidth="1"/>
    <col min="12560" max="12560" width="54.75" style="3193" customWidth="1"/>
    <col min="12561" max="12561" width="7.875" style="3193" customWidth="1"/>
    <col min="12562" max="12803" width="9" style="3193"/>
    <col min="12804" max="12804" width="38" style="3193" customWidth="1"/>
    <col min="12805" max="12805" width="6.25" style="3193" customWidth="1"/>
    <col min="12806" max="12808" width="13.875" style="3193" customWidth="1"/>
    <col min="12809" max="12809" width="36.25" style="3193" customWidth="1"/>
    <col min="12810" max="12810" width="7.875" style="3193" customWidth="1"/>
    <col min="12811" max="12811" width="9" style="3193" customWidth="1"/>
    <col min="12812" max="12813" width="10.625" style="3193" customWidth="1"/>
    <col min="12814" max="12814" width="14.375" style="3193" customWidth="1"/>
    <col min="12815" max="12815" width="6.25" style="3193" customWidth="1"/>
    <col min="12816" max="12816" width="54.75" style="3193" customWidth="1"/>
    <col min="12817" max="12817" width="7.875" style="3193" customWidth="1"/>
    <col min="12818" max="13059" width="9" style="3193"/>
    <col min="13060" max="13060" width="38" style="3193" customWidth="1"/>
    <col min="13061" max="13061" width="6.25" style="3193" customWidth="1"/>
    <col min="13062" max="13064" width="13.875" style="3193" customWidth="1"/>
    <col min="13065" max="13065" width="36.25" style="3193" customWidth="1"/>
    <col min="13066" max="13066" width="7.875" style="3193" customWidth="1"/>
    <col min="13067" max="13067" width="9" style="3193" customWidth="1"/>
    <col min="13068" max="13069" width="10.625" style="3193" customWidth="1"/>
    <col min="13070" max="13070" width="14.375" style="3193" customWidth="1"/>
    <col min="13071" max="13071" width="6.25" style="3193" customWidth="1"/>
    <col min="13072" max="13072" width="54.75" style="3193" customWidth="1"/>
    <col min="13073" max="13073" width="7.875" style="3193" customWidth="1"/>
    <col min="13074" max="13315" width="9" style="3193"/>
    <col min="13316" max="13316" width="38" style="3193" customWidth="1"/>
    <col min="13317" max="13317" width="6.25" style="3193" customWidth="1"/>
    <col min="13318" max="13320" width="13.875" style="3193" customWidth="1"/>
    <col min="13321" max="13321" width="36.25" style="3193" customWidth="1"/>
    <col min="13322" max="13322" width="7.875" style="3193" customWidth="1"/>
    <col min="13323" max="13323" width="9" style="3193" customWidth="1"/>
    <col min="13324" max="13325" width="10.625" style="3193" customWidth="1"/>
    <col min="13326" max="13326" width="14.375" style="3193" customWidth="1"/>
    <col min="13327" max="13327" width="6.25" style="3193" customWidth="1"/>
    <col min="13328" max="13328" width="54.75" style="3193" customWidth="1"/>
    <col min="13329" max="13329" width="7.875" style="3193" customWidth="1"/>
    <col min="13330" max="13571" width="9" style="3193"/>
    <col min="13572" max="13572" width="38" style="3193" customWidth="1"/>
    <col min="13573" max="13573" width="6.25" style="3193" customWidth="1"/>
    <col min="13574" max="13576" width="13.875" style="3193" customWidth="1"/>
    <col min="13577" max="13577" width="36.25" style="3193" customWidth="1"/>
    <col min="13578" max="13578" width="7.875" style="3193" customWidth="1"/>
    <col min="13579" max="13579" width="9" style="3193" customWidth="1"/>
    <col min="13580" max="13581" width="10.625" style="3193" customWidth="1"/>
    <col min="13582" max="13582" width="14.375" style="3193" customWidth="1"/>
    <col min="13583" max="13583" width="6.25" style="3193" customWidth="1"/>
    <col min="13584" max="13584" width="54.75" style="3193" customWidth="1"/>
    <col min="13585" max="13585" width="7.875" style="3193" customWidth="1"/>
    <col min="13586" max="13827" width="9" style="3193"/>
    <col min="13828" max="13828" width="38" style="3193" customWidth="1"/>
    <col min="13829" max="13829" width="6.25" style="3193" customWidth="1"/>
    <col min="13830" max="13832" width="13.875" style="3193" customWidth="1"/>
    <col min="13833" max="13833" width="36.25" style="3193" customWidth="1"/>
    <col min="13834" max="13834" width="7.875" style="3193" customWidth="1"/>
    <col min="13835" max="13835" width="9" style="3193" customWidth="1"/>
    <col min="13836" max="13837" width="10.625" style="3193" customWidth="1"/>
    <col min="13838" max="13838" width="14.375" style="3193" customWidth="1"/>
    <col min="13839" max="13839" width="6.25" style="3193" customWidth="1"/>
    <col min="13840" max="13840" width="54.75" style="3193" customWidth="1"/>
    <col min="13841" max="13841" width="7.875" style="3193" customWidth="1"/>
    <col min="13842" max="14083" width="9" style="3193"/>
    <col min="14084" max="14084" width="38" style="3193" customWidth="1"/>
    <col min="14085" max="14085" width="6.25" style="3193" customWidth="1"/>
    <col min="14086" max="14088" width="13.875" style="3193" customWidth="1"/>
    <col min="14089" max="14089" width="36.25" style="3193" customWidth="1"/>
    <col min="14090" max="14090" width="7.875" style="3193" customWidth="1"/>
    <col min="14091" max="14091" width="9" style="3193" customWidth="1"/>
    <col min="14092" max="14093" width="10.625" style="3193" customWidth="1"/>
    <col min="14094" max="14094" width="14.375" style="3193" customWidth="1"/>
    <col min="14095" max="14095" width="6.25" style="3193" customWidth="1"/>
    <col min="14096" max="14096" width="54.75" style="3193" customWidth="1"/>
    <col min="14097" max="14097" width="7.875" style="3193" customWidth="1"/>
    <col min="14098" max="14339" width="9" style="3193"/>
    <col min="14340" max="14340" width="38" style="3193" customWidth="1"/>
    <col min="14341" max="14341" width="6.25" style="3193" customWidth="1"/>
    <col min="14342" max="14344" width="13.875" style="3193" customWidth="1"/>
    <col min="14345" max="14345" width="36.25" style="3193" customWidth="1"/>
    <col min="14346" max="14346" width="7.875" style="3193" customWidth="1"/>
    <col min="14347" max="14347" width="9" style="3193" customWidth="1"/>
    <col min="14348" max="14349" width="10.625" style="3193" customWidth="1"/>
    <col min="14350" max="14350" width="14.375" style="3193" customWidth="1"/>
    <col min="14351" max="14351" width="6.25" style="3193" customWidth="1"/>
    <col min="14352" max="14352" width="54.75" style="3193" customWidth="1"/>
    <col min="14353" max="14353" width="7.875" style="3193" customWidth="1"/>
    <col min="14354" max="14595" width="9" style="3193"/>
    <col min="14596" max="14596" width="38" style="3193" customWidth="1"/>
    <col min="14597" max="14597" width="6.25" style="3193" customWidth="1"/>
    <col min="14598" max="14600" width="13.875" style="3193" customWidth="1"/>
    <col min="14601" max="14601" width="36.25" style="3193" customWidth="1"/>
    <col min="14602" max="14602" width="7.875" style="3193" customWidth="1"/>
    <col min="14603" max="14603" width="9" style="3193" customWidth="1"/>
    <col min="14604" max="14605" width="10.625" style="3193" customWidth="1"/>
    <col min="14606" max="14606" width="14.375" style="3193" customWidth="1"/>
    <col min="14607" max="14607" width="6.25" style="3193" customWidth="1"/>
    <col min="14608" max="14608" width="54.75" style="3193" customWidth="1"/>
    <col min="14609" max="14609" width="7.875" style="3193" customWidth="1"/>
    <col min="14610" max="14851" width="9" style="3193"/>
    <col min="14852" max="14852" width="38" style="3193" customWidth="1"/>
    <col min="14853" max="14853" width="6.25" style="3193" customWidth="1"/>
    <col min="14854" max="14856" width="13.875" style="3193" customWidth="1"/>
    <col min="14857" max="14857" width="36.25" style="3193" customWidth="1"/>
    <col min="14858" max="14858" width="7.875" style="3193" customWidth="1"/>
    <col min="14859" max="14859" width="9" style="3193" customWidth="1"/>
    <col min="14860" max="14861" width="10.625" style="3193" customWidth="1"/>
    <col min="14862" max="14862" width="14.375" style="3193" customWidth="1"/>
    <col min="14863" max="14863" width="6.25" style="3193" customWidth="1"/>
    <col min="14864" max="14864" width="54.75" style="3193" customWidth="1"/>
    <col min="14865" max="14865" width="7.875" style="3193" customWidth="1"/>
    <col min="14866" max="15107" width="9" style="3193"/>
    <col min="15108" max="15108" width="38" style="3193" customWidth="1"/>
    <col min="15109" max="15109" width="6.25" style="3193" customWidth="1"/>
    <col min="15110" max="15112" width="13.875" style="3193" customWidth="1"/>
    <col min="15113" max="15113" width="36.25" style="3193" customWidth="1"/>
    <col min="15114" max="15114" width="7.875" style="3193" customWidth="1"/>
    <col min="15115" max="15115" width="9" style="3193" customWidth="1"/>
    <col min="15116" max="15117" width="10.625" style="3193" customWidth="1"/>
    <col min="15118" max="15118" width="14.375" style="3193" customWidth="1"/>
    <col min="15119" max="15119" width="6.25" style="3193" customWidth="1"/>
    <col min="15120" max="15120" width="54.75" style="3193" customWidth="1"/>
    <col min="15121" max="15121" width="7.875" style="3193" customWidth="1"/>
    <col min="15122" max="15363" width="9" style="3193"/>
    <col min="15364" max="15364" width="38" style="3193" customWidth="1"/>
    <col min="15365" max="15365" width="6.25" style="3193" customWidth="1"/>
    <col min="15366" max="15368" width="13.875" style="3193" customWidth="1"/>
    <col min="15369" max="15369" width="36.25" style="3193" customWidth="1"/>
    <col min="15370" max="15370" width="7.875" style="3193" customWidth="1"/>
    <col min="15371" max="15371" width="9" style="3193" customWidth="1"/>
    <col min="15372" max="15373" width="10.625" style="3193" customWidth="1"/>
    <col min="15374" max="15374" width="14.375" style="3193" customWidth="1"/>
    <col min="15375" max="15375" width="6.25" style="3193" customWidth="1"/>
    <col min="15376" max="15376" width="54.75" style="3193" customWidth="1"/>
    <col min="15377" max="15377" width="7.875" style="3193" customWidth="1"/>
    <col min="15378" max="15619" width="9" style="3193"/>
    <col min="15620" max="15620" width="38" style="3193" customWidth="1"/>
    <col min="15621" max="15621" width="6.25" style="3193" customWidth="1"/>
    <col min="15622" max="15624" width="13.875" style="3193" customWidth="1"/>
    <col min="15625" max="15625" width="36.25" style="3193" customWidth="1"/>
    <col min="15626" max="15626" width="7.875" style="3193" customWidth="1"/>
    <col min="15627" max="15627" width="9" style="3193" customWidth="1"/>
    <col min="15628" max="15629" width="10.625" style="3193" customWidth="1"/>
    <col min="15630" max="15630" width="14.375" style="3193" customWidth="1"/>
    <col min="15631" max="15631" width="6.25" style="3193" customWidth="1"/>
    <col min="15632" max="15632" width="54.75" style="3193" customWidth="1"/>
    <col min="15633" max="15633" width="7.875" style="3193" customWidth="1"/>
    <col min="15634" max="15875" width="9" style="3193"/>
    <col min="15876" max="15876" width="38" style="3193" customWidth="1"/>
    <col min="15877" max="15877" width="6.25" style="3193" customWidth="1"/>
    <col min="15878" max="15880" width="13.875" style="3193" customWidth="1"/>
    <col min="15881" max="15881" width="36.25" style="3193" customWidth="1"/>
    <col min="15882" max="15882" width="7.875" style="3193" customWidth="1"/>
    <col min="15883" max="15883" width="9" style="3193" customWidth="1"/>
    <col min="15884" max="15885" width="10.625" style="3193" customWidth="1"/>
    <col min="15886" max="15886" width="14.375" style="3193" customWidth="1"/>
    <col min="15887" max="15887" width="6.25" style="3193" customWidth="1"/>
    <col min="15888" max="15888" width="54.75" style="3193" customWidth="1"/>
    <col min="15889" max="15889" width="7.875" style="3193" customWidth="1"/>
    <col min="15890" max="16131" width="9" style="3193"/>
    <col min="16132" max="16132" width="38" style="3193" customWidth="1"/>
    <col min="16133" max="16133" width="6.25" style="3193" customWidth="1"/>
    <col min="16134" max="16136" width="13.875" style="3193" customWidth="1"/>
    <col min="16137" max="16137" width="36.25" style="3193" customWidth="1"/>
    <col min="16138" max="16138" width="7.875" style="3193" customWidth="1"/>
    <col min="16139" max="16139" width="9" style="3193" customWidth="1"/>
    <col min="16140" max="16141" width="10.625" style="3193" customWidth="1"/>
    <col min="16142" max="16142" width="14.375" style="3193" customWidth="1"/>
    <col min="16143" max="16143" width="6.25" style="3193" customWidth="1"/>
    <col min="16144" max="16144" width="54.75" style="3193" customWidth="1"/>
    <col min="16145" max="16145" width="7.875" style="3193" customWidth="1"/>
    <col min="16146" max="16384" width="9" style="3193"/>
  </cols>
  <sheetData>
    <row r="1" spans="1:17" s="3192" customFormat="1" ht="24">
      <c r="A1" s="3192" t="s">
        <v>3164</v>
      </c>
      <c r="B1" s="3191" t="s">
        <v>3015</v>
      </c>
      <c r="C1" s="3191" t="s">
        <v>3016</v>
      </c>
      <c r="D1" s="3191" t="s">
        <v>3017</v>
      </c>
      <c r="E1" s="3191" t="s">
        <v>3018</v>
      </c>
      <c r="F1" s="3191" t="s">
        <v>3019</v>
      </c>
      <c r="G1" s="3191" t="s">
        <v>2033</v>
      </c>
      <c r="H1" s="3191" t="s">
        <v>3150</v>
      </c>
      <c r="I1" s="3191" t="s">
        <v>3020</v>
      </c>
      <c r="J1" s="3191" t="s">
        <v>3021</v>
      </c>
      <c r="K1" s="3191" t="s">
        <v>3022</v>
      </c>
      <c r="L1" s="3191" t="s">
        <v>3023</v>
      </c>
      <c r="M1" s="3191" t="s">
        <v>3024</v>
      </c>
      <c r="N1" s="3191" t="s">
        <v>3165</v>
      </c>
      <c r="O1" s="3191" t="s">
        <v>3025</v>
      </c>
      <c r="P1" s="3191" t="s">
        <v>3026</v>
      </c>
      <c r="Q1" s="3191" t="s">
        <v>3027</v>
      </c>
    </row>
    <row r="2" spans="1:17" ht="24">
      <c r="A2" s="3193">
        <v>1</v>
      </c>
      <c r="B2" s="3191" t="s">
        <v>3028</v>
      </c>
      <c r="C2" s="3191" t="s">
        <v>3029</v>
      </c>
      <c r="D2" s="3191" t="s">
        <v>3030</v>
      </c>
      <c r="E2" s="3191">
        <v>41058.550000000003</v>
      </c>
      <c r="F2" s="3191">
        <v>131387.4</v>
      </c>
      <c r="G2" s="3191" t="s">
        <v>3031</v>
      </c>
      <c r="H2" s="3191">
        <f>ROUND(F2/E2,2)</f>
        <v>3.2</v>
      </c>
      <c r="I2" s="3191" t="s">
        <v>3032</v>
      </c>
      <c r="J2" s="3191" t="s">
        <v>3033</v>
      </c>
      <c r="K2" s="3191">
        <v>157700</v>
      </c>
      <c r="L2" s="3191">
        <v>157700</v>
      </c>
      <c r="M2" s="3191">
        <v>12002.67</v>
      </c>
      <c r="N2" s="3191">
        <f>ROUND(K2/F2*10000,0)</f>
        <v>12003</v>
      </c>
      <c r="O2" s="3191">
        <v>0</v>
      </c>
      <c r="P2" s="3191" t="s">
        <v>3034</v>
      </c>
      <c r="Q2" s="3191" t="s">
        <v>3035</v>
      </c>
    </row>
    <row r="3" spans="1:17" ht="24">
      <c r="A3" s="3193">
        <v>2</v>
      </c>
      <c r="B3" s="3191" t="s">
        <v>3036</v>
      </c>
      <c r="C3" s="3191" t="s">
        <v>3029</v>
      </c>
      <c r="D3" s="3191" t="s">
        <v>3030</v>
      </c>
      <c r="E3" s="3191">
        <v>31509.14</v>
      </c>
      <c r="F3" s="3191">
        <v>100829.2</v>
      </c>
      <c r="G3" s="3191" t="s">
        <v>3149</v>
      </c>
      <c r="H3" s="3191">
        <f t="shared" ref="H3:H44" si="0">ROUND(F3/E3,2)</f>
        <v>3.2</v>
      </c>
      <c r="I3" s="3191" t="s">
        <v>3032</v>
      </c>
      <c r="J3" s="3191" t="s">
        <v>3033</v>
      </c>
      <c r="K3" s="3191">
        <v>121000</v>
      </c>
      <c r="L3" s="3191">
        <v>121000</v>
      </c>
      <c r="M3" s="3191">
        <v>12000.48</v>
      </c>
      <c r="N3" s="3191">
        <f t="shared" ref="N3:N44" si="1">ROUND(K3/F3*10000,0)</f>
        <v>12000</v>
      </c>
      <c r="O3" s="3191">
        <v>0</v>
      </c>
      <c r="P3" s="3191" t="s">
        <v>3037</v>
      </c>
      <c r="Q3" s="3191" t="s">
        <v>3035</v>
      </c>
    </row>
    <row r="4" spans="1:17" ht="24">
      <c r="A4" s="3193">
        <v>3</v>
      </c>
      <c r="B4" s="3191" t="s">
        <v>3038</v>
      </c>
      <c r="C4" s="3191" t="s">
        <v>3029</v>
      </c>
      <c r="D4" s="3191" t="s">
        <v>3030</v>
      </c>
      <c r="E4" s="3191">
        <v>49917.62</v>
      </c>
      <c r="F4" s="3191">
        <v>159736.4</v>
      </c>
      <c r="G4" s="3191" t="s">
        <v>3031</v>
      </c>
      <c r="H4" s="3191">
        <f t="shared" si="0"/>
        <v>3.2</v>
      </c>
      <c r="I4" s="3191" t="s">
        <v>3032</v>
      </c>
      <c r="J4" s="3191" t="s">
        <v>3033</v>
      </c>
      <c r="K4" s="3191">
        <v>191700</v>
      </c>
      <c r="L4" s="3191">
        <v>191700</v>
      </c>
      <c r="M4" s="3191">
        <v>12001.02</v>
      </c>
      <c r="N4" s="3191">
        <f t="shared" si="1"/>
        <v>12001</v>
      </c>
      <c r="O4" s="3191">
        <v>0</v>
      </c>
      <c r="P4" s="3191" t="s">
        <v>3034</v>
      </c>
      <c r="Q4" s="3191" t="s">
        <v>3035</v>
      </c>
    </row>
    <row r="5" spans="1:17" ht="24">
      <c r="A5" s="3193">
        <v>4</v>
      </c>
      <c r="B5" s="3191" t="s">
        <v>3039</v>
      </c>
      <c r="C5" s="3191" t="s">
        <v>3029</v>
      </c>
      <c r="D5" s="3191" t="s">
        <v>3040</v>
      </c>
      <c r="E5" s="3191">
        <v>14276.82</v>
      </c>
      <c r="F5" s="3191">
        <v>99938</v>
      </c>
      <c r="G5" s="3191" t="s">
        <v>3041</v>
      </c>
      <c r="H5" s="3191">
        <f t="shared" si="0"/>
        <v>7</v>
      </c>
      <c r="I5" s="3191" t="s">
        <v>3032</v>
      </c>
      <c r="J5" s="3191" t="s">
        <v>3042</v>
      </c>
      <c r="K5" s="3191">
        <v>86500</v>
      </c>
      <c r="L5" s="3191">
        <v>86500</v>
      </c>
      <c r="M5" s="3191">
        <v>8655.3700000000008</v>
      </c>
      <c r="N5" s="3191">
        <f t="shared" si="1"/>
        <v>8655</v>
      </c>
      <c r="O5" s="3191">
        <v>0</v>
      </c>
      <c r="P5" s="3191" t="s">
        <v>3043</v>
      </c>
      <c r="Q5" s="3191" t="s">
        <v>3035</v>
      </c>
    </row>
    <row r="6" spans="1:17" ht="24">
      <c r="A6" s="3193">
        <v>5</v>
      </c>
      <c r="B6" s="3191" t="s">
        <v>3044</v>
      </c>
      <c r="C6" s="3191" t="s">
        <v>3029</v>
      </c>
      <c r="D6" s="3191" t="s">
        <v>3040</v>
      </c>
      <c r="E6" s="3191">
        <v>50646.5</v>
      </c>
      <c r="F6" s="3191">
        <v>303879</v>
      </c>
      <c r="G6" s="3191" t="s">
        <v>3045</v>
      </c>
      <c r="H6" s="3191">
        <f t="shared" si="0"/>
        <v>6</v>
      </c>
      <c r="I6" s="3191" t="s">
        <v>3032</v>
      </c>
      <c r="J6" s="3191" t="s">
        <v>3042</v>
      </c>
      <c r="K6" s="3191">
        <v>162730</v>
      </c>
      <c r="L6" s="3191">
        <v>162730</v>
      </c>
      <c r="M6" s="3191">
        <v>5355.09</v>
      </c>
      <c r="N6" s="3191">
        <f t="shared" si="1"/>
        <v>5355</v>
      </c>
      <c r="O6" s="3191">
        <v>0</v>
      </c>
      <c r="P6" s="3191" t="s">
        <v>3046</v>
      </c>
      <c r="Q6" s="3191" t="s">
        <v>3035</v>
      </c>
    </row>
    <row r="7" spans="1:17" ht="24">
      <c r="A7" s="3193">
        <v>6</v>
      </c>
      <c r="B7" s="3191" t="s">
        <v>3047</v>
      </c>
      <c r="C7" s="3191" t="s">
        <v>3029</v>
      </c>
      <c r="D7" s="3191" t="s">
        <v>3030</v>
      </c>
      <c r="E7" s="3191">
        <v>42695.43</v>
      </c>
      <c r="F7" s="3191">
        <v>111008.1</v>
      </c>
      <c r="G7" s="3191" t="s">
        <v>3048</v>
      </c>
      <c r="H7" s="3191">
        <f t="shared" si="0"/>
        <v>2.6</v>
      </c>
      <c r="I7" s="3191" t="s">
        <v>3032</v>
      </c>
      <c r="J7" s="3191" t="s">
        <v>3049</v>
      </c>
      <c r="K7" s="3191">
        <v>134800</v>
      </c>
      <c r="L7" s="3191">
        <v>136800</v>
      </c>
      <c r="M7" s="3191">
        <v>12323.43</v>
      </c>
      <c r="N7" s="3191">
        <f t="shared" si="1"/>
        <v>12143</v>
      </c>
      <c r="O7" s="3191">
        <v>1.48</v>
      </c>
      <c r="P7" s="3191" t="s">
        <v>3050</v>
      </c>
      <c r="Q7" s="3191" t="s">
        <v>3035</v>
      </c>
    </row>
    <row r="8" spans="1:17" ht="24">
      <c r="A8" s="3193">
        <v>7</v>
      </c>
      <c r="B8" s="3191" t="s">
        <v>3051</v>
      </c>
      <c r="C8" s="3191" t="s">
        <v>3029</v>
      </c>
      <c r="D8" s="3191" t="s">
        <v>3030</v>
      </c>
      <c r="E8" s="3191">
        <v>36679</v>
      </c>
      <c r="F8" s="3191">
        <v>143076.5</v>
      </c>
      <c r="G8" s="3191" t="s">
        <v>3052</v>
      </c>
      <c r="H8" s="3191">
        <f t="shared" si="0"/>
        <v>3.9</v>
      </c>
      <c r="I8" s="3191" t="s">
        <v>3032</v>
      </c>
      <c r="J8" s="3191" t="s">
        <v>3049</v>
      </c>
      <c r="K8" s="3191">
        <v>107400</v>
      </c>
      <c r="L8" s="3191">
        <v>107400</v>
      </c>
      <c r="M8" s="3191">
        <v>7506.47</v>
      </c>
      <c r="N8" s="3191">
        <f t="shared" si="1"/>
        <v>7506</v>
      </c>
      <c r="O8" s="3191">
        <v>0</v>
      </c>
      <c r="P8" s="3191" t="s">
        <v>3053</v>
      </c>
      <c r="Q8" s="3191" t="s">
        <v>3035</v>
      </c>
    </row>
    <row r="9" spans="1:17" ht="24">
      <c r="A9" s="3193">
        <v>8</v>
      </c>
      <c r="B9" s="3191" t="s">
        <v>3054</v>
      </c>
      <c r="C9" s="3191" t="s">
        <v>3029</v>
      </c>
      <c r="D9" s="3191" t="s">
        <v>3030</v>
      </c>
      <c r="E9" s="3191">
        <v>16208.5</v>
      </c>
      <c r="F9" s="3191">
        <v>42142.1</v>
      </c>
      <c r="G9" s="3191" t="s">
        <v>3048</v>
      </c>
      <c r="H9" s="3191">
        <f t="shared" si="0"/>
        <v>2.6</v>
      </c>
      <c r="I9" s="3191" t="s">
        <v>3032</v>
      </c>
      <c r="J9" s="3191" t="s">
        <v>3055</v>
      </c>
      <c r="K9" s="3191">
        <v>50570</v>
      </c>
      <c r="L9" s="3191">
        <v>51570</v>
      </c>
      <c r="M9" s="3191">
        <v>12237.17</v>
      </c>
      <c r="N9" s="3191">
        <f t="shared" si="1"/>
        <v>12000</v>
      </c>
      <c r="O9" s="3191">
        <v>1.98</v>
      </c>
      <c r="P9" s="3191" t="s">
        <v>3056</v>
      </c>
      <c r="Q9" s="3191" t="s">
        <v>3035</v>
      </c>
    </row>
    <row r="10" spans="1:17" ht="24">
      <c r="A10" s="3193">
        <v>9</v>
      </c>
      <c r="B10" s="3191" t="s">
        <v>3057</v>
      </c>
      <c r="C10" s="3191" t="s">
        <v>3029</v>
      </c>
      <c r="D10" s="3191" t="s">
        <v>3030</v>
      </c>
      <c r="E10" s="3191">
        <v>31027.87</v>
      </c>
      <c r="F10" s="3191">
        <v>83775</v>
      </c>
      <c r="G10" s="3191" t="s">
        <v>3058</v>
      </c>
      <c r="H10" s="3191">
        <f t="shared" si="0"/>
        <v>2.7</v>
      </c>
      <c r="I10" s="3191" t="s">
        <v>3032</v>
      </c>
      <c r="J10" s="3191" t="s">
        <v>3059</v>
      </c>
      <c r="K10" s="3191">
        <v>92400</v>
      </c>
      <c r="L10" s="3191">
        <v>92900</v>
      </c>
      <c r="M10" s="3191">
        <v>11089.22</v>
      </c>
      <c r="N10" s="3191">
        <f t="shared" si="1"/>
        <v>11030</v>
      </c>
      <c r="O10" s="3191">
        <v>0.54</v>
      </c>
      <c r="P10" s="3191" t="s">
        <v>3060</v>
      </c>
      <c r="Q10" s="3191" t="s">
        <v>3035</v>
      </c>
    </row>
    <row r="11" spans="1:17" ht="24">
      <c r="A11" s="3193">
        <v>10</v>
      </c>
      <c r="B11" s="3191" t="s">
        <v>3061</v>
      </c>
      <c r="C11" s="3191" t="s">
        <v>3029</v>
      </c>
      <c r="D11" s="3191" t="s">
        <v>3030</v>
      </c>
      <c r="E11" s="3191">
        <v>24799.5</v>
      </c>
      <c r="F11" s="3191">
        <v>74398.5</v>
      </c>
      <c r="G11" s="3191" t="s">
        <v>3062</v>
      </c>
      <c r="H11" s="3191">
        <f t="shared" si="0"/>
        <v>3</v>
      </c>
      <c r="I11" s="3191" t="s">
        <v>3032</v>
      </c>
      <c r="J11" s="3191" t="s">
        <v>3059</v>
      </c>
      <c r="K11" s="3191">
        <v>92300</v>
      </c>
      <c r="L11" s="3191">
        <v>101300</v>
      </c>
      <c r="M11" s="3191">
        <v>13615.87</v>
      </c>
      <c r="N11" s="3191">
        <f t="shared" si="1"/>
        <v>12406</v>
      </c>
      <c r="O11" s="3191">
        <v>9.75</v>
      </c>
      <c r="P11" s="3191" t="s">
        <v>3063</v>
      </c>
      <c r="Q11" s="3191" t="s">
        <v>3035</v>
      </c>
    </row>
    <row r="12" spans="1:17" ht="24">
      <c r="A12" s="3193">
        <v>11</v>
      </c>
      <c r="B12" s="3191" t="s">
        <v>3064</v>
      </c>
      <c r="C12" s="3191" t="s">
        <v>3029</v>
      </c>
      <c r="D12" s="3191" t="s">
        <v>3030</v>
      </c>
      <c r="E12" s="3191">
        <v>26030.39</v>
      </c>
      <c r="F12" s="3191">
        <v>78091</v>
      </c>
      <c r="G12" s="3191" t="s">
        <v>3062</v>
      </c>
      <c r="H12" s="3191">
        <f t="shared" si="0"/>
        <v>3</v>
      </c>
      <c r="I12" s="3191" t="s">
        <v>3032</v>
      </c>
      <c r="J12" s="3191" t="s">
        <v>3059</v>
      </c>
      <c r="K12" s="3191">
        <v>86100</v>
      </c>
      <c r="L12" s="3191">
        <v>86600</v>
      </c>
      <c r="M12" s="3191">
        <v>11089.62</v>
      </c>
      <c r="N12" s="3191">
        <f t="shared" si="1"/>
        <v>11026</v>
      </c>
      <c r="O12" s="3191">
        <v>0.57999999999999996</v>
      </c>
      <c r="P12" s="3191" t="s">
        <v>3065</v>
      </c>
      <c r="Q12" s="3191" t="s">
        <v>3035</v>
      </c>
    </row>
    <row r="13" spans="1:17" s="3200" customFormat="1" ht="24">
      <c r="A13" s="3200">
        <v>12</v>
      </c>
      <c r="B13" s="3201" t="s">
        <v>3066</v>
      </c>
      <c r="C13" s="3201" t="s">
        <v>3029</v>
      </c>
      <c r="D13" s="3201" t="s">
        <v>3030</v>
      </c>
      <c r="E13" s="3201">
        <v>25124.5</v>
      </c>
      <c r="F13" s="3201">
        <v>75373.5</v>
      </c>
      <c r="G13" s="3201" t="s">
        <v>3062</v>
      </c>
      <c r="H13" s="3201">
        <f t="shared" si="0"/>
        <v>3</v>
      </c>
      <c r="I13" s="3201" t="s">
        <v>3032</v>
      </c>
      <c r="J13" s="3201" t="s">
        <v>3059</v>
      </c>
      <c r="K13" s="3201">
        <v>93520</v>
      </c>
      <c r="L13" s="3201">
        <v>104020</v>
      </c>
      <c r="M13" s="3201">
        <v>13800.61</v>
      </c>
      <c r="N13" s="3201">
        <f t="shared" si="1"/>
        <v>12408</v>
      </c>
      <c r="O13" s="3201">
        <v>11.23</v>
      </c>
      <c r="P13" s="3201" t="s">
        <v>3063</v>
      </c>
      <c r="Q13" s="3201" t="s">
        <v>3035</v>
      </c>
    </row>
    <row r="14" spans="1:17" ht="24">
      <c r="A14" s="3193">
        <v>13</v>
      </c>
      <c r="B14" s="3191" t="s">
        <v>3067</v>
      </c>
      <c r="C14" s="3191" t="s">
        <v>3029</v>
      </c>
      <c r="D14" s="3191" t="s">
        <v>3030</v>
      </c>
      <c r="E14" s="3191">
        <v>20742.8</v>
      </c>
      <c r="F14" s="3191">
        <v>51857</v>
      </c>
      <c r="G14" s="3191" t="s">
        <v>3068</v>
      </c>
      <c r="H14" s="3191">
        <f t="shared" si="0"/>
        <v>2.5</v>
      </c>
      <c r="I14" s="3191" t="s">
        <v>3032</v>
      </c>
      <c r="J14" s="3191" t="s">
        <v>3069</v>
      </c>
      <c r="K14" s="3191">
        <v>41500</v>
      </c>
      <c r="L14" s="3191">
        <v>42000</v>
      </c>
      <c r="M14" s="3191">
        <v>8099.19</v>
      </c>
      <c r="N14" s="3191">
        <f t="shared" si="1"/>
        <v>8003</v>
      </c>
      <c r="O14" s="3191">
        <v>1.2</v>
      </c>
      <c r="P14" s="3191" t="s">
        <v>3070</v>
      </c>
      <c r="Q14" s="3191" t="s">
        <v>3035</v>
      </c>
    </row>
    <row r="15" spans="1:17" ht="24">
      <c r="A15" s="3193">
        <v>14</v>
      </c>
      <c r="B15" s="3191" t="s">
        <v>3071</v>
      </c>
      <c r="C15" s="3191" t="s">
        <v>3029</v>
      </c>
      <c r="D15" s="3191" t="s">
        <v>3030</v>
      </c>
      <c r="E15" s="3191">
        <v>36905.599999999999</v>
      </c>
      <c r="F15" s="3191">
        <v>110716.8</v>
      </c>
      <c r="G15" s="3191" t="s">
        <v>3062</v>
      </c>
      <c r="H15" s="3191">
        <f t="shared" si="0"/>
        <v>3</v>
      </c>
      <c r="I15" s="3191" t="s">
        <v>3032</v>
      </c>
      <c r="J15" s="3191" t="s">
        <v>3072</v>
      </c>
      <c r="K15" s="3191">
        <v>137300</v>
      </c>
      <c r="L15" s="3191">
        <v>140300</v>
      </c>
      <c r="M15" s="3191">
        <v>12671.96</v>
      </c>
      <c r="N15" s="3191">
        <f t="shared" si="1"/>
        <v>12401</v>
      </c>
      <c r="O15" s="3191">
        <v>2.1800000000000002</v>
      </c>
      <c r="P15" s="3191" t="s">
        <v>3073</v>
      </c>
      <c r="Q15" s="3191" t="s">
        <v>3035</v>
      </c>
    </row>
    <row r="16" spans="1:17" ht="24">
      <c r="A16" s="3193">
        <v>15</v>
      </c>
      <c r="B16" s="3191" t="s">
        <v>3074</v>
      </c>
      <c r="C16" s="3191" t="s">
        <v>3029</v>
      </c>
      <c r="D16" s="3191" t="s">
        <v>3030</v>
      </c>
      <c r="E16" s="3191">
        <v>85335.72</v>
      </c>
      <c r="F16" s="3191">
        <v>256007</v>
      </c>
      <c r="G16" s="3191" t="s">
        <v>3062</v>
      </c>
      <c r="H16" s="3191">
        <f t="shared" si="0"/>
        <v>3</v>
      </c>
      <c r="I16" s="3191" t="s">
        <v>3032</v>
      </c>
      <c r="J16" s="3191" t="s">
        <v>3075</v>
      </c>
      <c r="K16" s="3191">
        <v>317800</v>
      </c>
      <c r="L16" s="3191">
        <v>321800</v>
      </c>
      <c r="M16" s="3191">
        <v>12569.96</v>
      </c>
      <c r="N16" s="3191">
        <f t="shared" si="1"/>
        <v>12414</v>
      </c>
      <c r="O16" s="3191">
        <v>1.26</v>
      </c>
      <c r="P16" s="3191" t="s">
        <v>3076</v>
      </c>
      <c r="Q16" s="3191" t="s">
        <v>3035</v>
      </c>
    </row>
    <row r="17" spans="1:18" ht="24">
      <c r="A17" s="3193">
        <v>16</v>
      </c>
      <c r="B17" s="3191" t="s">
        <v>3077</v>
      </c>
      <c r="C17" s="3191" t="s">
        <v>3029</v>
      </c>
      <c r="D17" s="3191" t="s">
        <v>3030</v>
      </c>
      <c r="E17" s="3191">
        <v>133319.1</v>
      </c>
      <c r="F17" s="3191">
        <v>399957</v>
      </c>
      <c r="G17" s="3191" t="s">
        <v>3062</v>
      </c>
      <c r="H17" s="3191">
        <f t="shared" si="0"/>
        <v>3</v>
      </c>
      <c r="I17" s="3191" t="s">
        <v>3032</v>
      </c>
      <c r="J17" s="3191" t="s">
        <v>3075</v>
      </c>
      <c r="K17" s="3191">
        <v>496500</v>
      </c>
      <c r="L17" s="3191">
        <v>499500</v>
      </c>
      <c r="M17" s="3191">
        <v>12488.84</v>
      </c>
      <c r="N17" s="3191">
        <f t="shared" si="1"/>
        <v>12414</v>
      </c>
      <c r="O17" s="3191">
        <v>0.6</v>
      </c>
      <c r="P17" s="3191" t="s">
        <v>3078</v>
      </c>
      <c r="Q17" s="3191" t="s">
        <v>3035</v>
      </c>
    </row>
    <row r="18" spans="1:18" ht="24">
      <c r="A18" s="3193">
        <v>17</v>
      </c>
      <c r="B18" s="3191" t="s">
        <v>3163</v>
      </c>
      <c r="C18" s="3191" t="s">
        <v>3029</v>
      </c>
      <c r="D18" s="3191" t="s">
        <v>3030</v>
      </c>
      <c r="E18" s="3191">
        <v>40049.4</v>
      </c>
      <c r="F18" s="3191">
        <v>100123.5</v>
      </c>
      <c r="G18" s="3191" t="s">
        <v>3068</v>
      </c>
      <c r="H18" s="3191">
        <f t="shared" si="0"/>
        <v>2.5</v>
      </c>
      <c r="I18" s="3191" t="s">
        <v>3032</v>
      </c>
      <c r="J18" s="3191" t="s">
        <v>3075</v>
      </c>
      <c r="K18" s="3191">
        <v>103600</v>
      </c>
      <c r="L18" s="3191">
        <v>133600</v>
      </c>
      <c r="M18" s="3191">
        <v>13343.52</v>
      </c>
      <c r="N18" s="3191">
        <f t="shared" si="1"/>
        <v>10347</v>
      </c>
      <c r="O18" s="3191">
        <v>28.96</v>
      </c>
      <c r="P18" s="3191" t="s">
        <v>3079</v>
      </c>
      <c r="Q18" s="3191" t="s">
        <v>3035</v>
      </c>
    </row>
    <row r="19" spans="1:18" ht="24">
      <c r="A19" s="3193">
        <v>18</v>
      </c>
      <c r="B19" s="3191" t="s">
        <v>3162</v>
      </c>
      <c r="C19" s="3191" t="s">
        <v>3029</v>
      </c>
      <c r="D19" s="3191" t="s">
        <v>3030</v>
      </c>
      <c r="E19" s="3191">
        <v>35506.5</v>
      </c>
      <c r="F19" s="3191">
        <v>99418.2</v>
      </c>
      <c r="G19" s="3191" t="s">
        <v>3080</v>
      </c>
      <c r="H19" s="3191">
        <f t="shared" si="0"/>
        <v>2.8</v>
      </c>
      <c r="I19" s="3191" t="s">
        <v>3032</v>
      </c>
      <c r="J19" s="3191" t="s">
        <v>3075</v>
      </c>
      <c r="K19" s="3191">
        <v>102800</v>
      </c>
      <c r="L19" s="3191">
        <v>149100</v>
      </c>
      <c r="M19" s="3191">
        <v>14997.25</v>
      </c>
      <c r="N19" s="3191">
        <f t="shared" si="1"/>
        <v>10340</v>
      </c>
      <c r="O19" s="3191">
        <v>45.04</v>
      </c>
      <c r="P19" s="3191" t="s">
        <v>3081</v>
      </c>
      <c r="Q19" s="3191" t="s">
        <v>3035</v>
      </c>
    </row>
    <row r="20" spans="1:18" ht="62.25" customHeight="1">
      <c r="A20" s="3193">
        <v>19</v>
      </c>
      <c r="B20" s="3191" t="s">
        <v>3082</v>
      </c>
      <c r="C20" s="3191" t="s">
        <v>3029</v>
      </c>
      <c r="D20" s="3191" t="s">
        <v>3030</v>
      </c>
      <c r="E20" s="3191">
        <v>101047.7</v>
      </c>
      <c r="F20" s="3191">
        <v>246320</v>
      </c>
      <c r="G20" s="3191" t="s">
        <v>3083</v>
      </c>
      <c r="H20" s="3191">
        <f t="shared" si="0"/>
        <v>2.44</v>
      </c>
      <c r="I20" s="3191" t="s">
        <v>3032</v>
      </c>
      <c r="J20" s="3191" t="s">
        <v>3084</v>
      </c>
      <c r="K20" s="3191">
        <v>206200</v>
      </c>
      <c r="L20" s="3191">
        <v>206200</v>
      </c>
      <c r="M20" s="3191">
        <v>8371.2099999999991</v>
      </c>
      <c r="N20" s="3191">
        <f t="shared" si="1"/>
        <v>8371</v>
      </c>
      <c r="O20" s="3191">
        <v>0</v>
      </c>
      <c r="P20" s="3191" t="s">
        <v>3085</v>
      </c>
      <c r="Q20" s="3191" t="s">
        <v>3035</v>
      </c>
    </row>
    <row r="21" spans="1:18" ht="71.25" customHeight="1">
      <c r="A21" s="3193">
        <v>20</v>
      </c>
      <c r="B21" s="3191" t="s">
        <v>3086</v>
      </c>
      <c r="C21" s="3191" t="s">
        <v>3029</v>
      </c>
      <c r="D21" s="3191" t="s">
        <v>3040</v>
      </c>
      <c r="E21" s="3191">
        <v>92441.600000000006</v>
      </c>
      <c r="F21" s="3191">
        <v>254586</v>
      </c>
      <c r="G21" s="3191" t="s">
        <v>3087</v>
      </c>
      <c r="H21" s="3191">
        <f t="shared" si="0"/>
        <v>2.75</v>
      </c>
      <c r="I21" s="3191" t="s">
        <v>3032</v>
      </c>
      <c r="J21" s="3191" t="s">
        <v>3088</v>
      </c>
      <c r="K21" s="3191">
        <v>223800</v>
      </c>
      <c r="L21" s="3191">
        <v>223800</v>
      </c>
      <c r="M21" s="3191">
        <v>8790.73</v>
      </c>
      <c r="N21" s="3191">
        <f t="shared" si="1"/>
        <v>8791</v>
      </c>
      <c r="O21" s="3191">
        <v>0</v>
      </c>
      <c r="P21" s="3191" t="s">
        <v>3085</v>
      </c>
      <c r="Q21" s="3191" t="s">
        <v>3035</v>
      </c>
    </row>
    <row r="22" spans="1:18" ht="79.5" customHeight="1">
      <c r="A22" s="3193">
        <v>21</v>
      </c>
      <c r="B22" s="3191" t="s">
        <v>3089</v>
      </c>
      <c r="C22" s="3191" t="s">
        <v>3029</v>
      </c>
      <c r="D22" s="3191" t="s">
        <v>3040</v>
      </c>
      <c r="E22" s="3191">
        <v>83156.2</v>
      </c>
      <c r="F22" s="3191">
        <v>201519</v>
      </c>
      <c r="G22" s="3191" t="s">
        <v>3090</v>
      </c>
      <c r="H22" s="3191">
        <f t="shared" si="0"/>
        <v>2.42</v>
      </c>
      <c r="I22" s="3191" t="s">
        <v>3032</v>
      </c>
      <c r="J22" s="3191" t="s">
        <v>3088</v>
      </c>
      <c r="K22" s="3191">
        <v>167200</v>
      </c>
      <c r="L22" s="3191">
        <v>167200</v>
      </c>
      <c r="M22" s="3191">
        <v>8296.9699999999993</v>
      </c>
      <c r="N22" s="3191">
        <f t="shared" si="1"/>
        <v>8297</v>
      </c>
      <c r="O22" s="3191">
        <v>0</v>
      </c>
      <c r="P22" s="3191" t="s">
        <v>3085</v>
      </c>
      <c r="Q22" s="3191" t="s">
        <v>3035</v>
      </c>
    </row>
    <row r="23" spans="1:18" s="3198" customFormat="1" ht="24">
      <c r="A23" s="3198">
        <v>22</v>
      </c>
      <c r="B23" s="3199" t="s">
        <v>3091</v>
      </c>
      <c r="C23" s="3199" t="s">
        <v>3029</v>
      </c>
      <c r="D23" s="3199" t="s">
        <v>3040</v>
      </c>
      <c r="E23" s="3199">
        <v>323348.3</v>
      </c>
      <c r="F23" s="3199">
        <v>877011</v>
      </c>
      <c r="G23" s="3199" t="s">
        <v>3092</v>
      </c>
      <c r="H23" s="3199">
        <f>ROUND(F23/E23,2)</f>
        <v>2.71</v>
      </c>
      <c r="I23" s="3199" t="s">
        <v>3032</v>
      </c>
      <c r="J23" s="3199" t="s">
        <v>3093</v>
      </c>
      <c r="K23" s="3199">
        <v>1315517</v>
      </c>
      <c r="L23" s="3199">
        <v>1315517</v>
      </c>
      <c r="M23" s="3199">
        <v>15000</v>
      </c>
      <c r="N23" s="3199">
        <f t="shared" si="1"/>
        <v>15000</v>
      </c>
      <c r="O23" s="3199">
        <v>0</v>
      </c>
      <c r="P23" s="3199" t="s">
        <v>3094</v>
      </c>
      <c r="Q23" s="3199" t="s">
        <v>3035</v>
      </c>
    </row>
    <row r="24" spans="1:18" s="3196" customFormat="1" ht="24" hidden="1">
      <c r="A24" s="3196">
        <v>23</v>
      </c>
      <c r="B24" s="3197" t="s">
        <v>3095</v>
      </c>
      <c r="C24" s="3197" t="s">
        <v>3029</v>
      </c>
      <c r="D24" s="3197" t="s">
        <v>3040</v>
      </c>
      <c r="E24" s="3197">
        <v>15504</v>
      </c>
      <c r="F24" s="3197">
        <v>105428</v>
      </c>
      <c r="G24" s="3197" t="s">
        <v>3096</v>
      </c>
      <c r="H24" s="3197">
        <f t="shared" si="0"/>
        <v>6.8</v>
      </c>
      <c r="I24" s="3197" t="s">
        <v>3032</v>
      </c>
      <c r="J24" s="3197" t="s">
        <v>3097</v>
      </c>
      <c r="K24" s="3197">
        <v>62100</v>
      </c>
      <c r="L24" s="3197">
        <v>62100</v>
      </c>
      <c r="M24" s="3197">
        <v>5890.27</v>
      </c>
      <c r="N24" s="3197">
        <f t="shared" si="1"/>
        <v>5890</v>
      </c>
      <c r="O24" s="3197">
        <v>0</v>
      </c>
      <c r="P24" s="3197" t="s">
        <v>3098</v>
      </c>
      <c r="Q24" s="3197" t="s">
        <v>3035</v>
      </c>
    </row>
    <row r="25" spans="1:18" s="3196" customFormat="1" ht="24" hidden="1">
      <c r="A25" s="3196">
        <v>24</v>
      </c>
      <c r="B25" s="3197" t="s">
        <v>3099</v>
      </c>
      <c r="C25" s="3197" t="s">
        <v>3029</v>
      </c>
      <c r="D25" s="3197" t="s">
        <v>3040</v>
      </c>
      <c r="E25" s="3197">
        <v>35245.19</v>
      </c>
      <c r="F25" s="3197">
        <v>250000</v>
      </c>
      <c r="G25" s="3197" t="s">
        <v>3100</v>
      </c>
      <c r="H25" s="3197">
        <f t="shared" si="0"/>
        <v>7.09</v>
      </c>
      <c r="I25" s="3197" t="s">
        <v>3032</v>
      </c>
      <c r="J25" s="3197" t="s">
        <v>3101</v>
      </c>
      <c r="K25" s="3197">
        <v>208500</v>
      </c>
      <c r="L25" s="3197">
        <v>208500</v>
      </c>
      <c r="M25" s="3197">
        <v>8340</v>
      </c>
      <c r="N25" s="3197">
        <f t="shared" si="1"/>
        <v>8340</v>
      </c>
      <c r="O25" s="3197">
        <v>0</v>
      </c>
      <c r="P25" s="3197" t="s">
        <v>3102</v>
      </c>
      <c r="Q25" s="3197" t="s">
        <v>3035</v>
      </c>
    </row>
    <row r="26" spans="1:18" ht="24" hidden="1">
      <c r="A26" s="3193">
        <v>25</v>
      </c>
      <c r="B26" s="3191" t="s">
        <v>3103</v>
      </c>
      <c r="C26" s="3191" t="s">
        <v>3029</v>
      </c>
      <c r="D26" s="3191" t="s">
        <v>3040</v>
      </c>
      <c r="E26" s="3191">
        <v>19453.830000000002</v>
      </c>
      <c r="F26" s="3191">
        <v>159521</v>
      </c>
      <c r="G26" s="3191" t="s">
        <v>3104</v>
      </c>
      <c r="H26" s="3191">
        <f t="shared" si="0"/>
        <v>8.1999999999999993</v>
      </c>
      <c r="I26" s="3191" t="s">
        <v>3032</v>
      </c>
      <c r="J26" s="3191" t="s">
        <v>3105</v>
      </c>
      <c r="K26" s="3191">
        <v>133000</v>
      </c>
      <c r="L26" s="3191">
        <v>133000</v>
      </c>
      <c r="M26" s="3191">
        <v>8337.4500000000007</v>
      </c>
      <c r="N26" s="3191">
        <f t="shared" si="1"/>
        <v>8337</v>
      </c>
      <c r="O26" s="3191">
        <v>0</v>
      </c>
      <c r="P26" s="3191" t="s">
        <v>3106</v>
      </c>
      <c r="Q26" s="3191" t="s">
        <v>3035</v>
      </c>
    </row>
    <row r="27" spans="1:18" ht="24" hidden="1">
      <c r="A27" s="3193">
        <v>26</v>
      </c>
      <c r="B27" s="3191" t="s">
        <v>3107</v>
      </c>
      <c r="C27" s="3191" t="s">
        <v>3029</v>
      </c>
      <c r="D27" s="3191" t="s">
        <v>3040</v>
      </c>
      <c r="E27" s="3191">
        <v>43268.92</v>
      </c>
      <c r="F27" s="3191">
        <v>302883</v>
      </c>
      <c r="G27" s="3191" t="s">
        <v>3041</v>
      </c>
      <c r="H27" s="3191">
        <f t="shared" si="0"/>
        <v>7</v>
      </c>
      <c r="I27" s="3191" t="s">
        <v>3032</v>
      </c>
      <c r="J27" s="3191" t="s">
        <v>3105</v>
      </c>
      <c r="K27" s="3191">
        <v>252600</v>
      </c>
      <c r="L27" s="3191">
        <v>252600</v>
      </c>
      <c r="M27" s="3191">
        <v>8339.85</v>
      </c>
      <c r="N27" s="3191">
        <f t="shared" si="1"/>
        <v>8340</v>
      </c>
      <c r="O27" s="3191">
        <v>0</v>
      </c>
      <c r="P27" s="3191" t="s">
        <v>3108</v>
      </c>
      <c r="Q27" s="3191" t="s">
        <v>3035</v>
      </c>
    </row>
    <row r="28" spans="1:18" ht="24" hidden="1">
      <c r="A28" s="3193">
        <v>27</v>
      </c>
      <c r="B28" s="3191" t="s">
        <v>3109</v>
      </c>
      <c r="C28" s="3191" t="s">
        <v>3029</v>
      </c>
      <c r="D28" s="3191" t="s">
        <v>3030</v>
      </c>
      <c r="E28" s="3191">
        <v>54133.5</v>
      </c>
      <c r="F28" s="3191">
        <v>194880.6</v>
      </c>
      <c r="G28" s="3191" t="s">
        <v>3110</v>
      </c>
      <c r="H28" s="3191">
        <f t="shared" si="0"/>
        <v>3.6</v>
      </c>
      <c r="I28" s="3191" t="s">
        <v>3032</v>
      </c>
      <c r="J28" s="3191" t="s">
        <v>3111</v>
      </c>
      <c r="K28" s="3191">
        <v>53900</v>
      </c>
      <c r="L28" s="3191">
        <v>53900</v>
      </c>
      <c r="M28" s="3191">
        <v>2765.8</v>
      </c>
      <c r="N28" s="3191">
        <f t="shared" si="1"/>
        <v>2766</v>
      </c>
      <c r="O28" s="3191">
        <v>0</v>
      </c>
      <c r="P28" s="3191" t="s">
        <v>3053</v>
      </c>
      <c r="Q28" s="3191" t="s">
        <v>3035</v>
      </c>
    </row>
    <row r="29" spans="1:18" s="3196" customFormat="1" ht="24" hidden="1">
      <c r="A29" s="3196">
        <v>28</v>
      </c>
      <c r="B29" s="3197" t="s">
        <v>3112</v>
      </c>
      <c r="C29" s="3197" t="s">
        <v>3029</v>
      </c>
      <c r="D29" s="3197" t="s">
        <v>3030</v>
      </c>
      <c r="E29" s="3197">
        <v>34260</v>
      </c>
      <c r="F29" s="3197">
        <v>102780</v>
      </c>
      <c r="G29" s="3197" t="s">
        <v>3062</v>
      </c>
      <c r="H29" s="3197">
        <f t="shared" si="0"/>
        <v>3</v>
      </c>
      <c r="I29" s="3197" t="s">
        <v>3032</v>
      </c>
      <c r="J29" s="3197" t="s">
        <v>3113</v>
      </c>
      <c r="K29" s="3197">
        <v>82300</v>
      </c>
      <c r="L29" s="3197">
        <v>82300</v>
      </c>
      <c r="M29" s="3197">
        <v>8007.39</v>
      </c>
      <c r="N29" s="3197">
        <f t="shared" si="1"/>
        <v>8007</v>
      </c>
      <c r="O29" s="3197">
        <v>0</v>
      </c>
      <c r="P29" s="3197" t="s">
        <v>3114</v>
      </c>
      <c r="Q29" s="3197" t="s">
        <v>3035</v>
      </c>
      <c r="R29" s="3196">
        <f>L29/(F29-3600)*10000</f>
        <v>8298.0439604759031</v>
      </c>
    </row>
    <row r="30" spans="1:18" ht="24" hidden="1">
      <c r="A30" s="3193">
        <v>29</v>
      </c>
      <c r="B30" s="3191" t="s">
        <v>3115</v>
      </c>
      <c r="C30" s="3191" t="s">
        <v>3029</v>
      </c>
      <c r="D30" s="3191" t="s">
        <v>3030</v>
      </c>
      <c r="E30" s="3191">
        <v>28001</v>
      </c>
      <c r="F30" s="3191">
        <v>78402.8</v>
      </c>
      <c r="G30" s="3191" t="s">
        <v>3080</v>
      </c>
      <c r="H30" s="3191">
        <f t="shared" si="0"/>
        <v>2.8</v>
      </c>
      <c r="I30" s="3191" t="s">
        <v>3032</v>
      </c>
      <c r="J30" s="3191" t="s">
        <v>3116</v>
      </c>
      <c r="K30" s="3191">
        <v>81100</v>
      </c>
      <c r="L30" s="3191">
        <v>117600</v>
      </c>
      <c r="M30" s="3191">
        <v>14999.45</v>
      </c>
      <c r="N30" s="3191">
        <f t="shared" si="1"/>
        <v>10344</v>
      </c>
      <c r="O30" s="3191">
        <v>45.01</v>
      </c>
      <c r="P30" s="3191" t="s">
        <v>3117</v>
      </c>
      <c r="Q30" s="3191" t="s">
        <v>3035</v>
      </c>
    </row>
    <row r="31" spans="1:18" ht="24" hidden="1">
      <c r="A31" s="3193">
        <v>30</v>
      </c>
      <c r="B31" s="3191" t="s">
        <v>3118</v>
      </c>
      <c r="C31" s="3191" t="s">
        <v>3029</v>
      </c>
      <c r="D31" s="3191" t="s">
        <v>3030</v>
      </c>
      <c r="E31" s="3191">
        <v>3127.5</v>
      </c>
      <c r="F31" s="3191">
        <v>10008</v>
      </c>
      <c r="G31" s="3191" t="s">
        <v>3031</v>
      </c>
      <c r="H31" s="3191">
        <f t="shared" si="0"/>
        <v>3.2</v>
      </c>
      <c r="I31" s="3191" t="s">
        <v>3032</v>
      </c>
      <c r="J31" s="3191" t="s">
        <v>3119</v>
      </c>
      <c r="K31" s="3191">
        <v>11300</v>
      </c>
      <c r="L31" s="3191">
        <v>14000</v>
      </c>
      <c r="M31" s="3191">
        <v>13988.8</v>
      </c>
      <c r="N31" s="3191">
        <f t="shared" si="1"/>
        <v>11291</v>
      </c>
      <c r="O31" s="3191">
        <v>23.89</v>
      </c>
      <c r="P31" s="3191" t="s">
        <v>3120</v>
      </c>
      <c r="Q31" s="3191" t="s">
        <v>3035</v>
      </c>
    </row>
    <row r="32" spans="1:18" s="3195" customFormat="1" ht="24" hidden="1">
      <c r="A32" s="3195">
        <v>31</v>
      </c>
      <c r="B32" s="3194" t="s">
        <v>3121</v>
      </c>
      <c r="C32" s="3194" t="s">
        <v>3029</v>
      </c>
      <c r="D32" s="3194" t="s">
        <v>3030</v>
      </c>
      <c r="E32" s="3194">
        <v>83178</v>
      </c>
      <c r="F32" s="3194">
        <v>300272.59999999998</v>
      </c>
      <c r="G32" s="3194" t="s">
        <v>3122</v>
      </c>
      <c r="H32" s="3194">
        <f t="shared" si="0"/>
        <v>3.61</v>
      </c>
      <c r="I32" s="3194" t="s">
        <v>3032</v>
      </c>
      <c r="J32" s="3194" t="s">
        <v>3119</v>
      </c>
      <c r="K32" s="3194">
        <v>300000</v>
      </c>
      <c r="L32" s="3194">
        <v>435000</v>
      </c>
      <c r="M32" s="3194">
        <v>14486.84</v>
      </c>
      <c r="N32" s="3194">
        <f t="shared" si="1"/>
        <v>9991</v>
      </c>
      <c r="O32" s="3194">
        <v>45</v>
      </c>
      <c r="P32" s="3194" t="s">
        <v>3123</v>
      </c>
      <c r="Q32" s="3194" t="s">
        <v>3035</v>
      </c>
    </row>
    <row r="33" spans="1:17" s="3195" customFormat="1" ht="24" hidden="1">
      <c r="A33" s="3195">
        <v>32</v>
      </c>
      <c r="B33" s="3194" t="s">
        <v>3124</v>
      </c>
      <c r="C33" s="3194" t="s">
        <v>3029</v>
      </c>
      <c r="D33" s="3194" t="s">
        <v>3030</v>
      </c>
      <c r="E33" s="3194">
        <v>118933</v>
      </c>
      <c r="F33" s="3194">
        <v>356799</v>
      </c>
      <c r="G33" s="3194" t="s">
        <v>3062</v>
      </c>
      <c r="H33" s="3194">
        <f t="shared" si="0"/>
        <v>3</v>
      </c>
      <c r="I33" s="3194" t="s">
        <v>3032</v>
      </c>
      <c r="J33" s="3194" t="s">
        <v>3119</v>
      </c>
      <c r="K33" s="3194">
        <v>369100</v>
      </c>
      <c r="L33" s="3194">
        <v>535100</v>
      </c>
      <c r="M33" s="3194">
        <v>14997.23</v>
      </c>
      <c r="N33" s="3194">
        <f t="shared" si="1"/>
        <v>10345</v>
      </c>
      <c r="O33" s="3194">
        <v>44.97</v>
      </c>
      <c r="P33" s="3194" t="s">
        <v>3125</v>
      </c>
      <c r="Q33" s="3194" t="s">
        <v>3035</v>
      </c>
    </row>
    <row r="34" spans="1:17" ht="24" hidden="1">
      <c r="A34" s="3193">
        <v>33</v>
      </c>
      <c r="B34" s="3191" t="s">
        <v>3124</v>
      </c>
      <c r="C34" s="3191" t="s">
        <v>3029</v>
      </c>
      <c r="D34" s="3191" t="s">
        <v>3030</v>
      </c>
      <c r="E34" s="3191">
        <v>95832</v>
      </c>
      <c r="F34" s="3191">
        <v>287496</v>
      </c>
      <c r="G34" s="3191" t="s">
        <v>3062</v>
      </c>
      <c r="H34" s="3191">
        <f t="shared" si="0"/>
        <v>3</v>
      </c>
      <c r="I34" s="3191" t="s">
        <v>3032</v>
      </c>
      <c r="J34" s="3191" t="s">
        <v>3119</v>
      </c>
      <c r="K34" s="3191">
        <v>297400</v>
      </c>
      <c r="L34" s="3191">
        <v>431200</v>
      </c>
      <c r="M34" s="3191">
        <v>14998.46</v>
      </c>
      <c r="N34" s="3191">
        <f t="shared" si="1"/>
        <v>10344</v>
      </c>
      <c r="O34" s="3191">
        <v>44.99</v>
      </c>
      <c r="P34" s="3191" t="s">
        <v>3125</v>
      </c>
      <c r="Q34" s="3191" t="s">
        <v>3035</v>
      </c>
    </row>
    <row r="35" spans="1:17" ht="24" hidden="1">
      <c r="A35" s="3193">
        <v>34</v>
      </c>
      <c r="B35" s="3191" t="s">
        <v>3124</v>
      </c>
      <c r="C35" s="3191" t="s">
        <v>3029</v>
      </c>
      <c r="D35" s="3191" t="s">
        <v>3030</v>
      </c>
      <c r="E35" s="3191">
        <v>34300.5</v>
      </c>
      <c r="F35" s="3191">
        <v>102901.5</v>
      </c>
      <c r="G35" s="3191" t="s">
        <v>3062</v>
      </c>
      <c r="H35" s="3191">
        <f t="shared" si="0"/>
        <v>3</v>
      </c>
      <c r="I35" s="3191" t="s">
        <v>3032</v>
      </c>
      <c r="J35" s="3191" t="s">
        <v>3119</v>
      </c>
      <c r="K35" s="3191">
        <v>106400</v>
      </c>
      <c r="L35" s="3191">
        <v>154200</v>
      </c>
      <c r="M35" s="3191">
        <v>14985.2</v>
      </c>
      <c r="N35" s="3191">
        <f t="shared" si="1"/>
        <v>10340</v>
      </c>
      <c r="O35" s="3191">
        <v>44.92</v>
      </c>
      <c r="P35" s="3191" t="s">
        <v>3125</v>
      </c>
      <c r="Q35" s="3191" t="s">
        <v>3035</v>
      </c>
    </row>
    <row r="36" spans="1:17" ht="24" hidden="1">
      <c r="A36" s="3193">
        <v>35</v>
      </c>
      <c r="B36" s="3191" t="s">
        <v>3126</v>
      </c>
      <c r="C36" s="3191" t="s">
        <v>3029</v>
      </c>
      <c r="D36" s="3191" t="s">
        <v>3030</v>
      </c>
      <c r="E36" s="3191">
        <v>42462.48</v>
      </c>
      <c r="F36" s="3191">
        <v>106156.2</v>
      </c>
      <c r="G36" s="3191" t="s">
        <v>3068</v>
      </c>
      <c r="H36" s="3191">
        <f t="shared" si="0"/>
        <v>2.5</v>
      </c>
      <c r="I36" s="3191" t="s">
        <v>3032</v>
      </c>
      <c r="J36" s="3191" t="s">
        <v>3127</v>
      </c>
      <c r="K36" s="3191">
        <v>49400</v>
      </c>
      <c r="L36" s="3191">
        <v>49400</v>
      </c>
      <c r="M36" s="3191">
        <v>4653.5200000000004</v>
      </c>
      <c r="N36" s="3191">
        <f t="shared" si="1"/>
        <v>4654</v>
      </c>
      <c r="O36" s="3191">
        <v>0</v>
      </c>
      <c r="P36" s="3191" t="s">
        <v>3128</v>
      </c>
      <c r="Q36" s="3191" t="s">
        <v>3035</v>
      </c>
    </row>
    <row r="37" spans="1:17" s="3196" customFormat="1" ht="24" hidden="1">
      <c r="A37" s="3196">
        <v>36</v>
      </c>
      <c r="B37" s="3197" t="s">
        <v>3129</v>
      </c>
      <c r="C37" s="3197" t="s">
        <v>3029</v>
      </c>
      <c r="D37" s="3197" t="s">
        <v>3030</v>
      </c>
      <c r="E37" s="3197">
        <v>53463</v>
      </c>
      <c r="F37" s="3197">
        <v>133657.5</v>
      </c>
      <c r="G37" s="3197" t="s">
        <v>3068</v>
      </c>
      <c r="H37" s="3197">
        <f t="shared" si="0"/>
        <v>2.5</v>
      </c>
      <c r="I37" s="3197" t="s">
        <v>3032</v>
      </c>
      <c r="J37" s="3197" t="s">
        <v>3130</v>
      </c>
      <c r="K37" s="3197">
        <v>60200</v>
      </c>
      <c r="L37" s="3197">
        <v>168500</v>
      </c>
      <c r="M37" s="3197">
        <v>12606.85</v>
      </c>
      <c r="N37" s="3197">
        <f t="shared" si="1"/>
        <v>4504</v>
      </c>
      <c r="O37" s="3197">
        <v>179.9</v>
      </c>
      <c r="P37" s="3197" t="s">
        <v>3131</v>
      </c>
      <c r="Q37" s="3197" t="s">
        <v>3035</v>
      </c>
    </row>
    <row r="38" spans="1:17" ht="24" hidden="1">
      <c r="A38" s="3193">
        <v>37</v>
      </c>
      <c r="B38" s="3191" t="s">
        <v>3132</v>
      </c>
      <c r="C38" s="3191" t="s">
        <v>3029</v>
      </c>
      <c r="D38" s="3191" t="s">
        <v>3030</v>
      </c>
      <c r="E38" s="3191">
        <v>51950</v>
      </c>
      <c r="F38" s="3191">
        <v>129875</v>
      </c>
      <c r="G38" s="3191" t="s">
        <v>3068</v>
      </c>
      <c r="H38" s="3191">
        <f t="shared" si="0"/>
        <v>2.5</v>
      </c>
      <c r="I38" s="3191" t="s">
        <v>3032</v>
      </c>
      <c r="J38" s="3191" t="s">
        <v>3130</v>
      </c>
      <c r="K38" s="3191">
        <v>57200</v>
      </c>
      <c r="L38" s="3191">
        <v>157000</v>
      </c>
      <c r="M38" s="3191">
        <v>12088.54</v>
      </c>
      <c r="N38" s="3191">
        <f t="shared" si="1"/>
        <v>4404</v>
      </c>
      <c r="O38" s="3191">
        <v>174.48</v>
      </c>
      <c r="P38" s="3191" t="s">
        <v>3133</v>
      </c>
      <c r="Q38" s="3191" t="s">
        <v>3035</v>
      </c>
    </row>
    <row r="39" spans="1:17" ht="24" hidden="1">
      <c r="A39" s="3193">
        <v>38</v>
      </c>
      <c r="B39" s="3191" t="s">
        <v>3134</v>
      </c>
      <c r="C39" s="3191" t="s">
        <v>3029</v>
      </c>
      <c r="D39" s="3191" t="s">
        <v>3030</v>
      </c>
      <c r="E39" s="3191">
        <v>20911.48</v>
      </c>
      <c r="F39" s="3191">
        <v>36282</v>
      </c>
      <c r="G39" s="3191" t="s">
        <v>3135</v>
      </c>
      <c r="H39" s="3191">
        <f t="shared" si="0"/>
        <v>1.74</v>
      </c>
      <c r="I39" s="3191" t="s">
        <v>3032</v>
      </c>
      <c r="J39" s="3191" t="s">
        <v>3136</v>
      </c>
      <c r="K39" s="3191">
        <v>7100</v>
      </c>
      <c r="L39" s="3191">
        <v>14600</v>
      </c>
      <c r="M39" s="3191">
        <v>4024.03</v>
      </c>
      <c r="N39" s="3191">
        <f t="shared" si="1"/>
        <v>1957</v>
      </c>
      <c r="O39" s="3191">
        <v>105.63</v>
      </c>
      <c r="P39" s="3191" t="s">
        <v>3133</v>
      </c>
      <c r="Q39" s="3191" t="s">
        <v>3035</v>
      </c>
    </row>
    <row r="40" spans="1:17" ht="24" hidden="1">
      <c r="A40" s="3193">
        <v>39</v>
      </c>
      <c r="B40" s="3191" t="s">
        <v>3137</v>
      </c>
      <c r="C40" s="3191" t="s">
        <v>3029</v>
      </c>
      <c r="D40" s="3191" t="s">
        <v>3030</v>
      </c>
      <c r="E40" s="3191">
        <v>50970.95</v>
      </c>
      <c r="F40" s="3191">
        <v>44235</v>
      </c>
      <c r="G40" s="3191" t="s">
        <v>3138</v>
      </c>
      <c r="H40" s="3191">
        <f t="shared" si="0"/>
        <v>0.87</v>
      </c>
      <c r="I40" s="3191" t="s">
        <v>3032</v>
      </c>
      <c r="J40" s="3191" t="s">
        <v>3136</v>
      </c>
      <c r="K40" s="3191">
        <v>8100</v>
      </c>
      <c r="L40" s="3191">
        <v>17800</v>
      </c>
      <c r="M40" s="3191">
        <v>4023.96</v>
      </c>
      <c r="N40" s="3191">
        <f t="shared" si="1"/>
        <v>1831</v>
      </c>
      <c r="O40" s="3191">
        <v>119.75</v>
      </c>
      <c r="P40" s="3191" t="s">
        <v>3128</v>
      </c>
      <c r="Q40" s="3191" t="s">
        <v>3035</v>
      </c>
    </row>
    <row r="41" spans="1:17" ht="24" hidden="1">
      <c r="A41" s="3193">
        <v>40</v>
      </c>
      <c r="B41" s="3191" t="s">
        <v>3139</v>
      </c>
      <c r="C41" s="3191" t="s">
        <v>3029</v>
      </c>
      <c r="D41" s="3191" t="s">
        <v>3030</v>
      </c>
      <c r="E41" s="3191">
        <v>64373.5</v>
      </c>
      <c r="F41" s="3191">
        <v>160934</v>
      </c>
      <c r="G41" s="3191" t="s">
        <v>3140</v>
      </c>
      <c r="H41" s="3191">
        <f t="shared" si="0"/>
        <v>2.5</v>
      </c>
      <c r="I41" s="3191" t="s">
        <v>3032</v>
      </c>
      <c r="J41" s="3191" t="s">
        <v>3141</v>
      </c>
      <c r="K41" s="3191">
        <v>45400</v>
      </c>
      <c r="L41" s="3191">
        <v>126000</v>
      </c>
      <c r="M41" s="3191">
        <v>7829.3</v>
      </c>
      <c r="N41" s="3191">
        <f t="shared" si="1"/>
        <v>2821</v>
      </c>
      <c r="O41" s="3191">
        <v>177.53</v>
      </c>
      <c r="P41" s="3191" t="s">
        <v>3142</v>
      </c>
      <c r="Q41" s="3191" t="s">
        <v>3035</v>
      </c>
    </row>
    <row r="42" spans="1:17" ht="24" hidden="1">
      <c r="A42" s="3193">
        <v>41</v>
      </c>
      <c r="B42" s="3191" t="s">
        <v>3143</v>
      </c>
      <c r="C42" s="3191" t="s">
        <v>3029</v>
      </c>
      <c r="D42" s="3191" t="s">
        <v>3030</v>
      </c>
      <c r="E42" s="3191">
        <v>10800.15</v>
      </c>
      <c r="F42" s="3191">
        <v>27020.28</v>
      </c>
      <c r="G42" s="3191" t="s">
        <v>3140</v>
      </c>
      <c r="H42" s="3191">
        <f t="shared" si="0"/>
        <v>2.5</v>
      </c>
      <c r="I42" s="3191" t="s">
        <v>3032</v>
      </c>
      <c r="J42" s="3191" t="s">
        <v>3141</v>
      </c>
      <c r="K42" s="3191">
        <v>7200</v>
      </c>
      <c r="L42" s="3191">
        <v>19000</v>
      </c>
      <c r="M42" s="3191">
        <v>7031.76</v>
      </c>
      <c r="N42" s="3191">
        <f t="shared" si="1"/>
        <v>2665</v>
      </c>
      <c r="O42" s="3191">
        <v>163.89</v>
      </c>
      <c r="P42" s="3191" t="s">
        <v>3144</v>
      </c>
      <c r="Q42" s="3191" t="s">
        <v>3035</v>
      </c>
    </row>
    <row r="43" spans="1:17" ht="24" hidden="1">
      <c r="A43" s="3193">
        <v>42</v>
      </c>
      <c r="B43" s="3191" t="s">
        <v>3145</v>
      </c>
      <c r="C43" s="3191" t="s">
        <v>3029</v>
      </c>
      <c r="D43" s="3191" t="s">
        <v>3030</v>
      </c>
      <c r="E43" s="3191">
        <v>128540.4</v>
      </c>
      <c r="F43" s="3191">
        <v>257080.8</v>
      </c>
      <c r="G43" s="3191" t="s">
        <v>3146</v>
      </c>
      <c r="H43" s="3191">
        <f t="shared" si="0"/>
        <v>2</v>
      </c>
      <c r="I43" s="3191" t="s">
        <v>3032</v>
      </c>
      <c r="J43" s="3191" t="s">
        <v>3147</v>
      </c>
      <c r="K43" s="3191">
        <v>54000</v>
      </c>
      <c r="L43" s="3191">
        <v>149500</v>
      </c>
      <c r="M43" s="3191">
        <v>5815.28</v>
      </c>
      <c r="N43" s="3191">
        <f t="shared" si="1"/>
        <v>2101</v>
      </c>
      <c r="O43" s="3191">
        <v>176.85</v>
      </c>
      <c r="P43" s="3191" t="s">
        <v>3148</v>
      </c>
      <c r="Q43" s="3191" t="s">
        <v>3035</v>
      </c>
    </row>
    <row r="44" spans="1:17" ht="24" hidden="1">
      <c r="A44" s="3193">
        <v>43</v>
      </c>
      <c r="B44" s="3191" t="s">
        <v>3145</v>
      </c>
      <c r="C44" s="3191" t="s">
        <v>3029</v>
      </c>
      <c r="D44" s="3191" t="s">
        <v>3030</v>
      </c>
      <c r="E44" s="3191">
        <v>138000</v>
      </c>
      <c r="F44" s="3191">
        <v>276000</v>
      </c>
      <c r="G44" s="3191" t="s">
        <v>3146</v>
      </c>
      <c r="H44" s="3191">
        <f t="shared" si="0"/>
        <v>2</v>
      </c>
      <c r="I44" s="3191" t="s">
        <v>3032</v>
      </c>
      <c r="J44" s="3191" t="s">
        <v>3147</v>
      </c>
      <c r="K44" s="3191">
        <v>56900</v>
      </c>
      <c r="L44" s="3191">
        <v>160000</v>
      </c>
      <c r="M44" s="3191">
        <v>5797.1</v>
      </c>
      <c r="N44" s="3191">
        <f t="shared" si="1"/>
        <v>2062</v>
      </c>
      <c r="O44" s="3191">
        <v>181.2</v>
      </c>
      <c r="P44" s="3191" t="s">
        <v>3148</v>
      </c>
      <c r="Q44" s="3191" t="s">
        <v>3035</v>
      </c>
    </row>
    <row r="45" spans="1:17" hidden="1"/>
    <row r="46" spans="1:17" hidden="1">
      <c r="A46" s="3193" t="s">
        <v>3210</v>
      </c>
    </row>
    <row r="47" spans="1:17" ht="13.5" hidden="1">
      <c r="B47" s="2917" t="s">
        <v>3015</v>
      </c>
      <c r="C47" s="2917" t="s">
        <v>3016</v>
      </c>
      <c r="D47" s="2917" t="s">
        <v>3017</v>
      </c>
      <c r="E47" s="2917" t="s">
        <v>3018</v>
      </c>
      <c r="F47" s="2917" t="s">
        <v>3019</v>
      </c>
      <c r="G47" s="2917" t="s">
        <v>2033</v>
      </c>
      <c r="H47" s="3185" t="s">
        <v>3208</v>
      </c>
      <c r="I47" s="2917" t="s">
        <v>3020</v>
      </c>
      <c r="J47" s="2917" t="s">
        <v>3021</v>
      </c>
      <c r="K47" s="2917" t="s">
        <v>3022</v>
      </c>
      <c r="L47" s="2917" t="s">
        <v>3023</v>
      </c>
      <c r="M47" s="2917" t="s">
        <v>3024</v>
      </c>
      <c r="N47" s="2917"/>
      <c r="O47" s="2917" t="s">
        <v>3025</v>
      </c>
      <c r="P47" s="2917" t="s">
        <v>3026</v>
      </c>
      <c r="Q47" s="2917" t="s">
        <v>3027</v>
      </c>
    </row>
    <row r="48" spans="1:17" s="3198" customFormat="1" ht="13.5">
      <c r="B48" s="3202" t="s">
        <v>3166</v>
      </c>
      <c r="C48" s="3202" t="s">
        <v>3029</v>
      </c>
      <c r="D48" s="3202" t="s">
        <v>3030</v>
      </c>
      <c r="E48" s="3202">
        <v>48326</v>
      </c>
      <c r="F48" s="3202">
        <v>120815</v>
      </c>
      <c r="G48" s="3202" t="s">
        <v>3068</v>
      </c>
      <c r="H48" s="3202">
        <f>F48/E48</f>
        <v>2.5</v>
      </c>
      <c r="I48" s="3202" t="s">
        <v>3032</v>
      </c>
      <c r="J48" s="3202" t="s">
        <v>3167</v>
      </c>
      <c r="K48" s="3202">
        <v>163466</v>
      </c>
      <c r="L48" s="3202">
        <v>177466</v>
      </c>
      <c r="M48" s="3202">
        <v>14689</v>
      </c>
      <c r="N48" s="3202"/>
      <c r="O48" s="3202">
        <v>8.56</v>
      </c>
      <c r="P48" s="3202" t="s">
        <v>3168</v>
      </c>
      <c r="Q48" s="3202" t="s">
        <v>3035</v>
      </c>
    </row>
    <row r="49" spans="2:17" ht="13.5" hidden="1">
      <c r="B49" s="2917" t="s">
        <v>3169</v>
      </c>
      <c r="C49" s="2917" t="s">
        <v>3029</v>
      </c>
      <c r="D49" s="2917" t="s">
        <v>3030</v>
      </c>
      <c r="E49" s="2917">
        <v>69852</v>
      </c>
      <c r="F49" s="2917">
        <v>174630</v>
      </c>
      <c r="G49" s="2917" t="s">
        <v>3068</v>
      </c>
      <c r="H49" s="2917">
        <f t="shared" ref="H49:H62" si="2">F49/E49</f>
        <v>2.5</v>
      </c>
      <c r="I49" s="2917" t="s">
        <v>3032</v>
      </c>
      <c r="J49" s="2917" t="s">
        <v>3167</v>
      </c>
      <c r="K49" s="2917">
        <v>224701</v>
      </c>
      <c r="L49" s="2917">
        <v>224701</v>
      </c>
      <c r="M49" s="2917">
        <v>12867.26</v>
      </c>
      <c r="N49" s="2917"/>
      <c r="O49" s="2917">
        <v>0</v>
      </c>
      <c r="P49" s="2917" t="s">
        <v>3170</v>
      </c>
      <c r="Q49" s="2917" t="s">
        <v>3035</v>
      </c>
    </row>
    <row r="50" spans="2:17" ht="13.5" hidden="1">
      <c r="B50" s="2917" t="s">
        <v>3171</v>
      </c>
      <c r="C50" s="2917" t="s">
        <v>3029</v>
      </c>
      <c r="D50" s="2917" t="s">
        <v>3040</v>
      </c>
      <c r="E50" s="2917">
        <v>282931</v>
      </c>
      <c r="F50" s="2917">
        <v>586493</v>
      </c>
      <c r="G50" s="2917" t="s">
        <v>3172</v>
      </c>
      <c r="H50" s="2917">
        <f t="shared" si="2"/>
        <v>2.0729188388688407</v>
      </c>
      <c r="I50" s="2917" t="s">
        <v>3032</v>
      </c>
      <c r="J50" s="2917" t="s">
        <v>3173</v>
      </c>
      <c r="K50" s="2917">
        <v>762441</v>
      </c>
      <c r="L50" s="2917">
        <v>762441</v>
      </c>
      <c r="M50" s="2917">
        <v>13000</v>
      </c>
      <c r="N50" s="2917"/>
      <c r="O50" s="2917">
        <v>0</v>
      </c>
      <c r="P50" s="2917" t="s">
        <v>3094</v>
      </c>
      <c r="Q50" s="2917" t="s">
        <v>3035</v>
      </c>
    </row>
    <row r="51" spans="2:17" ht="13.5" hidden="1">
      <c r="B51" s="2917" t="s">
        <v>3174</v>
      </c>
      <c r="C51" s="2917" t="s">
        <v>3029</v>
      </c>
      <c r="D51" s="2917" t="s">
        <v>3030</v>
      </c>
      <c r="E51" s="2917">
        <v>13802</v>
      </c>
      <c r="F51" s="2917">
        <v>52451</v>
      </c>
      <c r="G51" s="2917" t="s">
        <v>3175</v>
      </c>
      <c r="H51" s="2917">
        <f t="shared" si="2"/>
        <v>3.8002463411099843</v>
      </c>
      <c r="I51" s="2917" t="s">
        <v>3032</v>
      </c>
      <c r="J51" s="2917" t="s">
        <v>3173</v>
      </c>
      <c r="K51" s="2917">
        <v>109023</v>
      </c>
      <c r="L51" s="2917">
        <v>109023</v>
      </c>
      <c r="M51" s="2917">
        <v>20785.68</v>
      </c>
      <c r="N51" s="2917"/>
      <c r="O51" s="2917">
        <v>0</v>
      </c>
      <c r="P51" s="2917" t="s">
        <v>3176</v>
      </c>
      <c r="Q51" s="2917" t="s">
        <v>3035</v>
      </c>
    </row>
    <row r="52" spans="2:17" ht="13.5" hidden="1">
      <c r="B52" s="2917" t="s">
        <v>3177</v>
      </c>
      <c r="C52" s="2917" t="s">
        <v>3029</v>
      </c>
      <c r="D52" s="2917" t="s">
        <v>3030</v>
      </c>
      <c r="E52" s="2917">
        <v>33627</v>
      </c>
      <c r="F52" s="2917">
        <v>67254</v>
      </c>
      <c r="G52" s="2917" t="s">
        <v>3178</v>
      </c>
      <c r="H52" s="2917">
        <f t="shared" si="2"/>
        <v>2</v>
      </c>
      <c r="I52" s="2917" t="s">
        <v>3032</v>
      </c>
      <c r="J52" s="2917" t="s">
        <v>3055</v>
      </c>
      <c r="K52" s="2917">
        <v>95367</v>
      </c>
      <c r="L52" s="2917">
        <v>106367</v>
      </c>
      <c r="M52" s="2917">
        <v>15815.7</v>
      </c>
      <c r="N52" s="2917"/>
      <c r="O52" s="2917">
        <v>11.53</v>
      </c>
      <c r="P52" s="2917" t="s">
        <v>3056</v>
      </c>
      <c r="Q52" s="2917" t="s">
        <v>3035</v>
      </c>
    </row>
    <row r="53" spans="2:17" ht="13.5" hidden="1">
      <c r="B53" s="2917" t="s">
        <v>3179</v>
      </c>
      <c r="C53" s="2917" t="s">
        <v>3029</v>
      </c>
      <c r="D53" s="2917" t="s">
        <v>3040</v>
      </c>
      <c r="E53" s="2917">
        <v>49404</v>
      </c>
      <c r="F53" s="2917">
        <v>143272</v>
      </c>
      <c r="G53" s="2917" t="s">
        <v>3180</v>
      </c>
      <c r="H53" s="2917">
        <f t="shared" si="2"/>
        <v>2.9000080965104038</v>
      </c>
      <c r="I53" s="2917" t="s">
        <v>3032</v>
      </c>
      <c r="J53" s="2917" t="s">
        <v>3055</v>
      </c>
      <c r="K53" s="2917">
        <v>157527</v>
      </c>
      <c r="L53" s="2917">
        <v>157527</v>
      </c>
      <c r="M53" s="2917">
        <v>10994.95</v>
      </c>
      <c r="N53" s="2917"/>
      <c r="O53" s="2917">
        <v>0</v>
      </c>
      <c r="P53" s="2917" t="s">
        <v>3181</v>
      </c>
      <c r="Q53" s="2917" t="s">
        <v>3035</v>
      </c>
    </row>
    <row r="54" spans="2:17" ht="13.5" hidden="1">
      <c r="B54" s="2917" t="s">
        <v>3182</v>
      </c>
      <c r="C54" s="2917" t="s">
        <v>3029</v>
      </c>
      <c r="D54" s="2917" t="s">
        <v>3030</v>
      </c>
      <c r="E54" s="2917">
        <v>15136</v>
      </c>
      <c r="F54" s="2917">
        <v>22704</v>
      </c>
      <c r="G54" s="2917" t="s">
        <v>3183</v>
      </c>
      <c r="H54" s="2917">
        <f t="shared" si="2"/>
        <v>1.5</v>
      </c>
      <c r="I54" s="2917" t="s">
        <v>3032</v>
      </c>
      <c r="J54" s="2917" t="s">
        <v>3072</v>
      </c>
      <c r="K54" s="2917">
        <v>6975</v>
      </c>
      <c r="L54" s="2917">
        <v>6975</v>
      </c>
      <c r="M54" s="2917">
        <v>3072.15</v>
      </c>
      <c r="N54" s="2917"/>
      <c r="O54" s="2917">
        <v>0</v>
      </c>
      <c r="P54" s="2917" t="s">
        <v>3184</v>
      </c>
      <c r="Q54" s="2917" t="s">
        <v>3035</v>
      </c>
    </row>
    <row r="55" spans="2:17" ht="13.5" hidden="1">
      <c r="B55" s="2917" t="s">
        <v>3185</v>
      </c>
      <c r="C55" s="2917" t="s">
        <v>3029</v>
      </c>
      <c r="D55" s="2917" t="s">
        <v>3030</v>
      </c>
      <c r="E55" s="2917">
        <v>16514</v>
      </c>
      <c r="F55" s="2917">
        <v>24771</v>
      </c>
      <c r="G55" s="2917" t="s">
        <v>3183</v>
      </c>
      <c r="H55" s="2917">
        <f t="shared" si="2"/>
        <v>1.5</v>
      </c>
      <c r="I55" s="2917" t="s">
        <v>3032</v>
      </c>
      <c r="J55" s="2917" t="s">
        <v>3072</v>
      </c>
      <c r="K55" s="2917">
        <v>13109</v>
      </c>
      <c r="L55" s="2917">
        <v>13109</v>
      </c>
      <c r="M55" s="2917">
        <v>5292.07</v>
      </c>
      <c r="N55" s="2917"/>
      <c r="O55" s="2917">
        <v>0</v>
      </c>
      <c r="P55" s="2917" t="s">
        <v>3184</v>
      </c>
      <c r="Q55" s="2917" t="s">
        <v>3035</v>
      </c>
    </row>
    <row r="56" spans="2:17" ht="13.5" hidden="1">
      <c r="B56" s="2917" t="s">
        <v>3186</v>
      </c>
      <c r="C56" s="2917" t="s">
        <v>3029</v>
      </c>
      <c r="D56" s="2917" t="s">
        <v>3030</v>
      </c>
      <c r="E56" s="2917">
        <v>30819</v>
      </c>
      <c r="F56" s="2917">
        <v>92457</v>
      </c>
      <c r="G56" s="2917" t="s">
        <v>3062</v>
      </c>
      <c r="H56" s="2917">
        <f t="shared" si="2"/>
        <v>3</v>
      </c>
      <c r="I56" s="2917" t="s">
        <v>3032</v>
      </c>
      <c r="J56" s="2917" t="s">
        <v>3072</v>
      </c>
      <c r="K56" s="2917">
        <v>60551</v>
      </c>
      <c r="L56" s="2917">
        <v>60551</v>
      </c>
      <c r="M56" s="2917">
        <v>6549.1</v>
      </c>
      <c r="N56" s="2917"/>
      <c r="O56" s="2917">
        <v>0</v>
      </c>
      <c r="P56" s="2917" t="s">
        <v>3187</v>
      </c>
      <c r="Q56" s="2917" t="s">
        <v>3035</v>
      </c>
    </row>
    <row r="57" spans="2:17" ht="13.5" hidden="1">
      <c r="B57" s="2917" t="s">
        <v>3188</v>
      </c>
      <c r="C57" s="2917" t="s">
        <v>3029</v>
      </c>
      <c r="D57" s="2917" t="s">
        <v>3040</v>
      </c>
      <c r="E57" s="2917">
        <v>86424</v>
      </c>
      <c r="F57" s="2917">
        <v>92395</v>
      </c>
      <c r="G57" s="2917" t="s">
        <v>3189</v>
      </c>
      <c r="H57" s="2917">
        <f t="shared" si="2"/>
        <v>1.0690896047394243</v>
      </c>
      <c r="I57" s="2917" t="s">
        <v>3032</v>
      </c>
      <c r="J57" s="2917" t="s">
        <v>3190</v>
      </c>
      <c r="K57" s="2917">
        <v>93241</v>
      </c>
      <c r="L57" s="2917">
        <v>93241</v>
      </c>
      <c r="M57" s="2917">
        <v>10091.549999999999</v>
      </c>
      <c r="N57" s="2917"/>
      <c r="O57" s="2917">
        <v>0</v>
      </c>
      <c r="P57" s="2917" t="s">
        <v>3133</v>
      </c>
      <c r="Q57" s="2917" t="s">
        <v>3035</v>
      </c>
    </row>
    <row r="58" spans="2:17" ht="13.5" hidden="1">
      <c r="B58" s="2917" t="s">
        <v>3191</v>
      </c>
      <c r="C58" s="2917" t="s">
        <v>3029</v>
      </c>
      <c r="D58" s="2917" t="s">
        <v>3030</v>
      </c>
      <c r="E58" s="2917">
        <v>163529</v>
      </c>
      <c r="F58" s="2917">
        <v>229580</v>
      </c>
      <c r="G58" s="2917" t="s">
        <v>3192</v>
      </c>
      <c r="H58" s="2917">
        <f t="shared" si="2"/>
        <v>1.4039100098453485</v>
      </c>
      <c r="I58" s="2917" t="s">
        <v>3032</v>
      </c>
      <c r="J58" s="2917" t="s">
        <v>3193</v>
      </c>
      <c r="K58" s="2917">
        <v>176748</v>
      </c>
      <c r="L58" s="2917">
        <v>176748</v>
      </c>
      <c r="M58" s="2917">
        <v>7698.75</v>
      </c>
      <c r="N58" s="2917"/>
      <c r="O58" s="2917">
        <v>0</v>
      </c>
      <c r="P58" s="2917" t="s">
        <v>3194</v>
      </c>
      <c r="Q58" s="2917" t="s">
        <v>3035</v>
      </c>
    </row>
    <row r="59" spans="2:17" ht="13.5" hidden="1">
      <c r="B59" s="2917" t="s">
        <v>3195</v>
      </c>
      <c r="C59" s="2917" t="s">
        <v>3029</v>
      </c>
      <c r="D59" s="2917" t="s">
        <v>3030</v>
      </c>
      <c r="E59" s="2917">
        <v>7030</v>
      </c>
      <c r="F59" s="2917">
        <v>21090</v>
      </c>
      <c r="G59" s="2917" t="s">
        <v>3062</v>
      </c>
      <c r="H59" s="2917">
        <f t="shared" si="2"/>
        <v>3</v>
      </c>
      <c r="I59" s="2917" t="s">
        <v>3032</v>
      </c>
      <c r="J59" s="2917" t="s">
        <v>3193</v>
      </c>
      <c r="K59" s="2917">
        <v>15150</v>
      </c>
      <c r="L59" s="2917">
        <v>21967.5</v>
      </c>
      <c r="M59" s="2917">
        <v>10416.06</v>
      </c>
      <c r="N59" s="2917"/>
      <c r="O59" s="2917">
        <v>45</v>
      </c>
      <c r="P59" s="2917" t="s">
        <v>3187</v>
      </c>
      <c r="Q59" s="2917" t="s">
        <v>3035</v>
      </c>
    </row>
    <row r="60" spans="2:17" ht="13.5" hidden="1">
      <c r="B60" s="2917" t="s">
        <v>3196</v>
      </c>
      <c r="C60" s="2917" t="s">
        <v>3029</v>
      </c>
      <c r="D60" s="2917" t="s">
        <v>3030</v>
      </c>
      <c r="E60" s="2917">
        <v>41631</v>
      </c>
      <c r="F60" s="2917">
        <v>62446.5</v>
      </c>
      <c r="G60" s="2917" t="s">
        <v>3197</v>
      </c>
      <c r="H60" s="2917">
        <f t="shared" si="2"/>
        <v>1.5</v>
      </c>
      <c r="I60" s="2917" t="s">
        <v>3032</v>
      </c>
      <c r="J60" s="2917" t="s">
        <v>3198</v>
      </c>
      <c r="K60" s="2917">
        <v>84304</v>
      </c>
      <c r="L60" s="2917">
        <v>122240.8</v>
      </c>
      <c r="M60" s="2917">
        <v>19575.27</v>
      </c>
      <c r="N60" s="2917"/>
      <c r="O60" s="2917">
        <v>45</v>
      </c>
      <c r="P60" s="2917" t="s">
        <v>3199</v>
      </c>
      <c r="Q60" s="2917" t="s">
        <v>3035</v>
      </c>
    </row>
    <row r="61" spans="2:17" s="3198" customFormat="1" ht="13.5">
      <c r="B61" s="3202" t="s">
        <v>3200</v>
      </c>
      <c r="C61" s="3202" t="s">
        <v>3029</v>
      </c>
      <c r="D61" s="3202" t="s">
        <v>3030</v>
      </c>
      <c r="E61" s="3202">
        <v>135173</v>
      </c>
      <c r="F61" s="3202">
        <v>296836</v>
      </c>
      <c r="G61" s="3202" t="s">
        <v>3201</v>
      </c>
      <c r="H61" s="3202">
        <v>2.8</v>
      </c>
      <c r="I61" s="3202" t="s">
        <v>3032</v>
      </c>
      <c r="J61" s="3202" t="s">
        <v>3202</v>
      </c>
      <c r="K61" s="3202">
        <v>296836</v>
      </c>
      <c r="L61" s="3202">
        <v>430412.2</v>
      </c>
      <c r="M61" s="3202">
        <v>14500</v>
      </c>
      <c r="N61" s="3202"/>
      <c r="O61" s="3202">
        <v>45</v>
      </c>
      <c r="P61" s="3202" t="s">
        <v>3203</v>
      </c>
      <c r="Q61" s="3202" t="s">
        <v>3035</v>
      </c>
    </row>
    <row r="62" spans="2:17" ht="13.5">
      <c r="B62" s="2917" t="s">
        <v>3204</v>
      </c>
      <c r="C62" s="2917" t="s">
        <v>3029</v>
      </c>
      <c r="D62" s="2917" t="s">
        <v>3030</v>
      </c>
      <c r="E62" s="2917">
        <v>67450</v>
      </c>
      <c r="F62" s="2917">
        <v>134900</v>
      </c>
      <c r="G62" s="2917" t="s">
        <v>3205</v>
      </c>
      <c r="H62" s="2917">
        <f t="shared" si="2"/>
        <v>2</v>
      </c>
      <c r="I62" s="2917" t="s">
        <v>3032</v>
      </c>
      <c r="J62" s="2917" t="s">
        <v>3206</v>
      </c>
      <c r="K62" s="2917">
        <v>107920</v>
      </c>
      <c r="L62" s="2917">
        <v>367920</v>
      </c>
      <c r="M62" s="2917">
        <v>27273.54</v>
      </c>
      <c r="N62" s="2917"/>
      <c r="O62" s="2917">
        <v>240.92</v>
      </c>
      <c r="P62" s="2917" t="s">
        <v>3207</v>
      </c>
      <c r="Q62" s="2917" t="s">
        <v>3035</v>
      </c>
    </row>
  </sheetData>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4" sqref="M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368964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8707</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13743</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916</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82" t="s">
        <v>522</v>
      </c>
      <c r="D6" s="3383"/>
      <c r="E6" s="3382" t="s">
        <v>523</v>
      </c>
      <c r="F6" s="3383"/>
      <c r="G6" s="3382" t="s">
        <v>524</v>
      </c>
      <c r="H6" s="3383"/>
      <c r="I6" s="3382" t="s">
        <v>525</v>
      </c>
      <c r="J6" s="3383"/>
      <c r="K6" s="514" t="s">
        <v>526</v>
      </c>
      <c r="L6" s="2133"/>
      <c r="M6" s="2132"/>
      <c r="N6" s="2132"/>
      <c r="O6" s="2134"/>
      <c r="P6" s="3384" t="s">
        <v>527</v>
      </c>
      <c r="Q6" s="3385"/>
      <c r="R6" s="3390" t="s">
        <v>523</v>
      </c>
      <c r="S6" s="3391"/>
      <c r="T6" s="3390" t="s">
        <v>524</v>
      </c>
      <c r="U6" s="3391"/>
      <c r="V6" s="3377" t="s">
        <v>525</v>
      </c>
      <c r="W6" s="3377"/>
      <c r="X6" s="1567"/>
      <c r="Y6" s="3390" t="s">
        <v>527</v>
      </c>
      <c r="Z6" s="3391"/>
      <c r="AA6" s="3379" t="s">
        <v>523</v>
      </c>
      <c r="AB6" s="3380" t="s">
        <v>524</v>
      </c>
      <c r="AC6" s="3379" t="s">
        <v>525</v>
      </c>
    </row>
    <row r="7" spans="1:30" ht="20.25">
      <c r="A7" s="515"/>
      <c r="B7" s="516"/>
      <c r="C7" s="3398" t="s">
        <v>2923</v>
      </c>
      <c r="D7" s="3399"/>
      <c r="E7" s="3398" t="str">
        <f>土地案例!B23</f>
        <v>增城区新塘镇地铁13号线官湖车辆段及上盖地块</v>
      </c>
      <c r="F7" s="3399"/>
      <c r="G7" s="3398" t="s">
        <v>2925</v>
      </c>
      <c r="H7" s="3399"/>
      <c r="I7" s="3398" t="s">
        <v>2926</v>
      </c>
      <c r="J7" s="3399"/>
      <c r="K7" s="514"/>
      <c r="L7" s="2133"/>
      <c r="M7" s="2132"/>
      <c r="N7" s="2132"/>
      <c r="O7" s="2134"/>
      <c r="P7" s="3386"/>
      <c r="Q7" s="3387"/>
      <c r="R7" s="3392"/>
      <c r="S7" s="3393"/>
      <c r="T7" s="3392"/>
      <c r="U7" s="3393"/>
      <c r="V7" s="3377"/>
      <c r="W7" s="3377"/>
      <c r="X7" s="1567"/>
      <c r="Y7" s="3392"/>
      <c r="Z7" s="3393"/>
      <c r="AA7" s="3380"/>
      <c r="AB7" s="3380"/>
      <c r="AC7" s="3380"/>
    </row>
    <row r="8" spans="1:30" ht="21" thickBot="1">
      <c r="A8" s="515"/>
      <c r="B8" s="516"/>
      <c r="C8" s="3400" t="s">
        <v>2927</v>
      </c>
      <c r="D8" s="3401"/>
      <c r="E8" s="3400" t="s">
        <v>2927</v>
      </c>
      <c r="F8" s="3401"/>
      <c r="G8" s="3396" t="s">
        <v>2927</v>
      </c>
      <c r="H8" s="3397"/>
      <c r="I8" s="3396" t="s">
        <v>2927</v>
      </c>
      <c r="J8" s="3397"/>
      <c r="K8" s="514" t="s">
        <v>528</v>
      </c>
      <c r="L8" s="2133"/>
      <c r="M8" s="2132"/>
      <c r="N8" s="2132"/>
      <c r="O8" s="2134"/>
      <c r="P8" s="3388"/>
      <c r="Q8" s="3389"/>
      <c r="R8" s="3392"/>
      <c r="S8" s="3393"/>
      <c r="T8" s="3394"/>
      <c r="U8" s="3395"/>
      <c r="V8" s="3377"/>
      <c r="W8" s="3377"/>
      <c r="X8" s="1567"/>
      <c r="Y8" s="3394"/>
      <c r="Z8" s="3395"/>
      <c r="AA8" s="3381"/>
      <c r="AB8" s="3381"/>
      <c r="AC8" s="3381"/>
    </row>
    <row r="9" spans="1:30" s="1220" customFormat="1" ht="21" thickBot="1">
      <c r="A9" s="2890"/>
      <c r="B9" s="2897" t="s">
        <v>529</v>
      </c>
      <c r="C9" s="2889">
        <f>'数据-取费表'!B2</f>
        <v>43557</v>
      </c>
      <c r="D9" s="520">
        <v>100</v>
      </c>
      <c r="E9" s="521" t="str">
        <f>土地案例!J23</f>
        <v>2017-12-01</v>
      </c>
      <c r="F9" s="522">
        <f>SUMIF(72:72,YEAR(E9)&amp;"-"&amp;INT((MONTH(E9)+2)/3),73:73)</f>
        <v>94</v>
      </c>
      <c r="G9" s="523" t="str">
        <f>土地案例!J48</f>
        <v>2018-12-03</v>
      </c>
      <c r="H9" s="520">
        <f>SUMIF(72:72,YEAR(G9)&amp;"-"&amp;INT((MONTH(G9)+2)/3),73:73)</f>
        <v>98</v>
      </c>
      <c r="I9" s="523" t="str">
        <f>土地案例!J61</f>
        <v>2016-11-22</v>
      </c>
      <c r="J9" s="520">
        <f>SUMIF(72:72,YEAR(I9)&amp;"-"&amp;INT((MONTH(I9)+2)/3),73:73)</f>
        <v>90</v>
      </c>
      <c r="K9" s="524"/>
      <c r="L9" s="2135"/>
      <c r="M9" s="2132"/>
      <c r="N9" s="2132"/>
      <c r="O9" s="2136"/>
      <c r="P9" s="3407" t="s">
        <v>530</v>
      </c>
      <c r="Q9" s="3409"/>
      <c r="R9" s="1568" t="s">
        <v>8</v>
      </c>
      <c r="S9" s="1569">
        <f t="shared" ref="S9:S17" si="0">F9</f>
        <v>94</v>
      </c>
      <c r="T9" s="1568" t="s">
        <v>8</v>
      </c>
      <c r="U9" s="1569">
        <f t="shared" ref="U9:U17" si="1">H9</f>
        <v>98</v>
      </c>
      <c r="V9" s="1568" t="s">
        <v>8</v>
      </c>
      <c r="W9" s="1569">
        <f t="shared" ref="W9:W17" si="2">J9</f>
        <v>90</v>
      </c>
      <c r="X9" s="1570"/>
      <c r="Y9" s="3407" t="s">
        <v>530</v>
      </c>
      <c r="Z9" s="3408"/>
      <c r="AA9" s="1571">
        <f>D9/F9</f>
        <v>1.0638297872340425</v>
      </c>
      <c r="AB9" s="1571">
        <f>D9/H9</f>
        <v>1.0204081632653061</v>
      </c>
      <c r="AC9" s="1571">
        <f>D9/J9</f>
        <v>1.1111111111111112</v>
      </c>
    </row>
    <row r="10" spans="1:30" s="1220" customFormat="1" ht="21" thickBot="1">
      <c r="A10" s="2891"/>
      <c r="B10" s="2898" t="s">
        <v>531</v>
      </c>
      <c r="C10" s="856" t="s">
        <v>532</v>
      </c>
      <c r="D10" s="520">
        <v>100</v>
      </c>
      <c r="E10" s="525" t="s">
        <v>3209</v>
      </c>
      <c r="F10" s="522">
        <f>SUMIF(75:75,E10,76:76)-SUMIF(75:75,C10,76:76)+100</f>
        <v>100</v>
      </c>
      <c r="G10" s="525" t="s">
        <v>3209</v>
      </c>
      <c r="H10" s="520">
        <f>SUMIF(75:75,G10,76:76)-SUMIF(75:75,C10,76:76)+100</f>
        <v>100</v>
      </c>
      <c r="I10" s="525" t="s">
        <v>3209</v>
      </c>
      <c r="J10" s="520">
        <f>SUMIF(75:75,I10,76:76)-SUMIF(75:75,C10,76:76)+100</f>
        <v>100</v>
      </c>
      <c r="K10" s="524"/>
      <c r="L10" s="2135"/>
      <c r="M10" s="2132"/>
      <c r="N10" s="2132"/>
      <c r="O10" s="2136"/>
      <c r="P10" s="3407" t="s">
        <v>533</v>
      </c>
      <c r="Q10" s="3408"/>
      <c r="R10" s="1568" t="s">
        <v>8</v>
      </c>
      <c r="S10" s="1569">
        <f t="shared" si="0"/>
        <v>100</v>
      </c>
      <c r="T10" s="1568" t="s">
        <v>8</v>
      </c>
      <c r="U10" s="1569">
        <f t="shared" si="1"/>
        <v>100</v>
      </c>
      <c r="V10" s="1568" t="s">
        <v>8</v>
      </c>
      <c r="W10" s="1569">
        <f t="shared" si="2"/>
        <v>100</v>
      </c>
      <c r="X10" s="1570"/>
      <c r="Y10" s="3407" t="s">
        <v>533</v>
      </c>
      <c r="Z10" s="3408"/>
      <c r="AA10" s="1571">
        <f t="shared" ref="AA10:AA47" si="3">D10/F10</f>
        <v>1</v>
      </c>
      <c r="AB10" s="1571">
        <f t="shared" ref="AB10:AB47" si="4">D10/H10</f>
        <v>1</v>
      </c>
      <c r="AC10" s="1571">
        <f t="shared" ref="AC10:AC47" si="5">D10/J10</f>
        <v>1</v>
      </c>
    </row>
    <row r="11" spans="1:30" s="1220" customFormat="1" ht="20.25">
      <c r="A11" s="2892"/>
      <c r="B11" s="2899" t="s">
        <v>2757</v>
      </c>
      <c r="C11" s="2886"/>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76" t="s">
        <v>535</v>
      </c>
      <c r="Q11" s="1151" t="str">
        <f t="shared" ref="Q11:Q17" si="6">B11</f>
        <v>用途</v>
      </c>
      <c r="R11" s="1568" t="s">
        <v>8</v>
      </c>
      <c r="S11" s="1569">
        <f t="shared" si="0"/>
        <v>100</v>
      </c>
      <c r="T11" s="1568" t="s">
        <v>8</v>
      </c>
      <c r="U11" s="1569">
        <f t="shared" si="1"/>
        <v>100</v>
      </c>
      <c r="V11" s="1568" t="s">
        <v>8</v>
      </c>
      <c r="W11" s="1569">
        <f t="shared" si="2"/>
        <v>100</v>
      </c>
      <c r="X11" s="1570"/>
      <c r="Y11" s="3322" t="s">
        <v>536</v>
      </c>
      <c r="Z11" s="1150" t="str">
        <f t="shared" ref="Z11:Z17" si="7">Q11</f>
        <v>用途</v>
      </c>
      <c r="AA11" s="1571">
        <f t="shared" si="3"/>
        <v>1</v>
      </c>
      <c r="AB11" s="1571">
        <f t="shared" si="4"/>
        <v>1</v>
      </c>
      <c r="AC11" s="1571">
        <f t="shared" si="5"/>
        <v>1</v>
      </c>
    </row>
    <row r="12" spans="1:30" s="1338" customFormat="1" ht="27">
      <c r="A12" s="2893"/>
      <c r="B12" s="2898" t="s">
        <v>2758</v>
      </c>
      <c r="C12" s="910"/>
      <c r="D12" s="255">
        <v>100</v>
      </c>
      <c r="E12" s="529"/>
      <c r="F12" s="255">
        <f>ROUND(100/'数据-取费表'!G16,0)</f>
        <v>121</v>
      </c>
      <c r="G12" s="530"/>
      <c r="H12" s="255">
        <f>ROUND(100/'数据-取费表'!G16,0)</f>
        <v>121</v>
      </c>
      <c r="I12" s="530"/>
      <c r="J12" s="255">
        <f>ROUND(100/'数据-取费表'!G16,0)</f>
        <v>121</v>
      </c>
      <c r="K12" s="531"/>
      <c r="L12" s="2138"/>
      <c r="M12" s="2132"/>
      <c r="N12" s="2132"/>
      <c r="O12" s="2139"/>
      <c r="P12" s="3376"/>
      <c r="Q12" s="1151" t="str">
        <f t="shared" si="6"/>
        <v>土地使用年限（年）</v>
      </c>
      <c r="R12" s="1568" t="s">
        <v>8</v>
      </c>
      <c r="S12" s="1569">
        <f t="shared" si="0"/>
        <v>121</v>
      </c>
      <c r="T12" s="1568" t="s">
        <v>8</v>
      </c>
      <c r="U12" s="1569">
        <f t="shared" si="1"/>
        <v>121</v>
      </c>
      <c r="V12" s="1568" t="s">
        <v>8</v>
      </c>
      <c r="W12" s="1569">
        <f t="shared" si="2"/>
        <v>121</v>
      </c>
      <c r="X12" s="1570"/>
      <c r="Y12" s="3322"/>
      <c r="Z12" s="1150" t="str">
        <f t="shared" si="7"/>
        <v>土地使用年限（年）</v>
      </c>
      <c r="AA12" s="1571">
        <f t="shared" si="3"/>
        <v>0.82644628099173556</v>
      </c>
      <c r="AB12" s="1571">
        <f t="shared" si="4"/>
        <v>0.82644628099173556</v>
      </c>
      <c r="AC12" s="1571">
        <f t="shared" si="5"/>
        <v>0.82644628099173556</v>
      </c>
    </row>
    <row r="13" spans="1:30" ht="20.25">
      <c r="A13" s="2894"/>
      <c r="B13" s="2898" t="s">
        <v>2759</v>
      </c>
      <c r="C13" s="534">
        <v>0.95</v>
      </c>
      <c r="D13" s="255">
        <v>100</v>
      </c>
      <c r="E13" s="533">
        <f>土地案例!H23</f>
        <v>2.71</v>
      </c>
      <c r="F13" s="255">
        <f>LOOKUP(E13,82:82,83:83)-LOOKUP(C13,82:82,83:83)+100</f>
        <v>88</v>
      </c>
      <c r="G13" s="534">
        <f>土地案例!H48</f>
        <v>2.5</v>
      </c>
      <c r="H13" s="255">
        <f>LOOKUP(G13,82:82,83:83)-LOOKUP(C13,82:82,83:83)+100</f>
        <v>88</v>
      </c>
      <c r="I13" s="533">
        <f>土地案例!H61</f>
        <v>2.8</v>
      </c>
      <c r="J13" s="255">
        <f>LOOKUP(I13,82:82,83:83)-LOOKUP(C13,82:82,83:83)+100</f>
        <v>88</v>
      </c>
      <c r="K13" s="535">
        <v>6</v>
      </c>
      <c r="L13" s="2140"/>
      <c r="M13" s="2132"/>
      <c r="N13" s="2132"/>
      <c r="O13" s="2141"/>
      <c r="P13" s="3376"/>
      <c r="Q13" s="1151" t="str">
        <f t="shared" si="6"/>
        <v>容积率</v>
      </c>
      <c r="R13" s="1568" t="s">
        <v>8</v>
      </c>
      <c r="S13" s="1569">
        <f t="shared" si="0"/>
        <v>88</v>
      </c>
      <c r="T13" s="1568" t="s">
        <v>8</v>
      </c>
      <c r="U13" s="1569">
        <f t="shared" si="1"/>
        <v>88</v>
      </c>
      <c r="V13" s="1568" t="s">
        <v>8</v>
      </c>
      <c r="W13" s="1569">
        <f t="shared" si="2"/>
        <v>88</v>
      </c>
      <c r="X13" s="1570"/>
      <c r="Y13" s="3322"/>
      <c r="Z13" s="1150" t="str">
        <f t="shared" si="7"/>
        <v>容积率</v>
      </c>
      <c r="AA13" s="1571">
        <f t="shared" si="3"/>
        <v>1.1363636363636365</v>
      </c>
      <c r="AB13" s="1571">
        <f t="shared" si="4"/>
        <v>1.1363636363636365</v>
      </c>
      <c r="AC13" s="1571">
        <f t="shared" si="5"/>
        <v>1.1363636363636365</v>
      </c>
    </row>
    <row r="14" spans="1:30" s="1220"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76"/>
      <c r="Q14" s="1151" t="str">
        <f t="shared" si="6"/>
        <v>配建</v>
      </c>
      <c r="R14" s="1568" t="s">
        <v>8</v>
      </c>
      <c r="S14" s="1569">
        <f t="shared" si="0"/>
        <v>100</v>
      </c>
      <c r="T14" s="1568" t="s">
        <v>8</v>
      </c>
      <c r="U14" s="1569">
        <f t="shared" si="1"/>
        <v>100</v>
      </c>
      <c r="V14" s="1568" t="s">
        <v>8</v>
      </c>
      <c r="W14" s="1569">
        <f t="shared" si="2"/>
        <v>100</v>
      </c>
      <c r="X14" s="1570"/>
      <c r="Y14" s="3322"/>
      <c r="Z14" s="1150" t="str">
        <f t="shared" si="7"/>
        <v>配建</v>
      </c>
      <c r="AA14" s="1571">
        <f>D14/F14</f>
        <v>1</v>
      </c>
      <c r="AB14" s="1571">
        <f>D14/H14</f>
        <v>1</v>
      </c>
      <c r="AC14" s="1571">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6"/>
      <c r="Q15" s="1151">
        <f t="shared" si="6"/>
        <v>111</v>
      </c>
      <c r="R15" s="1568" t="s">
        <v>8</v>
      </c>
      <c r="S15" s="1569">
        <f t="shared" si="0"/>
        <v>100</v>
      </c>
      <c r="T15" s="1568" t="s">
        <v>8</v>
      </c>
      <c r="U15" s="1569">
        <f t="shared" si="1"/>
        <v>100</v>
      </c>
      <c r="V15" s="1568" t="s">
        <v>8</v>
      </c>
      <c r="W15" s="1569">
        <f t="shared" si="2"/>
        <v>100</v>
      </c>
      <c r="X15" s="1570"/>
      <c r="Y15" s="3322"/>
      <c r="Z15" s="1150">
        <f t="shared" si="7"/>
        <v>111</v>
      </c>
      <c r="AA15" s="1571">
        <f>D15/F15</f>
        <v>1</v>
      </c>
      <c r="AB15" s="1571">
        <f>D15/H15</f>
        <v>1</v>
      </c>
      <c r="AC15" s="1571">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6"/>
      <c r="Q16" s="1151">
        <f t="shared" si="6"/>
        <v>111</v>
      </c>
      <c r="R16" s="1568" t="s">
        <v>8</v>
      </c>
      <c r="S16" s="1569">
        <f t="shared" si="0"/>
        <v>100</v>
      </c>
      <c r="T16" s="1568" t="s">
        <v>8</v>
      </c>
      <c r="U16" s="1569">
        <f t="shared" si="1"/>
        <v>100</v>
      </c>
      <c r="V16" s="1568" t="s">
        <v>8</v>
      </c>
      <c r="W16" s="1569">
        <f t="shared" si="2"/>
        <v>100</v>
      </c>
      <c r="X16" s="1570"/>
      <c r="Y16" s="3322"/>
      <c r="Z16" s="1150">
        <f t="shared" si="7"/>
        <v>111</v>
      </c>
      <c r="AA16" s="1571">
        <f>D16/F16</f>
        <v>1</v>
      </c>
      <c r="AB16" s="1571">
        <f>D16/H16</f>
        <v>1</v>
      </c>
      <c r="AC16" s="1571">
        <f>D16/J16</f>
        <v>1</v>
      </c>
    </row>
    <row r="17" spans="1:29" ht="20.25">
      <c r="A17" s="2888"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10" t="s">
        <v>540</v>
      </c>
      <c r="Q17" s="1572" t="str">
        <f t="shared" si="6"/>
        <v>居住社区成熟度</v>
      </c>
      <c r="R17" s="1573" t="s">
        <v>8</v>
      </c>
      <c r="S17" s="1574">
        <f t="shared" si="0"/>
        <v>100</v>
      </c>
      <c r="T17" s="1573" t="s">
        <v>8</v>
      </c>
      <c r="U17" s="1574">
        <f t="shared" si="1"/>
        <v>100</v>
      </c>
      <c r="V17" s="1573" t="s">
        <v>8</v>
      </c>
      <c r="W17" s="1574">
        <f t="shared" si="2"/>
        <v>100</v>
      </c>
      <c r="X17" s="1567"/>
      <c r="Y17" s="3410"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411"/>
      <c r="Q18" s="1572"/>
      <c r="R18" s="1573"/>
      <c r="S18" s="1574"/>
      <c r="T18" s="1573"/>
      <c r="U18" s="1574"/>
      <c r="V18" s="1573"/>
      <c r="W18" s="1574"/>
      <c r="X18" s="1567"/>
      <c r="Y18" s="3411"/>
      <c r="Z18" s="1575"/>
      <c r="AA18" s="1576">
        <v>1</v>
      </c>
      <c r="AB18" s="1576">
        <v>1</v>
      </c>
      <c r="AC18" s="1576">
        <v>1</v>
      </c>
    </row>
    <row r="19" spans="1:29" ht="20.25">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11"/>
      <c r="Q19" s="1572" t="str">
        <f>B19</f>
        <v>商业繁华度</v>
      </c>
      <c r="R19" s="1573" t="s">
        <v>8</v>
      </c>
      <c r="S19" s="1574">
        <f>F19</f>
        <v>100</v>
      </c>
      <c r="T19" s="1573" t="s">
        <v>8</v>
      </c>
      <c r="U19" s="1574">
        <f>H19</f>
        <v>100</v>
      </c>
      <c r="V19" s="1573" t="s">
        <v>8</v>
      </c>
      <c r="W19" s="1574">
        <f>J19</f>
        <v>100</v>
      </c>
      <c r="X19" s="1567"/>
      <c r="Y19" s="3411"/>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411"/>
      <c r="Q20" s="1572"/>
      <c r="R20" s="1573"/>
      <c r="S20" s="1574"/>
      <c r="T20" s="1573"/>
      <c r="U20" s="1574"/>
      <c r="V20" s="1573"/>
      <c r="W20" s="1574"/>
      <c r="X20" s="1567"/>
      <c r="Y20" s="3411"/>
      <c r="Z20" s="1575"/>
      <c r="AA20" s="1576">
        <v>1</v>
      </c>
      <c r="AB20" s="1576">
        <v>1</v>
      </c>
      <c r="AC20" s="1576">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11"/>
      <c r="Q21" s="1572" t="str">
        <f>B21</f>
        <v>办公集聚程度</v>
      </c>
      <c r="R21" s="1573" t="s">
        <v>8</v>
      </c>
      <c r="S21" s="1574">
        <f>F21</f>
        <v>100</v>
      </c>
      <c r="T21" s="1573" t="s">
        <v>8</v>
      </c>
      <c r="U21" s="1574">
        <f>H21</f>
        <v>100</v>
      </c>
      <c r="V21" s="1573" t="s">
        <v>8</v>
      </c>
      <c r="W21" s="1574">
        <f>J21</f>
        <v>100</v>
      </c>
      <c r="X21" s="1567"/>
      <c r="Y21" s="3411"/>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411"/>
      <c r="Q22" s="1572"/>
      <c r="R22" s="1573"/>
      <c r="S22" s="1574"/>
      <c r="T22" s="1573"/>
      <c r="U22" s="1574"/>
      <c r="V22" s="1573"/>
      <c r="W22" s="1574"/>
      <c r="X22" s="1567"/>
      <c r="Y22" s="3411"/>
      <c r="Z22" s="1575"/>
      <c r="AA22" s="1576">
        <v>1</v>
      </c>
      <c r="AB22" s="1576">
        <v>1</v>
      </c>
      <c r="AC22" s="1576">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11"/>
      <c r="Q23" s="1572" t="str">
        <f>B23</f>
        <v>交通便捷度</v>
      </c>
      <c r="R23" s="1573" t="s">
        <v>8</v>
      </c>
      <c r="S23" s="1574">
        <f>F23</f>
        <v>100</v>
      </c>
      <c r="T23" s="1573" t="s">
        <v>8</v>
      </c>
      <c r="U23" s="1574">
        <f>H23</f>
        <v>100</v>
      </c>
      <c r="V23" s="1573" t="s">
        <v>8</v>
      </c>
      <c r="W23" s="1574">
        <f>J23</f>
        <v>100</v>
      </c>
      <c r="X23" s="1567"/>
      <c r="Y23" s="3411"/>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411"/>
      <c r="Q24" s="1572"/>
      <c r="R24" s="1573"/>
      <c r="S24" s="1574"/>
      <c r="T24" s="1573"/>
      <c r="U24" s="1574"/>
      <c r="V24" s="1573"/>
      <c r="W24" s="1574"/>
      <c r="X24" s="1567"/>
      <c r="Y24" s="3411"/>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11"/>
      <c r="Q25" s="1572" t="str">
        <f t="shared" ref="Q25:Q39" si="8">B25</f>
        <v>区域土地利用方向</v>
      </c>
      <c r="R25" s="1573" t="s">
        <v>8</v>
      </c>
      <c r="S25" s="1574">
        <f>F25</f>
        <v>100</v>
      </c>
      <c r="T25" s="1573" t="s">
        <v>8</v>
      </c>
      <c r="U25" s="1574">
        <f>H25</f>
        <v>100</v>
      </c>
      <c r="V25" s="1573" t="s">
        <v>8</v>
      </c>
      <c r="W25" s="1574">
        <f>J25</f>
        <v>100</v>
      </c>
      <c r="X25" s="1567"/>
      <c r="Y25" s="3411"/>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411"/>
      <c r="Q26" s="1572"/>
      <c r="R26" s="1573"/>
      <c r="S26" s="1574"/>
      <c r="T26" s="1573"/>
      <c r="U26" s="1574"/>
      <c r="V26" s="1573"/>
      <c r="W26" s="1574"/>
      <c r="X26" s="1567"/>
      <c r="Y26" s="3411"/>
      <c r="Z26" s="1575"/>
      <c r="AA26" s="1576"/>
      <c r="AB26" s="1576"/>
      <c r="AC26" s="1576"/>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11"/>
      <c r="Q27" s="1572" t="str">
        <f t="shared" si="8"/>
        <v>自然及人文环境状况</v>
      </c>
      <c r="R27" s="1573" t="s">
        <v>8</v>
      </c>
      <c r="S27" s="1574">
        <f>F27</f>
        <v>100</v>
      </c>
      <c r="T27" s="1573" t="s">
        <v>8</v>
      </c>
      <c r="U27" s="1574">
        <f>H27</f>
        <v>100</v>
      </c>
      <c r="V27" s="1573" t="s">
        <v>8</v>
      </c>
      <c r="W27" s="1574">
        <f>J27</f>
        <v>100</v>
      </c>
      <c r="X27" s="1567"/>
      <c r="Y27" s="3411"/>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411"/>
      <c r="Q28" s="1572"/>
      <c r="R28" s="1573"/>
      <c r="S28" s="1574"/>
      <c r="T28" s="1573"/>
      <c r="U28" s="1574"/>
      <c r="V28" s="1573"/>
      <c r="W28" s="1574"/>
      <c r="X28" s="1567"/>
      <c r="Y28" s="3411"/>
      <c r="Z28" s="1575"/>
      <c r="AA28" s="1576">
        <v>1</v>
      </c>
      <c r="AB28" s="1576">
        <v>1</v>
      </c>
      <c r="AC28" s="1576">
        <v>1</v>
      </c>
    </row>
    <row r="29" spans="1:29" s="1220" customFormat="1" ht="20.25">
      <c r="A29" s="577"/>
      <c r="B29" s="2570" t="s">
        <v>2549</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11"/>
      <c r="Q29" s="1151" t="str">
        <f t="shared" si="8"/>
        <v>公共配套设施</v>
      </c>
      <c r="R29" s="1568" t="s">
        <v>8</v>
      </c>
      <c r="S29" s="1569">
        <f>F29</f>
        <v>100</v>
      </c>
      <c r="T29" s="1568" t="s">
        <v>8</v>
      </c>
      <c r="U29" s="1569">
        <f>H29</f>
        <v>100</v>
      </c>
      <c r="V29" s="1568" t="s">
        <v>8</v>
      </c>
      <c r="W29" s="1569">
        <f>J29</f>
        <v>100</v>
      </c>
      <c r="X29" s="1570"/>
      <c r="Y29" s="3411"/>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5"/>
      <c r="M30" s="2132"/>
      <c r="N30" s="2132"/>
      <c r="O30" s="2137"/>
      <c r="P30" s="3411"/>
      <c r="Q30" s="1151"/>
      <c r="R30" s="1568"/>
      <c r="S30" s="1569"/>
      <c r="T30" s="1568"/>
      <c r="U30" s="1569"/>
      <c r="V30" s="1568"/>
      <c r="W30" s="1569"/>
      <c r="X30" s="1570"/>
      <c r="Y30" s="3411"/>
      <c r="Z30" s="1150"/>
      <c r="AA30" s="1576">
        <v>1</v>
      </c>
      <c r="AB30" s="1576">
        <v>1</v>
      </c>
      <c r="AC30" s="1576">
        <v>1</v>
      </c>
    </row>
    <row r="31" spans="1:29" s="1220" customFormat="1" ht="20.25">
      <c r="A31" s="577"/>
      <c r="B31" s="2570" t="s">
        <v>2550</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11"/>
      <c r="Q31" s="2557" t="str">
        <f t="shared" ref="Q31" si="9">B31</f>
        <v>基础设施水平</v>
      </c>
      <c r="R31" s="1568" t="s">
        <v>8</v>
      </c>
      <c r="S31" s="1569">
        <f>F31</f>
        <v>100</v>
      </c>
      <c r="T31" s="1568" t="s">
        <v>8</v>
      </c>
      <c r="U31" s="1569">
        <f>H31</f>
        <v>100</v>
      </c>
      <c r="V31" s="1568" t="s">
        <v>8</v>
      </c>
      <c r="W31" s="1569">
        <f>J31</f>
        <v>100</v>
      </c>
      <c r="X31" s="1570"/>
      <c r="Y31" s="3411"/>
      <c r="Z31" s="2554" t="str">
        <f>Q31</f>
        <v>基础设施水平</v>
      </c>
      <c r="AA31" s="1576">
        <f>D31/F31</f>
        <v>1</v>
      </c>
      <c r="AB31" s="1576">
        <f>D31/H31</f>
        <v>1</v>
      </c>
      <c r="AC31" s="1576">
        <f>D31/J31</f>
        <v>1</v>
      </c>
    </row>
    <row r="32" spans="1:29" s="1220" customFormat="1" ht="20.25">
      <c r="A32" s="577"/>
      <c r="B32" s="566"/>
      <c r="C32" s="579"/>
      <c r="D32" s="557"/>
      <c r="E32" s="2571"/>
      <c r="F32" s="555"/>
      <c r="G32" s="579"/>
      <c r="H32" s="555"/>
      <c r="I32" s="579"/>
      <c r="J32" s="555"/>
      <c r="K32" s="531"/>
      <c r="L32" s="2135"/>
      <c r="M32" s="2132"/>
      <c r="N32" s="2132"/>
      <c r="O32" s="2137"/>
      <c r="P32" s="3411"/>
      <c r="Q32" s="2557"/>
      <c r="R32" s="1568"/>
      <c r="S32" s="1569"/>
      <c r="T32" s="1568"/>
      <c r="U32" s="1569"/>
      <c r="V32" s="1568"/>
      <c r="W32" s="1569"/>
      <c r="X32" s="1570"/>
      <c r="Y32" s="3411"/>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1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1"/>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11"/>
      <c r="Q34" s="1572" t="str">
        <f t="shared" si="8"/>
        <v>毗邻道路的类型与等级</v>
      </c>
      <c r="R34" s="1573" t="s">
        <v>8</v>
      </c>
      <c r="S34" s="1574">
        <f t="shared" si="10"/>
        <v>100</v>
      </c>
      <c r="T34" s="1573" t="s">
        <v>8</v>
      </c>
      <c r="U34" s="1574">
        <f t="shared" si="11"/>
        <v>100</v>
      </c>
      <c r="V34" s="1573" t="s">
        <v>8</v>
      </c>
      <c r="W34" s="1574">
        <f t="shared" si="12"/>
        <v>100</v>
      </c>
      <c r="X34" s="1567"/>
      <c r="Y34" s="3411"/>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11"/>
      <c r="Q35" s="1572"/>
      <c r="R35" s="1573"/>
      <c r="S35" s="1574"/>
      <c r="T35" s="1573"/>
      <c r="U35" s="1574"/>
      <c r="V35" s="1573"/>
      <c r="W35" s="1574"/>
      <c r="X35" s="1567"/>
      <c r="Y35" s="3411"/>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1"/>
      <c r="Q36" s="1572" t="str">
        <f t="shared" si="8"/>
        <v>土地级别</v>
      </c>
      <c r="R36" s="1573" t="s">
        <v>8</v>
      </c>
      <c r="S36" s="1574">
        <f t="shared" si="10"/>
        <v>100</v>
      </c>
      <c r="T36" s="1573" t="s">
        <v>8</v>
      </c>
      <c r="U36" s="1574">
        <f t="shared" si="11"/>
        <v>100</v>
      </c>
      <c r="V36" s="1573" t="s">
        <v>8</v>
      </c>
      <c r="W36" s="1574">
        <f t="shared" si="12"/>
        <v>100</v>
      </c>
      <c r="X36" s="1567"/>
      <c r="Y36" s="3411"/>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1"/>
      <c r="Q37" s="1572">
        <f t="shared" si="8"/>
        <v>111</v>
      </c>
      <c r="R37" s="1573" t="s">
        <v>8</v>
      </c>
      <c r="S37" s="1574">
        <f t="shared" si="10"/>
        <v>100</v>
      </c>
      <c r="T37" s="1573" t="s">
        <v>8</v>
      </c>
      <c r="U37" s="1574">
        <f t="shared" si="11"/>
        <v>100</v>
      </c>
      <c r="V37" s="1573" t="s">
        <v>8</v>
      </c>
      <c r="W37" s="1574">
        <f t="shared" si="12"/>
        <v>100</v>
      </c>
      <c r="X37" s="1567"/>
      <c r="Y37" s="341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2" t="s">
        <v>550</v>
      </c>
      <c r="Q38" s="1572">
        <f t="shared" si="8"/>
        <v>111</v>
      </c>
      <c r="R38" s="1573" t="s">
        <v>8</v>
      </c>
      <c r="S38" s="1574">
        <f t="shared" si="10"/>
        <v>100</v>
      </c>
      <c r="T38" s="1573" t="s">
        <v>8</v>
      </c>
      <c r="U38" s="1574">
        <f t="shared" si="11"/>
        <v>100</v>
      </c>
      <c r="V38" s="1573" t="s">
        <v>8</v>
      </c>
      <c r="W38" s="1574">
        <f t="shared" si="12"/>
        <v>100</v>
      </c>
      <c r="X38" s="1567"/>
      <c r="Y38" s="3413"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3"/>
      <c r="Q39" s="1572">
        <f t="shared" si="8"/>
        <v>111</v>
      </c>
      <c r="R39" s="1577" t="s">
        <v>8</v>
      </c>
      <c r="S39" s="1578">
        <f t="shared" si="10"/>
        <v>100</v>
      </c>
      <c r="T39" s="1577" t="s">
        <v>8</v>
      </c>
      <c r="U39" s="1578">
        <f t="shared" si="11"/>
        <v>100</v>
      </c>
      <c r="V39" s="1577" t="s">
        <v>8</v>
      </c>
      <c r="W39" s="1578">
        <f t="shared" si="12"/>
        <v>100</v>
      </c>
      <c r="X39" s="1579"/>
      <c r="Y39" s="3413"/>
      <c r="Z39" s="1580">
        <f t="shared" si="13"/>
        <v>111</v>
      </c>
      <c r="AA39" s="1576">
        <f t="shared" si="3"/>
        <v>1</v>
      </c>
      <c r="AB39" s="1576">
        <f t="shared" si="4"/>
        <v>1</v>
      </c>
      <c r="AC39" s="1576">
        <f t="shared" si="5"/>
        <v>1</v>
      </c>
    </row>
    <row r="40" spans="1:29" ht="20.25">
      <c r="A40" s="2885" t="s">
        <v>2756</v>
      </c>
      <c r="B40" s="595" t="s">
        <v>552</v>
      </c>
      <c r="C40" s="596">
        <f>'数据-基础表'!A3</f>
        <v>268474.83</v>
      </c>
      <c r="D40" s="597">
        <v>100</v>
      </c>
      <c r="E40" s="596">
        <f>土地案例!E23</f>
        <v>323348.3</v>
      </c>
      <c r="F40" s="597">
        <f>LOOKUP(E40,119:119,120:120)-LOOKUP(C40,119:119,120:120)+100</f>
        <v>100</v>
      </c>
      <c r="G40" s="596">
        <f>土地案例!E48</f>
        <v>48326</v>
      </c>
      <c r="H40" s="597">
        <f>LOOKUP(G40,119:119,120:120)-LOOKUP(C40,119:119,120:120)+100</f>
        <v>90</v>
      </c>
      <c r="I40" s="598">
        <f>土地案例!E61</f>
        <v>135173</v>
      </c>
      <c r="J40" s="597">
        <f>LOOKUP(I40,119:119,120:120)-LOOKUP(C40,119:119,120:120)+100</f>
        <v>100</v>
      </c>
      <c r="K40" s="581"/>
      <c r="L40" s="2142"/>
      <c r="M40" s="2132"/>
      <c r="N40" s="2132"/>
      <c r="O40" s="2141"/>
      <c r="P40" s="3413"/>
      <c r="Q40" s="1572" t="str">
        <f>B40</f>
        <v>宗地面积</v>
      </c>
      <c r="R40" s="1573" t="s">
        <v>8</v>
      </c>
      <c r="S40" s="1574">
        <f t="shared" si="10"/>
        <v>100</v>
      </c>
      <c r="T40" s="1573" t="s">
        <v>8</v>
      </c>
      <c r="U40" s="1574">
        <f t="shared" si="11"/>
        <v>90</v>
      </c>
      <c r="V40" s="1573" t="s">
        <v>8</v>
      </c>
      <c r="W40" s="1574">
        <f t="shared" si="12"/>
        <v>100</v>
      </c>
      <c r="X40" s="1567"/>
      <c r="Y40" s="3413"/>
      <c r="Z40" s="1575" t="str">
        <f t="shared" si="13"/>
        <v>宗地面积</v>
      </c>
      <c r="AA40" s="1576">
        <f t="shared" si="3"/>
        <v>1</v>
      </c>
      <c r="AB40" s="1576">
        <f t="shared" si="4"/>
        <v>1.1111111111111112</v>
      </c>
      <c r="AC40" s="1576">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13"/>
      <c r="Q41" s="1572" t="str">
        <f t="shared" ref="Q41:Q47" si="14">B41</f>
        <v>宗地形状</v>
      </c>
      <c r="R41" s="1573" t="s">
        <v>8</v>
      </c>
      <c r="S41" s="1574">
        <f t="shared" si="10"/>
        <v>100</v>
      </c>
      <c r="T41" s="1573" t="s">
        <v>8</v>
      </c>
      <c r="U41" s="1574">
        <f t="shared" si="11"/>
        <v>100</v>
      </c>
      <c r="V41" s="1573" t="s">
        <v>8</v>
      </c>
      <c r="W41" s="1574">
        <f t="shared" si="12"/>
        <v>100</v>
      </c>
      <c r="X41" s="1567"/>
      <c r="Y41" s="3413"/>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3"/>
      <c r="Q42" s="1572" t="str">
        <f t="shared" si="14"/>
        <v>临街宽度及深度</v>
      </c>
      <c r="R42" s="1573" t="s">
        <v>8</v>
      </c>
      <c r="S42" s="1574">
        <f t="shared" si="10"/>
        <v>100</v>
      </c>
      <c r="T42" s="1573" t="s">
        <v>8</v>
      </c>
      <c r="U42" s="1574">
        <f t="shared" si="11"/>
        <v>100</v>
      </c>
      <c r="V42" s="1573" t="s">
        <v>8</v>
      </c>
      <c r="W42" s="1574">
        <f t="shared" si="12"/>
        <v>100</v>
      </c>
      <c r="X42" s="1567"/>
      <c r="Y42" s="3413"/>
      <c r="Z42" s="1575" t="str">
        <f t="shared" si="13"/>
        <v>临街宽度及深度</v>
      </c>
      <c r="AA42" s="1576">
        <f t="shared" si="3"/>
        <v>1</v>
      </c>
      <c r="AB42" s="1576">
        <f t="shared" si="4"/>
        <v>1</v>
      </c>
      <c r="AC42" s="1576">
        <f t="shared" si="5"/>
        <v>1</v>
      </c>
    </row>
    <row r="43" spans="1:29" s="1220"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13"/>
      <c r="Q43" s="1572" t="str">
        <f t="shared" si="14"/>
        <v>宗地开发程度</v>
      </c>
      <c r="R43" s="1568" t="s">
        <v>8</v>
      </c>
      <c r="S43" s="1569">
        <f t="shared" si="10"/>
        <v>100</v>
      </c>
      <c r="T43" s="1568" t="s">
        <v>8</v>
      </c>
      <c r="U43" s="1569">
        <f t="shared" si="11"/>
        <v>100</v>
      </c>
      <c r="V43" s="1568" t="s">
        <v>8</v>
      </c>
      <c r="W43" s="1569">
        <f t="shared" si="12"/>
        <v>100</v>
      </c>
      <c r="X43" s="1570"/>
      <c r="Y43" s="3413"/>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13" t="s">
        <v>550</v>
      </c>
      <c r="Q44" s="1572" t="str">
        <f t="shared" si="14"/>
        <v>工程地质条件</v>
      </c>
      <c r="R44" s="1573" t="s">
        <v>8</v>
      </c>
      <c r="S44" s="1574">
        <f t="shared" si="10"/>
        <v>100</v>
      </c>
      <c r="T44" s="1573" t="s">
        <v>8</v>
      </c>
      <c r="U44" s="1574">
        <f t="shared" si="11"/>
        <v>100</v>
      </c>
      <c r="V44" s="1573" t="s">
        <v>8</v>
      </c>
      <c r="W44" s="1574">
        <f t="shared" si="12"/>
        <v>100</v>
      </c>
      <c r="X44" s="1567"/>
      <c r="Y44" s="3413"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3"/>
      <c r="Q45" s="1572">
        <f t="shared" si="14"/>
        <v>111</v>
      </c>
      <c r="R45" s="1573" t="s">
        <v>8</v>
      </c>
      <c r="S45" s="1574">
        <f t="shared" si="10"/>
        <v>100</v>
      </c>
      <c r="T45" s="1573" t="s">
        <v>8</v>
      </c>
      <c r="U45" s="1574">
        <f t="shared" si="11"/>
        <v>100</v>
      </c>
      <c r="V45" s="1573" t="s">
        <v>8</v>
      </c>
      <c r="W45" s="1574">
        <f t="shared" si="12"/>
        <v>100</v>
      </c>
      <c r="X45" s="1567"/>
      <c r="Y45" s="341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3"/>
      <c r="Q46" s="1572">
        <f t="shared" si="14"/>
        <v>111</v>
      </c>
      <c r="R46" s="1573" t="s">
        <v>8</v>
      </c>
      <c r="S46" s="1574">
        <f t="shared" si="10"/>
        <v>100</v>
      </c>
      <c r="T46" s="1573" t="s">
        <v>8</v>
      </c>
      <c r="U46" s="1574">
        <f t="shared" si="11"/>
        <v>100</v>
      </c>
      <c r="V46" s="1573" t="s">
        <v>8</v>
      </c>
      <c r="W46" s="1574">
        <f t="shared" si="12"/>
        <v>100</v>
      </c>
      <c r="X46" s="1567"/>
      <c r="Y46" s="341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3"/>
      <c r="Q47" s="1572">
        <f t="shared" si="14"/>
        <v>111</v>
      </c>
      <c r="R47" s="1577" t="s">
        <v>8</v>
      </c>
      <c r="S47" s="1578">
        <f t="shared" si="10"/>
        <v>100</v>
      </c>
      <c r="T47" s="1577" t="s">
        <v>8</v>
      </c>
      <c r="U47" s="1578">
        <f t="shared" si="11"/>
        <v>100</v>
      </c>
      <c r="V47" s="1577" t="s">
        <v>8</v>
      </c>
      <c r="W47" s="1578">
        <f t="shared" si="12"/>
        <v>100</v>
      </c>
      <c r="X47" s="1579"/>
      <c r="Y47" s="3413"/>
      <c r="Z47" s="1580">
        <f t="shared" si="13"/>
        <v>111</v>
      </c>
      <c r="AA47" s="1576">
        <f t="shared" si="3"/>
        <v>1</v>
      </c>
      <c r="AB47" s="1576">
        <f t="shared" si="4"/>
        <v>1</v>
      </c>
      <c r="AC47" s="1576">
        <f t="shared" si="5"/>
        <v>1</v>
      </c>
    </row>
    <row r="48" spans="1:29" ht="20.25">
      <c r="A48" s="607" t="s">
        <v>556</v>
      </c>
      <c r="B48" s="608" t="s">
        <v>3211</v>
      </c>
      <c r="C48" s="609" t="s">
        <v>1</v>
      </c>
      <c r="D48" s="610"/>
      <c r="E48" s="611">
        <f>土地案例!M23</f>
        <v>15000</v>
      </c>
      <c r="F48" s="612"/>
      <c r="G48" s="613">
        <f>土地案例!M48</f>
        <v>14689</v>
      </c>
      <c r="H48" s="614"/>
      <c r="I48" s="611">
        <f>土地案例!M61</f>
        <v>14500</v>
      </c>
      <c r="J48" s="614"/>
      <c r="K48" s="1340"/>
      <c r="L48" s="2144"/>
      <c r="M48" s="2132"/>
      <c r="N48" s="2132"/>
      <c r="O48" s="2145"/>
      <c r="P48" s="3376" t="str">
        <f>A48</f>
        <v>成交单价</v>
      </c>
      <c r="Q48" s="3376"/>
      <c r="R48" s="3377">
        <f>E48</f>
        <v>15000</v>
      </c>
      <c r="S48" s="3377"/>
      <c r="T48" s="3377">
        <f>G48</f>
        <v>14689</v>
      </c>
      <c r="U48" s="3377"/>
      <c r="V48" s="3377">
        <f>I48</f>
        <v>14500</v>
      </c>
      <c r="W48" s="3377"/>
      <c r="X48" s="1559"/>
      <c r="Y48" s="1581"/>
      <c r="Z48" s="1559"/>
      <c r="AA48" s="1559"/>
      <c r="AB48" s="1559"/>
      <c r="AC48" s="1559"/>
    </row>
    <row r="49" spans="1:29" ht="21" thickBot="1">
      <c r="A49" s="615" t="s">
        <v>2694</v>
      </c>
      <c r="B49" s="616"/>
      <c r="C49" s="617">
        <f>R50</f>
        <v>15253</v>
      </c>
      <c r="D49" s="618"/>
      <c r="E49" s="617">
        <f>R49</f>
        <v>14986</v>
      </c>
      <c r="F49" s="619"/>
      <c r="G49" s="620">
        <f>T49</f>
        <v>15641</v>
      </c>
      <c r="H49" s="618"/>
      <c r="I49" s="617">
        <f>V49</f>
        <v>15131</v>
      </c>
      <c r="J49" s="618"/>
      <c r="K49" s="1341"/>
      <c r="L49" s="2144"/>
      <c r="M49" s="2132"/>
      <c r="N49" s="2132"/>
      <c r="O49" s="2145"/>
      <c r="P49" s="3376" t="str">
        <f>A49</f>
        <v>比较价格（元/平方米）</v>
      </c>
      <c r="Q49" s="3376"/>
      <c r="R49" s="3378">
        <f>ROUND(PRODUCT(R48,AA9:AA47),0)</f>
        <v>14986</v>
      </c>
      <c r="S49" s="3378"/>
      <c r="T49" s="3378">
        <f>ROUND(PRODUCT(T48,AB9:AB47),0)</f>
        <v>15641</v>
      </c>
      <c r="U49" s="3378"/>
      <c r="V49" s="3378">
        <f>ROUND(PRODUCT(V48,AC9:AC47),0)</f>
        <v>15131</v>
      </c>
      <c r="W49" s="3378"/>
      <c r="X49" s="1559"/>
      <c r="Y49" s="1559"/>
      <c r="Z49" s="1559"/>
      <c r="AA49" s="1559"/>
      <c r="AB49" s="1559"/>
      <c r="AC49" s="1559"/>
    </row>
    <row r="50" spans="1:29" ht="21" thickBot="1">
      <c r="A50" s="621" t="s">
        <v>2929</v>
      </c>
      <c r="B50" s="622"/>
      <c r="C50" s="623">
        <f>R50</f>
        <v>15253</v>
      </c>
      <c r="D50" s="623"/>
      <c r="E50" s="623"/>
      <c r="F50" s="623"/>
      <c r="G50" s="623"/>
      <c r="H50" s="623"/>
      <c r="I50" s="623"/>
      <c r="J50" s="623"/>
      <c r="K50" s="1342"/>
      <c r="L50" s="2144"/>
      <c r="M50" s="2132"/>
      <c r="N50" s="2132"/>
      <c r="O50" s="2145"/>
      <c r="P50" s="3373" t="str">
        <f>A50</f>
        <v>估价对象XX用房的比较价格（楼面单价，元/平方米）</v>
      </c>
      <c r="Q50" s="3374"/>
      <c r="R50" s="3375">
        <f>ROUND(AVERAGE(R49:V49),0)</f>
        <v>15253</v>
      </c>
      <c r="S50" s="3375"/>
      <c r="T50" s="3375"/>
      <c r="U50" s="3375"/>
      <c r="V50" s="3375"/>
      <c r="W50" s="3375"/>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9.3420525824106093E-4</v>
      </c>
      <c r="F53" s="627" t="str">
        <f>IF(OR(E53&gt;=0.3,E53&lt;=-0.3),"超过30%","")</f>
        <v/>
      </c>
      <c r="G53" s="626">
        <f>IF(G48&lt;G49,G49/G48-1,G48/G49-1)</f>
        <v>6.4810402341888507E-2</v>
      </c>
      <c r="H53" s="627" t="str">
        <f>IF(OR(G53&gt;=0.3,G53&lt;=-0.3),"超过30%","")</f>
        <v/>
      </c>
      <c r="I53" s="626">
        <f>IF(I48&lt;I49,I49/I48-1,I48/I49-1)</f>
        <v>4.3517241379310345E-2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4.370746029627659E-2</v>
      </c>
      <c r="F54" s="627" t="str">
        <f>IF(OR(E54&gt;=0.2,E54&lt;=-0.2),"超过20%","")</f>
        <v/>
      </c>
      <c r="G54" s="626">
        <f>IF(G49&lt;I49,I49/G49-1,G49/I49-1)</f>
        <v>3.3705637433084412E-2</v>
      </c>
      <c r="H54" s="627" t="str">
        <f>IF(OR(G54&gt;=0.2,G54&lt;=-0.2),"超过20%","")</f>
        <v/>
      </c>
      <c r="I54" s="626">
        <f>IF(I49&lt;E49,E49/I49-1,I49/E49-1)</f>
        <v>9.6756973174962901E-3</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2.1172305807066527E-2</v>
      </c>
      <c r="F55" s="627" t="str">
        <f>IF(OR(E55&gt;=0.3,E55&lt;=-0.3),"超过30%","")</f>
        <v/>
      </c>
      <c r="G55" s="626">
        <f>IF(G48&lt;I48,I48/G48-1,G48/I48-1)</f>
        <v>1.3034482758620625E-2</v>
      </c>
      <c r="H55" s="627" t="str">
        <f>IF(OR(G55&gt;=0.3,G55&lt;=-0.3),"超过30%","")</f>
        <v/>
      </c>
      <c r="I55" s="626">
        <f>IF(I48&lt;E48,E48/I48-1,I48/E48-1)</f>
        <v>3.4482758620689724E-2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402" t="s">
        <v>2282</v>
      </c>
      <c r="H57" s="3403"/>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15253</v>
      </c>
      <c r="C58" s="635">
        <v>1</v>
      </c>
      <c r="D58" s="2228">
        <v>1</v>
      </c>
      <c r="E58" s="635">
        <f>'数据-汇总表'!E8+'数据-汇总表'!E9</f>
        <v>241896</v>
      </c>
      <c r="F58" s="636">
        <f t="shared" ref="F58:F67" si="15">ROUND(B58*E58/10000,0)</f>
        <v>368964</v>
      </c>
      <c r="G58" s="3404"/>
      <c r="H58" s="3405"/>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06"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06"/>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06"/>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06"/>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168688</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410584</v>
      </c>
      <c r="F68" s="644">
        <f>IF(B48="楼面地价",SUM(F58:F67),ROUND(C50*E68/10000,0))</f>
        <v>368964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2019-4-1</v>
      </c>
      <c r="D70" s="2777">
        <f>EDATE(C70,-3)</f>
        <v>43466</v>
      </c>
      <c r="E70" s="2777">
        <f t="shared" ref="E70:N70" si="18">EDATE(D70,-3)</f>
        <v>43374</v>
      </c>
      <c r="F70" s="2777">
        <f t="shared" si="18"/>
        <v>43282</v>
      </c>
      <c r="G70" s="2777">
        <f t="shared" si="18"/>
        <v>43191</v>
      </c>
      <c r="H70" s="2777">
        <f t="shared" si="18"/>
        <v>43101</v>
      </c>
      <c r="I70" s="2777">
        <f t="shared" si="18"/>
        <v>43009</v>
      </c>
      <c r="J70" s="2777">
        <f t="shared" si="18"/>
        <v>42917</v>
      </c>
      <c r="K70" s="2777">
        <f t="shared" si="18"/>
        <v>42826</v>
      </c>
      <c r="L70" s="2777">
        <f t="shared" si="18"/>
        <v>42736</v>
      </c>
      <c r="M70" s="2777">
        <f t="shared" si="18"/>
        <v>42644</v>
      </c>
      <c r="N70" s="2777">
        <f t="shared" si="18"/>
        <v>42552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2019-2</v>
      </c>
      <c r="D72" s="2779" t="str">
        <f>YEAR(D70)&amp;"-"&amp;ROUNDUP(MONTH(D70)/3,0)</f>
        <v>2019-1</v>
      </c>
      <c r="E72" s="2779" t="str">
        <f t="shared" ref="E72:N72" si="19">YEAR(E70)&amp;"-"&amp;ROUNDUP(MONTH(E70)/3,0)</f>
        <v>2018-4</v>
      </c>
      <c r="F72" s="2779" t="str">
        <f t="shared" si="19"/>
        <v>2018-3</v>
      </c>
      <c r="G72" s="2779" t="str">
        <f t="shared" si="19"/>
        <v>2018-2</v>
      </c>
      <c r="H72" s="2779" t="str">
        <f t="shared" si="19"/>
        <v>2018-1</v>
      </c>
      <c r="I72" s="2779" t="str">
        <f t="shared" si="19"/>
        <v>2017-4</v>
      </c>
      <c r="J72" s="2779" t="str">
        <f t="shared" si="19"/>
        <v>2017-3</v>
      </c>
      <c r="K72" s="2779" t="str">
        <f t="shared" si="19"/>
        <v>2017-2</v>
      </c>
      <c r="L72" s="2779" t="str">
        <f t="shared" si="19"/>
        <v>2017-1</v>
      </c>
      <c r="M72" s="2779" t="str">
        <f t="shared" si="19"/>
        <v>2016-4</v>
      </c>
      <c r="N72" s="2779" t="str">
        <f t="shared" si="19"/>
        <v>2016-3</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3203">
        <f>C73-$C$74</f>
        <v>99</v>
      </c>
      <c r="E73" s="3203">
        <f t="shared" ref="E73:N73" si="20">D73-$C$74</f>
        <v>98</v>
      </c>
      <c r="F73" s="3203">
        <f t="shared" si="20"/>
        <v>97</v>
      </c>
      <c r="G73" s="3203">
        <f t="shared" si="20"/>
        <v>96</v>
      </c>
      <c r="H73" s="3203">
        <f t="shared" si="20"/>
        <v>95</v>
      </c>
      <c r="I73" s="3203">
        <f t="shared" si="20"/>
        <v>94</v>
      </c>
      <c r="J73" s="3203">
        <f t="shared" si="20"/>
        <v>93</v>
      </c>
      <c r="K73" s="3203">
        <f t="shared" si="20"/>
        <v>92</v>
      </c>
      <c r="L73" s="3203">
        <f t="shared" si="20"/>
        <v>91</v>
      </c>
      <c r="M73" s="3203">
        <f t="shared" si="20"/>
        <v>90</v>
      </c>
      <c r="N73" s="3203">
        <f t="shared" si="2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v>1</v>
      </c>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94</v>
      </c>
      <c r="E83" s="679">
        <f t="shared" ref="E83:M83" si="22">IF($B$48="单位面积地价",D83+$K13,D83-$K13)</f>
        <v>88</v>
      </c>
      <c r="F83" s="679">
        <f t="shared" si="22"/>
        <v>82</v>
      </c>
      <c r="G83" s="679">
        <f t="shared" si="22"/>
        <v>76</v>
      </c>
      <c r="H83" s="679">
        <f t="shared" si="22"/>
        <v>70</v>
      </c>
      <c r="I83" s="679">
        <f t="shared" si="22"/>
        <v>64</v>
      </c>
      <c r="J83" s="679">
        <f t="shared" si="22"/>
        <v>58</v>
      </c>
      <c r="K83" s="679">
        <f t="shared" si="22"/>
        <v>52</v>
      </c>
      <c r="L83" s="679">
        <f t="shared" si="22"/>
        <v>46</v>
      </c>
      <c r="M83" s="679">
        <f t="shared" si="22"/>
        <v>40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20000(含)-40000</v>
      </c>
      <c r="E118" s="704" t="str">
        <f t="shared" si="26"/>
        <v>40000(含)-60000</v>
      </c>
      <c r="F118" s="704" t="str">
        <f t="shared" si="26"/>
        <v>60000(含)-80000</v>
      </c>
      <c r="G118" s="704" t="str">
        <f t="shared" si="26"/>
        <v>80000(含)-100000</v>
      </c>
      <c r="H118" s="704" t="str">
        <f t="shared" si="26"/>
        <v>100000(含)-150000</v>
      </c>
      <c r="I118" s="704" t="str">
        <f t="shared" si="26"/>
        <v>150000(含)-20000</v>
      </c>
      <c r="J118" s="3068" t="str">
        <f t="shared" si="26"/>
        <v>20000(含)-</v>
      </c>
      <c r="K118" s="3068" t="str">
        <f t="shared" si="26"/>
        <v>(含)-</v>
      </c>
      <c r="L118" s="3069" t="str">
        <f t="shared" si="26"/>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v>150000</v>
      </c>
      <c r="J119" s="2346">
        <v>20000</v>
      </c>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v>110</v>
      </c>
      <c r="I120" s="726">
        <v>112</v>
      </c>
      <c r="J120" s="726">
        <v>114</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8" t="str">
        <f>项目基本情况!B1</f>
        <v>出让国有建设用地使用权预评估</v>
      </c>
      <c r="C37" s="3208"/>
      <c r="D37" s="3208"/>
      <c r="E37" s="3208"/>
      <c r="F37" s="3208"/>
      <c r="G37" s="3208"/>
      <c r="H37" s="3208"/>
      <c r="I37" s="3208"/>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H16" sqref="H16"/>
    </sheetView>
  </sheetViews>
  <sheetFormatPr defaultColWidth="6.625" defaultRowHeight="12.75"/>
  <cols>
    <col min="1" max="1" width="9.75" style="2124" customWidth="1"/>
    <col min="2" max="2" width="24.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6.25"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10</v>
      </c>
    </row>
    <row r="2" spans="1:31" s="2041" customFormat="1" ht="18" customHeight="1">
      <c r="A2" s="2101" t="s">
        <v>467</v>
      </c>
      <c r="B2" s="2105">
        <f ca="1">C36</f>
        <v>615719</v>
      </c>
      <c r="C2" s="2104"/>
      <c r="D2" s="2104"/>
      <c r="E2" s="2104"/>
      <c r="F2" s="2104"/>
      <c r="G2" s="2104"/>
      <c r="H2" s="2104"/>
      <c r="I2" s="2104"/>
      <c r="J2" s="2104"/>
      <c r="K2" s="2104"/>
    </row>
    <row r="3" spans="1:31" s="2041" customFormat="1" ht="18" customHeight="1">
      <c r="A3" s="2106" t="s">
        <v>1685</v>
      </c>
      <c r="B3" s="2107">
        <f ca="1">ROUND(B2*10000/IF(B1="",'数据-汇总表'!E3,INDIRECT("'数据-取费表'!K"&amp;$K$1)),0)</f>
        <v>14531</v>
      </c>
      <c r="C3" s="2104"/>
      <c r="D3" s="2104"/>
      <c r="E3" s="2104"/>
      <c r="F3" s="2104"/>
      <c r="G3" s="2104"/>
      <c r="H3" s="2104"/>
      <c r="I3" s="2104"/>
      <c r="J3" s="2104"/>
      <c r="K3" s="2104"/>
    </row>
    <row r="4" spans="1:31" s="2041" customFormat="1" ht="18" customHeight="1">
      <c r="A4" s="426" t="s">
        <v>468</v>
      </c>
      <c r="B4" s="427">
        <f ca="1">ROUND(B2*10000/IF(B1="",'数据-汇总表'!D3,INDIRECT("'数据-取费表'!R"&amp;$K$1)),0)</f>
        <v>22934</v>
      </c>
      <c r="C4" s="428"/>
      <c r="D4" s="422"/>
      <c r="E4" s="422"/>
      <c r="F4" s="422"/>
      <c r="G4" s="422"/>
      <c r="H4" s="422"/>
      <c r="I4" s="422"/>
      <c r="J4" s="422"/>
      <c r="K4" s="422"/>
    </row>
    <row r="5" spans="1:31" s="2041" customFormat="1" ht="18" customHeight="1" thickBot="1">
      <c r="A5" s="429"/>
      <c r="B5" s="430">
        <f ca="1">ROUND(B2/(IF(B1="",'数据-汇总表'!D3,INDIRECT("'数据-取费表'!R"&amp;$K$1))/666.67),0)</f>
        <v>1529</v>
      </c>
      <c r="C5" s="431" t="s">
        <v>469</v>
      </c>
      <c r="D5" s="422"/>
      <c r="E5" s="422"/>
      <c r="F5" s="422"/>
      <c r="G5" s="422"/>
      <c r="H5" s="422"/>
      <c r="I5" s="422"/>
      <c r="J5" s="422"/>
      <c r="K5" s="422"/>
    </row>
    <row r="6" spans="1:31" s="2111" customFormat="1" ht="16.5" customHeight="1">
      <c r="A6" s="2806" t="s">
        <v>1843</v>
      </c>
      <c r="B6" s="2807"/>
      <c r="C6" s="2808">
        <f>SUM(C10:K10)</f>
        <v>1105739.7</v>
      </c>
      <c r="D6" s="2807"/>
      <c r="E6" s="2807"/>
      <c r="F6" s="2807"/>
      <c r="G6" s="2807"/>
      <c r="H6" s="2807"/>
      <c r="I6" s="2807"/>
      <c r="J6" s="2807"/>
      <c r="K6" s="2809"/>
    </row>
    <row r="7" spans="1:31" s="2113" customFormat="1" ht="15">
      <c r="A7" s="2810" t="s">
        <v>470</v>
      </c>
      <c r="B7" s="2811" t="s">
        <v>471</v>
      </c>
      <c r="C7" s="436" t="s">
        <v>3006</v>
      </c>
      <c r="D7" s="436" t="s">
        <v>3008</v>
      </c>
      <c r="E7" s="436" t="s">
        <v>3002</v>
      </c>
      <c r="F7" s="436" t="s">
        <v>35</v>
      </c>
      <c r="G7" s="436"/>
      <c r="H7" s="436"/>
      <c r="I7" s="436"/>
      <c r="J7" s="436"/>
      <c r="K7" s="437"/>
      <c r="L7" s="3204" t="s">
        <v>3212</v>
      </c>
      <c r="M7" s="2112">
        <v>29000</v>
      </c>
      <c r="N7" s="3187" t="s">
        <v>3154</v>
      </c>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3207">
        <v>35000</v>
      </c>
      <c r="D8" s="3207">
        <v>42000</v>
      </c>
      <c r="E8" s="2812">
        <v>35000</v>
      </c>
      <c r="F8" s="2812">
        <v>7500</v>
      </c>
      <c r="G8" s="2812"/>
      <c r="H8" s="2812"/>
      <c r="I8" s="2812"/>
      <c r="J8" s="2812"/>
      <c r="K8" s="2813"/>
      <c r="L8" s="3187" t="s">
        <v>3156</v>
      </c>
      <c r="M8" s="2114">
        <v>22000</v>
      </c>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47353</v>
      </c>
      <c r="D9" s="441">
        <f>SUMIF('数据-汇总表'!$C19:$C33,'剩余法-待开发'!D7,'数据-汇总表'!$E19:$E33)</f>
        <v>189411</v>
      </c>
      <c r="E9" s="441">
        <f>SUMIF('数据-汇总表'!$C19:$C33,'剩余法-待开发'!E7,'数据-汇总表'!$E19:$E33)</f>
        <v>5132</v>
      </c>
      <c r="F9" s="441">
        <f>SUMIF('数据-汇总表'!$C19:$C33,'剩余法-待开发'!F7,'数据-汇总表'!$E19:$E33)</f>
        <v>168688</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05" t="s">
        <v>3152</v>
      </c>
      <c r="M9" s="2114">
        <v>35000</v>
      </c>
      <c r="N9" s="3187" t="s">
        <v>3213</v>
      </c>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C8*C9/10000</f>
        <v>165735.5</v>
      </c>
      <c r="D10" s="3004">
        <f>D8*D9/10000</f>
        <v>795526.2</v>
      </c>
      <c r="E10" s="3004">
        <f>E8*E9/10000</f>
        <v>17962</v>
      </c>
      <c r="F10" s="3004">
        <f>F8*F9/10000</f>
        <v>126516</v>
      </c>
      <c r="G10" s="2815"/>
      <c r="H10" s="2815"/>
      <c r="I10" s="2815"/>
      <c r="J10" s="2815"/>
      <c r="K10" s="2816"/>
      <c r="L10" s="2114" t="s">
        <v>3151</v>
      </c>
      <c r="M10" s="2114">
        <v>37000</v>
      </c>
      <c r="N10" s="3187" t="s">
        <v>3153</v>
      </c>
      <c r="O10" s="2114">
        <v>35000</v>
      </c>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c r="L11" s="3186" t="s">
        <v>3214</v>
      </c>
      <c r="M11" s="2111">
        <v>28000</v>
      </c>
    </row>
    <row r="12" spans="1:31" s="2085" customFormat="1" ht="13.5" customHeight="1">
      <c r="A12" s="2818" t="s">
        <v>470</v>
      </c>
      <c r="B12" s="2790" t="s">
        <v>471</v>
      </c>
      <c r="C12" s="2819" t="s">
        <v>475</v>
      </c>
      <c r="D12" s="2786" t="s">
        <v>476</v>
      </c>
      <c r="E12" s="2786" t="s">
        <v>477</v>
      </c>
      <c r="F12" s="2786" t="s">
        <v>478</v>
      </c>
      <c r="G12" s="2790"/>
      <c r="H12" s="2791"/>
      <c r="I12" s="2791"/>
      <c r="J12" s="2791"/>
      <c r="K12" s="2792"/>
      <c r="L12" s="3206" t="s">
        <v>3155</v>
      </c>
      <c r="M12" s="2085">
        <v>35000</v>
      </c>
    </row>
    <row r="13" spans="1:31" s="2116" customFormat="1" ht="13.5" customHeight="1">
      <c r="A13" s="2820" t="s">
        <v>1849</v>
      </c>
      <c r="B13" s="2821" t="s">
        <v>479</v>
      </c>
      <c r="C13" s="450">
        <f ca="1">IF(B1="",'数据-取费表'!P16,INDIRECT("'数据-取费表'!p"&amp;$K$1)+INDIRECT("'数据-取费表'!t"&amp;$K$1))</f>
        <v>106050</v>
      </c>
      <c r="D13" s="2822"/>
      <c r="E13" s="2823"/>
      <c r="F13" s="2824"/>
      <c r="G13" s="2790"/>
      <c r="H13" s="2791"/>
      <c r="I13" s="2791"/>
      <c r="J13" s="2791"/>
      <c r="K13" s="2792"/>
      <c r="L13" s="3188" t="s">
        <v>3157</v>
      </c>
      <c r="M13" s="3188">
        <v>24000</v>
      </c>
    </row>
    <row r="14" spans="1:31" s="2116" customFormat="1" ht="13.5" customHeight="1">
      <c r="A14" s="2820" t="s">
        <v>1850</v>
      </c>
      <c r="B14" s="2821" t="s">
        <v>480</v>
      </c>
      <c r="C14" s="53">
        <f ca="1">ROUND(C13*F14,0)</f>
        <v>3182</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2131</v>
      </c>
      <c r="D15" s="2822"/>
      <c r="E15" s="2823"/>
      <c r="F15" s="2825">
        <f>'数据-取费表'!B34</f>
        <v>0.03</v>
      </c>
      <c r="G15" s="2790" t="s">
        <v>483</v>
      </c>
      <c r="H15" s="2791"/>
      <c r="I15" s="2791"/>
      <c r="J15" s="2791"/>
      <c r="K15" s="2792"/>
      <c r="L15" s="3189" t="s">
        <v>3158</v>
      </c>
      <c r="M15" s="2116" t="s">
        <v>3159</v>
      </c>
    </row>
    <row r="16" spans="1:31" s="2117" customFormat="1" ht="13.5" customHeight="1">
      <c r="A16" s="2820" t="s">
        <v>1852</v>
      </c>
      <c r="B16" s="2821" t="s">
        <v>484</v>
      </c>
      <c r="C16" s="53">
        <f ca="1">ROUND(D16*E16/10000,0)</f>
        <v>8475</v>
      </c>
      <c r="D16" s="2822">
        <f ca="1">IF(B1="",'数据-汇总表'!E3,INDIRECT("'数据-取费表'!K"&amp;$K$1)+INDIRECT("'数据-取费表'!S"&amp;$K$1))</f>
        <v>423739</v>
      </c>
      <c r="E16" s="53">
        <f>'数据-取费表'!B35</f>
        <v>200</v>
      </c>
      <c r="F16" s="2825"/>
      <c r="G16" s="2790"/>
      <c r="H16" s="2791"/>
      <c r="I16" s="2791"/>
      <c r="J16" s="2791"/>
      <c r="K16" s="2792"/>
      <c r="L16" s="3189" t="s">
        <v>3160</v>
      </c>
      <c r="M16" s="2116" t="s">
        <v>3161</v>
      </c>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1591</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121429</v>
      </c>
      <c r="D18" s="2831"/>
      <c r="E18" s="468"/>
      <c r="F18" s="468"/>
      <c r="G18" s="2794" t="s">
        <v>2431</v>
      </c>
      <c r="H18" s="2795"/>
      <c r="I18" s="2795"/>
      <c r="J18" s="2795"/>
      <c r="K18" s="2796"/>
    </row>
    <row r="19" spans="1:14" s="2116" customFormat="1" ht="13.5" customHeight="1">
      <c r="A19" s="2828" t="s">
        <v>1855</v>
      </c>
      <c r="B19" s="2829" t="s">
        <v>488</v>
      </c>
      <c r="C19" s="2786">
        <f ca="1">ROUND(D19*E19/10000,0)</f>
        <v>4237</v>
      </c>
      <c r="D19" s="2832">
        <f ca="1">D16</f>
        <v>423739</v>
      </c>
      <c r="E19" s="2786">
        <f>'数据-取费表'!B32</f>
        <v>100</v>
      </c>
      <c r="F19" s="468"/>
      <c r="G19" s="2790" t="s">
        <v>489</v>
      </c>
      <c r="H19" s="2791"/>
      <c r="I19" s="2795"/>
      <c r="J19" s="2795"/>
      <c r="K19" s="2796"/>
      <c r="L19" s="2116">
        <v>5623</v>
      </c>
      <c r="M19" s="2116">
        <f>30*L19</f>
        <v>168690</v>
      </c>
    </row>
    <row r="20" spans="1:14" s="2116" customFormat="1" ht="13.5" customHeight="1">
      <c r="A20" s="2828" t="s">
        <v>1856</v>
      </c>
      <c r="B20" s="2829" t="s">
        <v>490</v>
      </c>
      <c r="C20" s="2786">
        <f ca="1">C21+C22-IF(B1="",'数据-取费表'!B29,IF(G20="已全部缴纳",C21+C22,H20))</f>
        <v>8475</v>
      </c>
      <c r="D20" s="2832"/>
      <c r="E20" s="2786"/>
      <c r="F20" s="2833"/>
      <c r="G20" s="3064"/>
      <c r="H20" s="2788"/>
      <c r="I20" s="2789" t="s">
        <v>2652</v>
      </c>
      <c r="J20" s="2795"/>
      <c r="K20" s="2796"/>
    </row>
    <row r="21" spans="1:14" s="2116" customFormat="1" ht="13.5" customHeight="1">
      <c r="A21" s="2820" t="s">
        <v>1857</v>
      </c>
      <c r="B21" s="2821" t="s">
        <v>491</v>
      </c>
      <c r="C21" s="53">
        <f ca="1">ROUND(D21*E21/10000,0)</f>
        <v>4735</v>
      </c>
      <c r="D21" s="2822">
        <f ca="1">IF(B1="",'数据-汇总表'!E5,IF(INDIRECT("'数据-取费表'!c"&amp;$K$1)="住宅",INDIRECT("'数据-取费表'!k"&amp;$K$1),0))</f>
        <v>236764</v>
      </c>
      <c r="E21" s="53">
        <f>'数据-取费表'!B27</f>
        <v>200</v>
      </c>
      <c r="F21" s="2825"/>
      <c r="G21" s="26"/>
      <c r="H21" s="51"/>
      <c r="I21" s="51"/>
      <c r="J21" s="51"/>
      <c r="K21" s="2797"/>
    </row>
    <row r="22" spans="1:14" s="2116" customFormat="1" ht="13.5" customHeight="1">
      <c r="A22" s="2820" t="s">
        <v>1858</v>
      </c>
      <c r="B22" s="2821" t="s">
        <v>492</v>
      </c>
      <c r="C22" s="53">
        <f ca="1">ROUND(D22*E22/10000,0)</f>
        <v>3740</v>
      </c>
      <c r="D22" s="2822">
        <f ca="1">IF(B1="",'数据-汇总表'!E6,IF(INDIRECT("'数据-取费表'!c"&amp;$K$1)="住宅",INDIRECT("'数据-取费表'!s"&amp;$K$1),INDIRECT("'数据-取费表'!k"&amp;$K$1)+INDIRECT("'数据-取费表'!s"&amp;$K$1)))</f>
        <v>186975</v>
      </c>
      <c r="E22" s="53">
        <f>'数据-取费表'!B28</f>
        <v>200</v>
      </c>
      <c r="F22" s="2825"/>
      <c r="G22" s="26"/>
      <c r="H22" s="51"/>
      <c r="I22" s="51"/>
      <c r="J22" s="51"/>
      <c r="K22" s="2797"/>
    </row>
    <row r="23" spans="1:14" s="2116" customFormat="1" ht="13.5" customHeight="1">
      <c r="A23" s="2828" t="s">
        <v>1859</v>
      </c>
      <c r="B23" s="3010" t="s">
        <v>2835</v>
      </c>
      <c r="C23" s="2830">
        <f ca="1">ROUND((C18+C19+C20)*F23,0)</f>
        <v>2683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ROUND(C6*F24,0)</f>
        <v>33172</v>
      </c>
      <c r="D24" s="475"/>
      <c r="E24" s="473"/>
      <c r="F24" s="2834">
        <f>'数据-取费表'!B38</f>
        <v>0.03</v>
      </c>
      <c r="G24" s="2799" t="s">
        <v>499</v>
      </c>
      <c r="H24" s="2793"/>
      <c r="I24" s="2793"/>
      <c r="J24" s="2793"/>
      <c r="K24" s="279"/>
      <c r="L24" s="2118"/>
      <c r="M24" s="2118"/>
      <c r="N24" s="2118"/>
    </row>
    <row r="25" spans="1:14" s="2119" customFormat="1" ht="13.5" customHeight="1">
      <c r="A25" s="2828" t="s">
        <v>1861</v>
      </c>
      <c r="B25" s="3010" t="s">
        <v>2836</v>
      </c>
      <c r="C25" s="467">
        <f>ROUND(F25/(1+'数据-取费表'!C42),4)</f>
        <v>3.8600000000000002E-2</v>
      </c>
      <c r="D25" s="462" t="s">
        <v>2830</v>
      </c>
      <c r="E25" s="469"/>
      <c r="F25" s="2834">
        <f>'数据-取费表'!B48+'数据-取费表'!B49</f>
        <v>4.0500000000000001E-2</v>
      </c>
      <c r="G25" s="2798" t="s">
        <v>2290</v>
      </c>
      <c r="H25" s="2791"/>
      <c r="I25" s="2791"/>
      <c r="J25" s="2791"/>
      <c r="K25" s="2792"/>
    </row>
    <row r="26" spans="1:14" s="2118" customFormat="1" ht="13.5" customHeight="1">
      <c r="A26" s="2828" t="s">
        <v>1862</v>
      </c>
      <c r="B26" s="3011" t="s">
        <v>2837</v>
      </c>
      <c r="C26" s="2835">
        <f ca="1">C28</f>
        <v>12255</v>
      </c>
      <c r="D26" s="467">
        <f ca="1">C27</f>
        <v>0.15509999999999999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0.15509999999999999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12255</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58973</v>
      </c>
      <c r="D29" s="468"/>
      <c r="E29" s="468"/>
      <c r="F29" s="3012">
        <f>'数据-取费表'!B41</f>
        <v>5.6000000000000001E-2</v>
      </c>
      <c r="G29" s="2799" t="s">
        <v>498</v>
      </c>
      <c r="H29" s="2791"/>
      <c r="I29" s="2791"/>
      <c r="J29" s="2791"/>
      <c r="K29" s="2792"/>
    </row>
    <row r="30" spans="1:14" s="2121" customFormat="1" ht="13.5" customHeight="1">
      <c r="A30" s="1635" t="s">
        <v>1864</v>
      </c>
      <c r="B30" s="2840" t="s">
        <v>500</v>
      </c>
      <c r="C30" s="2835">
        <f ca="1">C31</f>
        <v>241224</v>
      </c>
      <c r="D30" s="477">
        <f ca="1">C32</f>
        <v>0.19370000000000001</v>
      </c>
      <c r="E30" s="469" t="s">
        <v>495</v>
      </c>
      <c r="F30" s="471"/>
      <c r="G30" s="2798" t="s">
        <v>2968</v>
      </c>
      <c r="H30" s="2791"/>
      <c r="I30" s="2791"/>
      <c r="J30" s="2791"/>
      <c r="K30" s="2792"/>
    </row>
    <row r="31" spans="1:14" s="2120" customFormat="1" ht="13.5" customHeight="1">
      <c r="A31" s="803" t="s">
        <v>1857</v>
      </c>
      <c r="B31" s="2836"/>
      <c r="C31" s="450">
        <f ca="1">C18+C19+C20+C23+C24+C26+C29</f>
        <v>241224</v>
      </c>
      <c r="D31" s="472"/>
      <c r="E31" s="473"/>
      <c r="F31" s="474"/>
      <c r="G31" s="261"/>
      <c r="H31" s="2793"/>
      <c r="I31" s="2793"/>
      <c r="J31" s="2793"/>
      <c r="K31" s="279"/>
    </row>
    <row r="32" spans="1:14" s="2120" customFormat="1" ht="13.5" customHeight="1">
      <c r="A32" s="803" t="s">
        <v>1858</v>
      </c>
      <c r="B32" s="2836"/>
      <c r="C32" s="53">
        <f ca="1">ROUND(C25+D26,4)</f>
        <v>0.19370000000000001</v>
      </c>
      <c r="D32" s="472"/>
      <c r="E32" s="473"/>
      <c r="F32" s="474"/>
      <c r="G32" s="261"/>
      <c r="H32" s="2793"/>
      <c r="I32" s="2793"/>
      <c r="J32" s="2793"/>
      <c r="K32" s="279"/>
    </row>
    <row r="33" spans="1:11" s="2122" customFormat="1" ht="13.5" customHeight="1">
      <c r="A33" s="3009" t="s">
        <v>2834</v>
      </c>
      <c r="B33" s="3007" t="s">
        <v>2832</v>
      </c>
      <c r="C33" s="478">
        <f ca="1">C35</f>
        <v>27199</v>
      </c>
      <c r="D33" s="467">
        <f ca="1">C34</f>
        <v>0.16619999999999999</v>
      </c>
      <c r="E33" s="469" t="s">
        <v>495</v>
      </c>
      <c r="F33" s="479">
        <f ca="1">IF(B1="",'数据-取费表'!Q16,INDIRECT("'数据-取费表'!q"&amp;$K$1))</f>
        <v>0.16</v>
      </c>
      <c r="G33" s="2794"/>
      <c r="H33" s="2795"/>
      <c r="I33" s="2795"/>
      <c r="J33" s="2795"/>
      <c r="K33" s="2796"/>
    </row>
    <row r="34" spans="1:11" s="2123" customFormat="1" ht="13.5" customHeight="1">
      <c r="A34" s="375" t="s">
        <v>1857</v>
      </c>
      <c r="B34" s="2841" t="s">
        <v>501</v>
      </c>
      <c r="C34" s="472">
        <f ca="1">ROUND((1+C25)*F33,4)</f>
        <v>0.16619999999999999</v>
      </c>
      <c r="D34" s="472"/>
      <c r="E34" s="473"/>
      <c r="F34" s="480"/>
      <c r="G34" s="261" t="s">
        <v>2291</v>
      </c>
      <c r="H34" s="2793"/>
      <c r="I34" s="2793"/>
      <c r="J34" s="2793"/>
      <c r="K34" s="279"/>
    </row>
    <row r="35" spans="1:11" s="2123" customFormat="1" ht="13.5" customHeight="1" thickBot="1">
      <c r="A35" s="1636" t="s">
        <v>1858</v>
      </c>
      <c r="B35" s="3008" t="s">
        <v>2840</v>
      </c>
      <c r="C35" s="1628">
        <f ca="1">ROUND((C18+C19+C20+C23+C24)*F33,0)</f>
        <v>27199</v>
      </c>
      <c r="D35" s="1629"/>
      <c r="E35" s="2842"/>
      <c r="F35" s="1630"/>
      <c r="G35" s="2800"/>
      <c r="H35" s="2801"/>
      <c r="I35" s="2801"/>
      <c r="J35" s="2801"/>
      <c r="K35" s="2802"/>
    </row>
    <row r="36" spans="1:11" s="2085" customFormat="1" ht="13.5" customHeight="1" thickBot="1">
      <c r="A36" s="284" t="s">
        <v>1845</v>
      </c>
      <c r="B36" s="2804"/>
      <c r="C36" s="2843">
        <f ca="1">ROUND((C6-C30-C33)/(1+D30+D33),0)</f>
        <v>615719</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10</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106050</v>
      </c>
      <c r="D13" s="451"/>
      <c r="E13" s="365"/>
      <c r="F13" s="452"/>
      <c r="G13" s="444"/>
      <c r="H13" s="447"/>
      <c r="I13" s="447"/>
      <c r="J13" s="447"/>
      <c r="K13" s="448"/>
    </row>
    <row r="14" spans="1:41" s="2116" customFormat="1" ht="13.5" customHeight="1">
      <c r="A14" s="1633" t="s">
        <v>1850</v>
      </c>
      <c r="B14" s="449" t="s">
        <v>480</v>
      </c>
      <c r="C14" s="53">
        <f ca="1">ROUND(C13*F14,0)</f>
        <v>3182</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2131</v>
      </c>
      <c r="D15" s="451"/>
      <c r="E15" s="365"/>
      <c r="F15" s="453">
        <f>'数据-取费表'!B34</f>
        <v>0.03</v>
      </c>
      <c r="G15" s="444" t="s">
        <v>502</v>
      </c>
      <c r="H15" s="447"/>
      <c r="I15" s="447"/>
      <c r="J15" s="447"/>
      <c r="K15" s="448"/>
    </row>
    <row r="16" spans="1:41" s="2117" customFormat="1" ht="13.5" customHeight="1">
      <c r="A16" s="1633" t="s">
        <v>1852</v>
      </c>
      <c r="B16" s="449" t="s">
        <v>484</v>
      </c>
      <c r="C16" s="53">
        <f ca="1">ROUND(D16*E16/10000,0)</f>
        <v>8475</v>
      </c>
      <c r="D16" s="451">
        <f ca="1">IF(B1="",'数据-汇总表'!E3,INDIRECT("'数据-取费表'!K"&amp;$K$1)+INDIRECT("'数据-取费表'!S"&amp;$K$1))</f>
        <v>423739</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1591</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121429</v>
      </c>
      <c r="D18" s="461"/>
      <c r="E18" s="462"/>
      <c r="F18" s="462"/>
      <c r="G18" s="1327" t="s">
        <v>2433</v>
      </c>
      <c r="H18" s="447"/>
      <c r="I18" s="447"/>
      <c r="J18" s="447"/>
      <c r="K18" s="448"/>
    </row>
    <row r="19" spans="1:14" s="2119" customFormat="1" ht="13.5" customHeight="1">
      <c r="A19" s="1634" t="s">
        <v>1855</v>
      </c>
      <c r="B19" s="459" t="s">
        <v>493</v>
      </c>
      <c r="C19" s="460">
        <f ca="1">ROUND(C18*F19,0)</f>
        <v>2429</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05">
        <f>F20</f>
        <v>0.03</v>
      </c>
      <c r="D20" s="469" t="s">
        <v>505</v>
      </c>
      <c r="E20" s="469"/>
      <c r="F20" s="486">
        <f>'数据-取费表'!B38</f>
        <v>0.03</v>
      </c>
      <c r="G20" s="1327" t="s">
        <v>506</v>
      </c>
      <c r="H20" s="447"/>
      <c r="I20" s="447"/>
      <c r="J20" s="447"/>
      <c r="K20" s="448"/>
      <c r="L20" s="2121"/>
      <c r="M20" s="2121"/>
      <c r="N20" s="2121"/>
    </row>
    <row r="21" spans="1:14" s="2121" customFormat="1" ht="13.5" customHeight="1">
      <c r="A21" s="1634" t="s">
        <v>1859</v>
      </c>
      <c r="B21" s="461" t="s">
        <v>494</v>
      </c>
      <c r="C21" s="470">
        <f ca="1">C22</f>
        <v>8929</v>
      </c>
      <c r="D21" s="467">
        <f ca="1">C23</f>
        <v>2.2000000000000001E-3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8" t="s">
        <v>2436</v>
      </c>
      <c r="C22" s="487">
        <f ca="1">ROUND(IF('数据-取费表'!B22&lt;=1,(C18+C19)*F21*'数据-取费表'!B20/2,(C18+C19)*(POWER((1+F21),'数据-取费表'!B20/2)-1)),0)</f>
        <v>8929</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2.2000000000000001E-3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2833</v>
      </c>
      <c r="C24" s="478">
        <f ca="1">C25</f>
        <v>19817</v>
      </c>
      <c r="D24" s="489">
        <f ca="1">C26</f>
        <v>4.7999999999999996E-3</v>
      </c>
      <c r="E24" s="469" t="s">
        <v>507</v>
      </c>
      <c r="F24" s="479">
        <f ca="1">IF(B1="",'数据-取费表'!Q16,INDIRECT("'数据-取费表'!q"&amp;$K$1))</f>
        <v>0.16</v>
      </c>
      <c r="G24" s="444"/>
      <c r="H24" s="447"/>
      <c r="I24" s="447"/>
      <c r="J24" s="447"/>
      <c r="K24" s="448"/>
    </row>
    <row r="25" spans="1:14" s="2120" customFormat="1" ht="13.5" customHeight="1">
      <c r="A25" s="1633" t="s">
        <v>1849</v>
      </c>
      <c r="B25" s="1328" t="s">
        <v>2437</v>
      </c>
      <c r="C25" s="490">
        <f ca="1">ROUND((C18+C19)*F24,0)</f>
        <v>19817</v>
      </c>
      <c r="D25" s="472"/>
      <c r="E25" s="473"/>
      <c r="F25" s="480"/>
      <c r="G25" s="1326" t="s">
        <v>2434</v>
      </c>
      <c r="H25" s="457"/>
      <c r="I25" s="457"/>
      <c r="J25" s="457"/>
      <c r="K25" s="458"/>
    </row>
    <row r="26" spans="1:14" s="2120" customFormat="1" ht="13.5" customHeight="1">
      <c r="A26" s="1633" t="s">
        <v>1850</v>
      </c>
      <c r="B26" s="1328" t="s">
        <v>509</v>
      </c>
      <c r="C26" s="491">
        <f ca="1">ROUND(F20*F24,4)</f>
        <v>4.7999999999999996E-3</v>
      </c>
      <c r="D26" s="472"/>
      <c r="E26" s="481"/>
      <c r="F26" s="480"/>
      <c r="G26" s="1326" t="s">
        <v>510</v>
      </c>
      <c r="H26" s="457"/>
      <c r="I26" s="457"/>
      <c r="J26" s="457"/>
      <c r="K26" s="458"/>
    </row>
    <row r="27" spans="1:14" s="2120" customFormat="1" ht="13.5" customHeight="1">
      <c r="A27" s="1637"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167752</v>
      </c>
      <c r="D28" s="477"/>
      <c r="E28" s="469"/>
      <c r="F28" s="471"/>
      <c r="G28" s="1327"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workbookViewId="0">
      <selection activeCell="H24" sqref="H24"/>
    </sheetView>
  </sheetViews>
  <sheetFormatPr defaultRowHeight="13.5"/>
  <cols>
    <col min="3" max="3" width="20.75" customWidth="1"/>
    <col min="6" max="6" width="12.75" bestFit="1" customWidth="1"/>
  </cols>
  <sheetData>
    <row r="2" spans="1:6" ht="14.25">
      <c r="A2" s="3177"/>
      <c r="B2" s="3178" t="s">
        <v>2992</v>
      </c>
      <c r="C2" s="3179" t="s">
        <v>2993</v>
      </c>
    </row>
    <row r="3" spans="1:6" ht="14.25">
      <c r="A3" s="3177">
        <v>1</v>
      </c>
      <c r="B3" s="3180" t="s">
        <v>2994</v>
      </c>
      <c r="C3" s="3181">
        <v>268474.83</v>
      </c>
    </row>
    <row r="4" spans="1:6" ht="14.25">
      <c r="A4" s="3177">
        <v>2</v>
      </c>
      <c r="B4" s="3180" t="s">
        <v>2995</v>
      </c>
      <c r="C4" s="3182">
        <v>0.95</v>
      </c>
    </row>
    <row r="5" spans="1:6" ht="14.25">
      <c r="A5" s="3177">
        <v>3</v>
      </c>
      <c r="B5" s="3180" t="s">
        <v>2996</v>
      </c>
      <c r="C5" s="3181">
        <f>C6+C10</f>
        <v>423739</v>
      </c>
    </row>
    <row r="6" spans="1:6" ht="14.25">
      <c r="A6" s="3177">
        <v>4</v>
      </c>
      <c r="B6" s="3180" t="s">
        <v>2997</v>
      </c>
      <c r="C6" s="3181">
        <v>255051</v>
      </c>
    </row>
    <row r="7" spans="1:6" ht="14.25">
      <c r="A7" s="3177">
        <v>5</v>
      </c>
      <c r="B7" s="3180" t="s">
        <v>2998</v>
      </c>
      <c r="C7" s="3181">
        <v>236764</v>
      </c>
    </row>
    <row r="8" spans="1:6" ht="14.25">
      <c r="A8" s="3177">
        <v>6</v>
      </c>
      <c r="B8" s="3183" t="s">
        <v>2999</v>
      </c>
      <c r="C8" s="3181">
        <v>5132</v>
      </c>
      <c r="F8">
        <f>535100/(356799-130050)</f>
        <v>2.3598781031007854</v>
      </c>
    </row>
    <row r="9" spans="1:6" ht="14.25">
      <c r="A9" s="3177">
        <v>7</v>
      </c>
      <c r="B9" s="3183" t="s">
        <v>3000</v>
      </c>
      <c r="C9" s="3181">
        <v>13155</v>
      </c>
    </row>
    <row r="10" spans="1:6" ht="28.5">
      <c r="A10" s="3177">
        <v>8</v>
      </c>
      <c r="B10" s="3180" t="s">
        <v>3001</v>
      </c>
      <c r="C10" s="3181">
        <v>168688</v>
      </c>
    </row>
    <row r="12" spans="1:6">
      <c r="F12">
        <f>600000/'数据-汇总表'!F31*10000</f>
        <v>23524.706823341214</v>
      </c>
    </row>
    <row r="13" spans="1:6">
      <c r="F13" s="3190">
        <f>400000/C3*10000</f>
        <v>14898.97581832904</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82" t="s">
        <v>522</v>
      </c>
      <c r="D6" s="3383"/>
      <c r="E6" s="3416" t="s">
        <v>523</v>
      </c>
      <c r="F6" s="3417"/>
      <c r="G6" s="3382" t="s">
        <v>524</v>
      </c>
      <c r="H6" s="3383"/>
      <c r="I6" s="3382" t="s">
        <v>525</v>
      </c>
      <c r="J6" s="3383"/>
      <c r="K6" s="514" t="s">
        <v>526</v>
      </c>
      <c r="L6" s="2133"/>
      <c r="M6" s="2134"/>
      <c r="N6" s="2134"/>
      <c r="O6" s="2134"/>
      <c r="P6" s="3384" t="s">
        <v>527</v>
      </c>
      <c r="Q6" s="3385"/>
      <c r="R6" s="3390" t="s">
        <v>523</v>
      </c>
      <c r="S6" s="3391"/>
      <c r="T6" s="3390" t="s">
        <v>524</v>
      </c>
      <c r="U6" s="3391"/>
      <c r="V6" s="3377" t="s">
        <v>525</v>
      </c>
      <c r="W6" s="3377"/>
      <c r="X6" s="1567"/>
      <c r="Y6" s="3390" t="s">
        <v>527</v>
      </c>
      <c r="Z6" s="3391"/>
      <c r="AA6" s="3379" t="s">
        <v>523</v>
      </c>
      <c r="AB6" s="3380" t="s">
        <v>524</v>
      </c>
      <c r="AC6" s="3379" t="s">
        <v>525</v>
      </c>
    </row>
    <row r="7" spans="1:29" ht="15">
      <c r="A7" s="515"/>
      <c r="B7" s="516"/>
      <c r="C7" s="3398" t="s">
        <v>2923</v>
      </c>
      <c r="D7" s="3399"/>
      <c r="E7" s="3418" t="s">
        <v>2924</v>
      </c>
      <c r="F7" s="3419"/>
      <c r="G7" s="3398" t="s">
        <v>2925</v>
      </c>
      <c r="H7" s="3399"/>
      <c r="I7" s="3398" t="s">
        <v>2926</v>
      </c>
      <c r="J7" s="3399"/>
      <c r="K7" s="514"/>
      <c r="L7" s="2133"/>
      <c r="M7" s="2134"/>
      <c r="N7" s="2134"/>
      <c r="O7" s="2134"/>
      <c r="P7" s="3386"/>
      <c r="Q7" s="3387"/>
      <c r="R7" s="3392"/>
      <c r="S7" s="3393"/>
      <c r="T7" s="3392"/>
      <c r="U7" s="3393"/>
      <c r="V7" s="3377"/>
      <c r="W7" s="3377"/>
      <c r="X7" s="1567"/>
      <c r="Y7" s="3392"/>
      <c r="Z7" s="3393"/>
      <c r="AA7" s="3380"/>
      <c r="AB7" s="3380"/>
      <c r="AC7" s="3380"/>
    </row>
    <row r="8" spans="1:29" ht="15.75" thickBot="1">
      <c r="A8" s="517"/>
      <c r="B8" s="518"/>
      <c r="C8" s="3396" t="s">
        <v>2927</v>
      </c>
      <c r="D8" s="3397"/>
      <c r="E8" s="3414" t="s">
        <v>2927</v>
      </c>
      <c r="F8" s="3415"/>
      <c r="G8" s="3396" t="s">
        <v>2927</v>
      </c>
      <c r="H8" s="3397"/>
      <c r="I8" s="3396" t="s">
        <v>2927</v>
      </c>
      <c r="J8" s="3397"/>
      <c r="K8" s="514" t="s">
        <v>528</v>
      </c>
      <c r="L8" s="2133"/>
      <c r="M8" s="2134"/>
      <c r="N8" s="2134"/>
      <c r="O8" s="2134"/>
      <c r="P8" s="3388"/>
      <c r="Q8" s="3389"/>
      <c r="R8" s="3392"/>
      <c r="S8" s="3393"/>
      <c r="T8" s="3394"/>
      <c r="U8" s="3395"/>
      <c r="V8" s="3377"/>
      <c r="W8" s="3377"/>
      <c r="X8" s="1567"/>
      <c r="Y8" s="3394"/>
      <c r="Z8" s="3395"/>
      <c r="AA8" s="3381"/>
      <c r="AB8" s="3381"/>
      <c r="AC8" s="3381"/>
    </row>
    <row r="9" spans="1:29" s="1220" customFormat="1" ht="15.75" thickBot="1">
      <c r="A9" s="2890"/>
      <c r="B9" s="2897" t="s">
        <v>529</v>
      </c>
      <c r="C9" s="519">
        <f>'数据-取费表'!B2</f>
        <v>43557</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7" t="s">
        <v>530</v>
      </c>
      <c r="Q9" s="3409"/>
      <c r="R9" s="1568" t="s">
        <v>8</v>
      </c>
      <c r="S9" s="1569">
        <f t="shared" ref="S9:S17" si="0">F9</f>
        <v>0</v>
      </c>
      <c r="T9" s="1568" t="s">
        <v>8</v>
      </c>
      <c r="U9" s="1569">
        <f t="shared" ref="U9:U17" si="1">H9</f>
        <v>0</v>
      </c>
      <c r="V9" s="1568" t="s">
        <v>8</v>
      </c>
      <c r="W9" s="1569">
        <f t="shared" ref="W9:W17" si="2">J9</f>
        <v>0</v>
      </c>
      <c r="X9" s="1570"/>
      <c r="Y9" s="3407" t="s">
        <v>530</v>
      </c>
      <c r="Z9" s="3408"/>
      <c r="AA9" s="1571" t="e">
        <f>D9/F9</f>
        <v>#DIV/0!</v>
      </c>
      <c r="AB9" s="1571" t="e">
        <f>D9/H9</f>
        <v>#DIV/0!</v>
      </c>
      <c r="AC9" s="1571"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7" t="s">
        <v>533</v>
      </c>
      <c r="Q10" s="3408"/>
      <c r="R10" s="1568" t="s">
        <v>8</v>
      </c>
      <c r="S10" s="1569">
        <f t="shared" si="0"/>
        <v>0</v>
      </c>
      <c r="T10" s="1568" t="s">
        <v>8</v>
      </c>
      <c r="U10" s="1569">
        <f t="shared" si="1"/>
        <v>0</v>
      </c>
      <c r="V10" s="1568" t="s">
        <v>8</v>
      </c>
      <c r="W10" s="1569">
        <f t="shared" si="2"/>
        <v>0</v>
      </c>
      <c r="X10" s="1570"/>
      <c r="Y10" s="3407" t="s">
        <v>533</v>
      </c>
      <c r="Z10" s="3408"/>
      <c r="AA10" s="1571" t="e">
        <f t="shared" ref="AA10:AA42" si="3">D10/F10</f>
        <v>#DIV/0!</v>
      </c>
      <c r="AB10" s="1571" t="e">
        <f t="shared" ref="AB10:AB42" si="4">D10/H10</f>
        <v>#DIV/0!</v>
      </c>
      <c r="AC10" s="1571"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6" t="s">
        <v>535</v>
      </c>
      <c r="Q11" s="1151" t="str">
        <f t="shared" ref="Q11:Q17" si="6">B11</f>
        <v>用途</v>
      </c>
      <c r="R11" s="1568" t="s">
        <v>8</v>
      </c>
      <c r="S11" s="1569">
        <f t="shared" si="0"/>
        <v>100</v>
      </c>
      <c r="T11" s="1568" t="s">
        <v>8</v>
      </c>
      <c r="U11" s="1569">
        <f t="shared" si="1"/>
        <v>100</v>
      </c>
      <c r="V11" s="1568" t="s">
        <v>8</v>
      </c>
      <c r="W11" s="1569">
        <f t="shared" si="2"/>
        <v>100</v>
      </c>
      <c r="X11" s="1570"/>
      <c r="Y11" s="3322" t="s">
        <v>536</v>
      </c>
      <c r="Z11" s="1150" t="str">
        <f t="shared" ref="Z11:Z17" si="7">Q11</f>
        <v>用途</v>
      </c>
      <c r="AA11" s="1571">
        <f t="shared" si="3"/>
        <v>1</v>
      </c>
      <c r="AB11" s="1571">
        <f t="shared" si="4"/>
        <v>1</v>
      </c>
      <c r="AC11" s="1571">
        <f t="shared" si="5"/>
        <v>1</v>
      </c>
    </row>
    <row r="12" spans="1:29" s="1338" customFormat="1" ht="27">
      <c r="A12" s="2893"/>
      <c r="B12" s="2898" t="s">
        <v>2758</v>
      </c>
      <c r="C12" s="528"/>
      <c r="D12" s="255">
        <v>100</v>
      </c>
      <c r="E12" s="528"/>
      <c r="F12" s="255">
        <f>ROUND(100/'数据-取费表'!G16,0)</f>
        <v>121</v>
      </c>
      <c r="G12" s="528"/>
      <c r="H12" s="255">
        <f>ROUND(100/'数据-取费表'!G16,0)</f>
        <v>121</v>
      </c>
      <c r="I12" s="528"/>
      <c r="J12" s="255">
        <f>ROUND(100/'数据-取费表'!G16,0)</f>
        <v>121</v>
      </c>
      <c r="K12" s="531"/>
      <c r="L12" s="2138"/>
      <c r="M12" s="2178"/>
      <c r="N12" s="2178"/>
      <c r="O12" s="2139"/>
      <c r="P12" s="3376"/>
      <c r="Q12" s="1151" t="str">
        <f t="shared" si="6"/>
        <v>土地使用年限（年）</v>
      </c>
      <c r="R12" s="1568" t="s">
        <v>8</v>
      </c>
      <c r="S12" s="1569">
        <f t="shared" si="0"/>
        <v>121</v>
      </c>
      <c r="T12" s="1568" t="s">
        <v>8</v>
      </c>
      <c r="U12" s="1569">
        <f t="shared" si="1"/>
        <v>121</v>
      </c>
      <c r="V12" s="1568" t="s">
        <v>8</v>
      </c>
      <c r="W12" s="1569">
        <f t="shared" si="2"/>
        <v>121</v>
      </c>
      <c r="X12" s="1570"/>
      <c r="Y12" s="3322"/>
      <c r="Z12" s="1150" t="str">
        <f t="shared" si="7"/>
        <v>土地使用年限（年）</v>
      </c>
      <c r="AA12" s="1571">
        <f t="shared" si="3"/>
        <v>0.82644628099173556</v>
      </c>
      <c r="AB12" s="1571">
        <f t="shared" si="4"/>
        <v>0.82644628099173556</v>
      </c>
      <c r="AC12" s="1571">
        <f t="shared" si="5"/>
        <v>0.82644628099173556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6"/>
      <c r="Q13" s="1151" t="str">
        <f t="shared" si="6"/>
        <v>容积率</v>
      </c>
      <c r="R13" s="1568" t="s">
        <v>8</v>
      </c>
      <c r="S13" s="1569" t="e">
        <f t="shared" si="0"/>
        <v>#N/A</v>
      </c>
      <c r="T13" s="1568" t="s">
        <v>8</v>
      </c>
      <c r="U13" s="1569" t="e">
        <f t="shared" si="1"/>
        <v>#N/A</v>
      </c>
      <c r="V13" s="1568" t="s">
        <v>8</v>
      </c>
      <c r="W13" s="1569" t="e">
        <f t="shared" si="2"/>
        <v>#N/A</v>
      </c>
      <c r="X13" s="1570"/>
      <c r="Y13" s="3322"/>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6"/>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6"/>
      <c r="Q15" s="1151">
        <f t="shared" si="6"/>
        <v>111</v>
      </c>
      <c r="R15" s="1568" t="s">
        <v>8</v>
      </c>
      <c r="S15" s="1569">
        <f t="shared" si="0"/>
        <v>100</v>
      </c>
      <c r="T15" s="1568" t="s">
        <v>8</v>
      </c>
      <c r="U15" s="1569">
        <f t="shared" si="1"/>
        <v>100</v>
      </c>
      <c r="V15" s="1568" t="s">
        <v>8</v>
      </c>
      <c r="W15" s="1569">
        <f t="shared" si="2"/>
        <v>100</v>
      </c>
      <c r="X15" s="1570"/>
      <c r="Y15" s="3322"/>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6"/>
      <c r="Q16" s="1151">
        <f t="shared" si="6"/>
        <v>111</v>
      </c>
      <c r="R16" s="1568" t="s">
        <v>8</v>
      </c>
      <c r="S16" s="1569">
        <f t="shared" si="0"/>
        <v>100</v>
      </c>
      <c r="T16" s="1568" t="s">
        <v>8</v>
      </c>
      <c r="U16" s="1569">
        <f t="shared" si="1"/>
        <v>100</v>
      </c>
      <c r="V16" s="1568" t="s">
        <v>8</v>
      </c>
      <c r="W16" s="1569">
        <f t="shared" si="2"/>
        <v>100</v>
      </c>
      <c r="X16" s="1570"/>
      <c r="Y16" s="3322"/>
      <c r="Z16" s="1150">
        <f t="shared" si="7"/>
        <v>111</v>
      </c>
      <c r="AA16" s="1571">
        <f t="shared" si="3"/>
        <v>1</v>
      </c>
      <c r="AB16" s="1571">
        <f t="shared" si="4"/>
        <v>1</v>
      </c>
      <c r="AC16" s="1571">
        <f t="shared" si="5"/>
        <v>1</v>
      </c>
    </row>
    <row r="17" spans="1:29" ht="15">
      <c r="A17" s="2888" t="s">
        <v>2755</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10" t="s">
        <v>540</v>
      </c>
      <c r="Q17" s="1572" t="str">
        <f t="shared" si="6"/>
        <v>产业集聚程度</v>
      </c>
      <c r="R17" s="1573" t="s">
        <v>8</v>
      </c>
      <c r="S17" s="1574">
        <f t="shared" si="0"/>
        <v>100</v>
      </c>
      <c r="T17" s="1573" t="s">
        <v>8</v>
      </c>
      <c r="U17" s="1574">
        <f t="shared" si="1"/>
        <v>100</v>
      </c>
      <c r="V17" s="1573" t="s">
        <v>8</v>
      </c>
      <c r="W17" s="1574">
        <f t="shared" si="2"/>
        <v>100</v>
      </c>
      <c r="X17" s="1567"/>
      <c r="Y17" s="3410"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11"/>
      <c r="Q18" s="1572"/>
      <c r="R18" s="1573"/>
      <c r="S18" s="1574"/>
      <c r="T18" s="1573"/>
      <c r="U18" s="1574"/>
      <c r="V18" s="1573"/>
      <c r="W18" s="1574"/>
      <c r="X18" s="1567"/>
      <c r="Y18" s="3411"/>
      <c r="Z18" s="1575"/>
      <c r="AA18" s="1576">
        <v>1</v>
      </c>
      <c r="AB18" s="1576">
        <v>1</v>
      </c>
      <c r="AC18" s="1576">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1"/>
      <c r="Q19" s="1572" t="str">
        <f>B19</f>
        <v>交通便捷度</v>
      </c>
      <c r="R19" s="1573" t="s">
        <v>8</v>
      </c>
      <c r="S19" s="1574">
        <f>F19</f>
        <v>100</v>
      </c>
      <c r="T19" s="1573" t="s">
        <v>8</v>
      </c>
      <c r="U19" s="1574">
        <f>H19</f>
        <v>100</v>
      </c>
      <c r="V19" s="1573" t="s">
        <v>8</v>
      </c>
      <c r="W19" s="1574">
        <f>J19</f>
        <v>100</v>
      </c>
      <c r="X19" s="1567"/>
      <c r="Y19" s="341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11"/>
      <c r="Q20" s="1572"/>
      <c r="R20" s="1573"/>
      <c r="S20" s="1574"/>
      <c r="T20" s="1573"/>
      <c r="U20" s="1574"/>
      <c r="V20" s="1573"/>
      <c r="W20" s="1574"/>
      <c r="X20" s="1567"/>
      <c r="Y20" s="3411"/>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1"/>
      <c r="Q21" s="1572" t="str">
        <f t="shared" ref="Q21:Q35" si="8">B21</f>
        <v>区域土地利用方向</v>
      </c>
      <c r="R21" s="1573" t="s">
        <v>8</v>
      </c>
      <c r="S21" s="1574">
        <f>F21</f>
        <v>100</v>
      </c>
      <c r="T21" s="1573" t="s">
        <v>8</v>
      </c>
      <c r="U21" s="1574">
        <f>H21</f>
        <v>100</v>
      </c>
      <c r="V21" s="1573" t="s">
        <v>8</v>
      </c>
      <c r="W21" s="1574">
        <f>J21</f>
        <v>100</v>
      </c>
      <c r="X21" s="1567"/>
      <c r="Y21" s="341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411"/>
      <c r="Q22" s="1572"/>
      <c r="R22" s="1573"/>
      <c r="S22" s="1574"/>
      <c r="T22" s="1573"/>
      <c r="U22" s="1574"/>
      <c r="V22" s="1573"/>
      <c r="W22" s="1574"/>
      <c r="X22" s="1567"/>
      <c r="Y22" s="3411"/>
      <c r="Z22" s="1575"/>
      <c r="AA22" s="1576"/>
      <c r="AB22" s="1576"/>
      <c r="AC22" s="1576"/>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1"/>
      <c r="Q23" s="1572" t="str">
        <f t="shared" si="8"/>
        <v>环境状况</v>
      </c>
      <c r="R23" s="1573" t="s">
        <v>8</v>
      </c>
      <c r="S23" s="1574">
        <f>F23</f>
        <v>100</v>
      </c>
      <c r="T23" s="1573" t="s">
        <v>8</v>
      </c>
      <c r="U23" s="1574">
        <f>H23</f>
        <v>100</v>
      </c>
      <c r="V23" s="1573" t="s">
        <v>8</v>
      </c>
      <c r="W23" s="1574">
        <f>J23</f>
        <v>100</v>
      </c>
      <c r="X23" s="1567"/>
      <c r="Y23" s="341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11"/>
      <c r="Q24" s="1572"/>
      <c r="R24" s="1573"/>
      <c r="S24" s="1574"/>
      <c r="T24" s="1573"/>
      <c r="U24" s="1574"/>
      <c r="V24" s="1573"/>
      <c r="W24" s="1574"/>
      <c r="X24" s="1567"/>
      <c r="Y24" s="3411"/>
      <c r="Z24" s="1575"/>
      <c r="AA24" s="1576">
        <v>1</v>
      </c>
      <c r="AB24" s="1576">
        <v>1</v>
      </c>
      <c r="AC24" s="1576">
        <v>1</v>
      </c>
    </row>
    <row r="25" spans="1:29" s="1220" customFormat="1" ht="15">
      <c r="A25" s="577"/>
      <c r="B25" s="2572" t="s">
        <v>2549</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1"/>
      <c r="Q25" s="1151" t="str">
        <f t="shared" si="8"/>
        <v>公共配套设施</v>
      </c>
      <c r="R25" s="1568" t="s">
        <v>8</v>
      </c>
      <c r="S25" s="1569">
        <f>F25</f>
        <v>100</v>
      </c>
      <c r="T25" s="1568" t="s">
        <v>8</v>
      </c>
      <c r="U25" s="1569">
        <f>H25</f>
        <v>100</v>
      </c>
      <c r="V25" s="1568" t="s">
        <v>8</v>
      </c>
      <c r="W25" s="1569">
        <f>J25</f>
        <v>100</v>
      </c>
      <c r="X25" s="1570"/>
      <c r="Y25" s="3411"/>
      <c r="Z25" s="1150" t="str">
        <f>Q25</f>
        <v>公共配套设施</v>
      </c>
      <c r="AA25" s="1576">
        <f>D25/F25</f>
        <v>1</v>
      </c>
      <c r="AB25" s="1576">
        <f>D25/H25</f>
        <v>1</v>
      </c>
      <c r="AC25" s="1576">
        <f>D25/J25</f>
        <v>1</v>
      </c>
    </row>
    <row r="26" spans="1:29" s="1220" customFormat="1" ht="15">
      <c r="A26" s="577"/>
      <c r="B26" s="595"/>
      <c r="C26" s="2571"/>
      <c r="D26" s="555"/>
      <c r="E26" s="554"/>
      <c r="F26" s="555"/>
      <c r="G26" s="554"/>
      <c r="H26" s="555"/>
      <c r="I26" s="576"/>
      <c r="J26" s="555"/>
      <c r="K26" s="531"/>
      <c r="L26" s="2135"/>
      <c r="M26" s="2136"/>
      <c r="N26" s="2136"/>
      <c r="O26" s="2137"/>
      <c r="P26" s="3411"/>
      <c r="Q26" s="1151"/>
      <c r="R26" s="1568"/>
      <c r="S26" s="1569"/>
      <c r="T26" s="1568"/>
      <c r="U26" s="1569"/>
      <c r="V26" s="1568"/>
      <c r="W26" s="1569"/>
      <c r="X26" s="1570"/>
      <c r="Y26" s="3411"/>
      <c r="Z26" s="1150"/>
      <c r="AA26" s="1571">
        <v>1</v>
      </c>
      <c r="AB26" s="1571">
        <v>1</v>
      </c>
      <c r="AC26" s="1571">
        <v>1</v>
      </c>
    </row>
    <row r="27" spans="1:29" s="1220" customFormat="1" ht="15">
      <c r="A27" s="577"/>
      <c r="B27" s="2572" t="s">
        <v>2550</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1"/>
      <c r="Q27" s="2557" t="str">
        <f t="shared" ref="Q27" si="9">B27</f>
        <v>基础设施水平</v>
      </c>
      <c r="R27" s="1568" t="s">
        <v>8</v>
      </c>
      <c r="S27" s="1569">
        <f>F27</f>
        <v>100</v>
      </c>
      <c r="T27" s="1568" t="s">
        <v>8</v>
      </c>
      <c r="U27" s="1569">
        <f>H27</f>
        <v>100</v>
      </c>
      <c r="V27" s="1568" t="s">
        <v>8</v>
      </c>
      <c r="W27" s="1569">
        <f>J27</f>
        <v>100</v>
      </c>
      <c r="X27" s="1570"/>
      <c r="Y27" s="3411"/>
      <c r="Z27" s="2554" t="str">
        <f>Q27</f>
        <v>基础设施水平</v>
      </c>
      <c r="AA27" s="1576">
        <f>D27/F27</f>
        <v>1</v>
      </c>
      <c r="AB27" s="1576">
        <f>D27/H27</f>
        <v>1</v>
      </c>
      <c r="AC27" s="1576">
        <f>D27/J27</f>
        <v>1</v>
      </c>
    </row>
    <row r="28" spans="1:29" s="1220" customFormat="1" ht="15">
      <c r="A28" s="577"/>
      <c r="B28" s="595"/>
      <c r="C28" s="2571"/>
      <c r="D28" s="555"/>
      <c r="E28" s="579"/>
      <c r="F28" s="555"/>
      <c r="G28" s="579"/>
      <c r="H28" s="555"/>
      <c r="I28" s="579"/>
      <c r="J28" s="555"/>
      <c r="K28" s="531"/>
      <c r="L28" s="2135"/>
      <c r="M28" s="2136"/>
      <c r="N28" s="2136"/>
      <c r="O28" s="2137"/>
      <c r="P28" s="3411"/>
      <c r="Q28" s="2557"/>
      <c r="R28" s="1568"/>
      <c r="S28" s="1569"/>
      <c r="T28" s="1568"/>
      <c r="U28" s="1569"/>
      <c r="V28" s="1568"/>
      <c r="W28" s="1569"/>
      <c r="X28" s="1570"/>
      <c r="Y28" s="3411"/>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1"/>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1"/>
      <c r="Q30" s="1572" t="str">
        <f t="shared" si="8"/>
        <v>毗邻道路的类型与等级</v>
      </c>
      <c r="R30" s="1573" t="s">
        <v>8</v>
      </c>
      <c r="S30" s="1574">
        <f t="shared" si="10"/>
        <v>100</v>
      </c>
      <c r="T30" s="1573" t="s">
        <v>8</v>
      </c>
      <c r="U30" s="1574">
        <f t="shared" si="11"/>
        <v>100</v>
      </c>
      <c r="V30" s="1573" t="s">
        <v>8</v>
      </c>
      <c r="W30" s="1574">
        <f t="shared" si="12"/>
        <v>100</v>
      </c>
      <c r="X30" s="1567"/>
      <c r="Y30" s="3411"/>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11"/>
      <c r="Q31" s="1572"/>
      <c r="R31" s="1573"/>
      <c r="S31" s="1574"/>
      <c r="T31" s="1573"/>
      <c r="U31" s="1574"/>
      <c r="V31" s="1573"/>
      <c r="W31" s="1574"/>
      <c r="X31" s="1567"/>
      <c r="Y31" s="3411"/>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1"/>
      <c r="Q32" s="1572" t="str">
        <f t="shared" si="8"/>
        <v>土地级别</v>
      </c>
      <c r="R32" s="1573" t="s">
        <v>8</v>
      </c>
      <c r="S32" s="1574">
        <f t="shared" si="10"/>
        <v>100</v>
      </c>
      <c r="T32" s="1573" t="s">
        <v>8</v>
      </c>
      <c r="U32" s="1574">
        <f t="shared" si="11"/>
        <v>100</v>
      </c>
      <c r="V32" s="1573" t="s">
        <v>8</v>
      </c>
      <c r="W32" s="1574">
        <f t="shared" si="12"/>
        <v>100</v>
      </c>
      <c r="X32" s="1567"/>
      <c r="Y32" s="341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1"/>
      <c r="Q33" s="1572">
        <f t="shared" si="8"/>
        <v>111</v>
      </c>
      <c r="R33" s="1573" t="s">
        <v>8</v>
      </c>
      <c r="S33" s="1574">
        <f t="shared" si="10"/>
        <v>100</v>
      </c>
      <c r="T33" s="1573" t="s">
        <v>8</v>
      </c>
      <c r="U33" s="1574">
        <f t="shared" si="11"/>
        <v>100</v>
      </c>
      <c r="V33" s="1573" t="s">
        <v>8</v>
      </c>
      <c r="W33" s="1574">
        <f t="shared" si="12"/>
        <v>100</v>
      </c>
      <c r="X33" s="1567"/>
      <c r="Y33" s="341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2" t="s">
        <v>550</v>
      </c>
      <c r="Q34" s="1572">
        <f t="shared" si="8"/>
        <v>111</v>
      </c>
      <c r="R34" s="1573" t="s">
        <v>8</v>
      </c>
      <c r="S34" s="1574">
        <f t="shared" si="10"/>
        <v>100</v>
      </c>
      <c r="T34" s="1573" t="s">
        <v>8</v>
      </c>
      <c r="U34" s="1574">
        <f t="shared" si="11"/>
        <v>100</v>
      </c>
      <c r="V34" s="1573" t="s">
        <v>8</v>
      </c>
      <c r="W34" s="1574">
        <f t="shared" si="12"/>
        <v>100</v>
      </c>
      <c r="X34" s="1567"/>
      <c r="Y34" s="3413" t="s">
        <v>550</v>
      </c>
      <c r="Z34" s="1575">
        <f t="shared" si="13"/>
        <v>111</v>
      </c>
      <c r="AA34" s="1576">
        <f t="shared" si="3"/>
        <v>1</v>
      </c>
      <c r="AB34" s="1576">
        <f t="shared" si="4"/>
        <v>1</v>
      </c>
      <c r="AC34" s="1576">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3"/>
      <c r="Q35" s="1572">
        <f t="shared" si="8"/>
        <v>111</v>
      </c>
      <c r="R35" s="1577" t="s">
        <v>8</v>
      </c>
      <c r="S35" s="1578">
        <f t="shared" si="10"/>
        <v>100</v>
      </c>
      <c r="T35" s="1577" t="s">
        <v>8</v>
      </c>
      <c r="U35" s="1578">
        <f t="shared" si="11"/>
        <v>100</v>
      </c>
      <c r="V35" s="1577" t="s">
        <v>8</v>
      </c>
      <c r="W35" s="1578">
        <f t="shared" si="12"/>
        <v>100</v>
      </c>
      <c r="X35" s="1579"/>
      <c r="Y35" s="3413"/>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3"/>
      <c r="Q36" s="1572" t="str">
        <f>B36</f>
        <v>宗地面积</v>
      </c>
      <c r="R36" s="1573" t="s">
        <v>8</v>
      </c>
      <c r="S36" s="1574" t="e">
        <f t="shared" si="10"/>
        <v>#N/A</v>
      </c>
      <c r="T36" s="1573" t="s">
        <v>8</v>
      </c>
      <c r="U36" s="1574" t="e">
        <f t="shared" si="11"/>
        <v>#N/A</v>
      </c>
      <c r="V36" s="1573" t="s">
        <v>8</v>
      </c>
      <c r="W36" s="1574" t="e">
        <f t="shared" si="12"/>
        <v>#N/A</v>
      </c>
      <c r="X36" s="1567"/>
      <c r="Y36" s="3413"/>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3"/>
      <c r="Q37" s="1572" t="str">
        <f t="shared" ref="Q37:Q42" si="14">B37</f>
        <v>宗地形状</v>
      </c>
      <c r="R37" s="1573" t="s">
        <v>8</v>
      </c>
      <c r="S37" s="1574">
        <f t="shared" si="10"/>
        <v>100</v>
      </c>
      <c r="T37" s="1573" t="s">
        <v>8</v>
      </c>
      <c r="U37" s="1574">
        <f t="shared" si="11"/>
        <v>100</v>
      </c>
      <c r="V37" s="1573" t="s">
        <v>8</v>
      </c>
      <c r="W37" s="1574">
        <f t="shared" si="12"/>
        <v>100</v>
      </c>
      <c r="X37" s="1567"/>
      <c r="Y37" s="3413"/>
      <c r="Z37" s="1575" t="str">
        <f t="shared" si="13"/>
        <v>宗地形状</v>
      </c>
      <c r="AA37" s="1576">
        <f t="shared" si="3"/>
        <v>1</v>
      </c>
      <c r="AB37" s="1576">
        <f t="shared" si="4"/>
        <v>1</v>
      </c>
      <c r="AC37" s="1576">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3"/>
      <c r="Q38" s="1572" t="str">
        <f t="shared" si="14"/>
        <v>宗地开发程度</v>
      </c>
      <c r="R38" s="1568" t="s">
        <v>8</v>
      </c>
      <c r="S38" s="1569">
        <f t="shared" si="10"/>
        <v>100</v>
      </c>
      <c r="T38" s="1568" t="s">
        <v>8</v>
      </c>
      <c r="U38" s="1569">
        <f t="shared" si="11"/>
        <v>100</v>
      </c>
      <c r="V38" s="1568" t="s">
        <v>8</v>
      </c>
      <c r="W38" s="1569">
        <f t="shared" si="12"/>
        <v>100</v>
      </c>
      <c r="X38" s="1570"/>
      <c r="Y38" s="3413"/>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t="s">
        <v>601</v>
      </c>
      <c r="Q39" s="1572" t="str">
        <f t="shared" si="14"/>
        <v>工程地质条件</v>
      </c>
      <c r="R39" s="1573" t="s">
        <v>8</v>
      </c>
      <c r="S39" s="1574">
        <f t="shared" si="10"/>
        <v>100</v>
      </c>
      <c r="T39" s="1573" t="s">
        <v>8</v>
      </c>
      <c r="U39" s="1574">
        <f t="shared" si="11"/>
        <v>100</v>
      </c>
      <c r="V39" s="1573" t="s">
        <v>8</v>
      </c>
      <c r="W39" s="1574">
        <f t="shared" si="12"/>
        <v>100</v>
      </c>
      <c r="X39" s="1567"/>
      <c r="Y39" s="3413"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3"/>
      <c r="Q40" s="1572">
        <f t="shared" si="14"/>
        <v>111</v>
      </c>
      <c r="R40" s="1573" t="s">
        <v>8</v>
      </c>
      <c r="S40" s="1574">
        <f t="shared" si="10"/>
        <v>100</v>
      </c>
      <c r="T40" s="1573" t="s">
        <v>8</v>
      </c>
      <c r="U40" s="1574">
        <f t="shared" si="11"/>
        <v>100</v>
      </c>
      <c r="V40" s="1573" t="s">
        <v>8</v>
      </c>
      <c r="W40" s="1574">
        <f t="shared" si="12"/>
        <v>100</v>
      </c>
      <c r="X40" s="1567"/>
      <c r="Y40" s="341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3"/>
      <c r="Q41" s="1572">
        <f t="shared" si="14"/>
        <v>111</v>
      </c>
      <c r="R41" s="1573" t="s">
        <v>8</v>
      </c>
      <c r="S41" s="1574">
        <f t="shared" si="10"/>
        <v>100</v>
      </c>
      <c r="T41" s="1573" t="s">
        <v>8</v>
      </c>
      <c r="U41" s="1574">
        <f t="shared" si="11"/>
        <v>100</v>
      </c>
      <c r="V41" s="1573" t="s">
        <v>8</v>
      </c>
      <c r="W41" s="1574">
        <f t="shared" si="12"/>
        <v>100</v>
      </c>
      <c r="X41" s="1567"/>
      <c r="Y41" s="341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3"/>
      <c r="Q42" s="1572">
        <f t="shared" si="14"/>
        <v>111</v>
      </c>
      <c r="R42" s="1577" t="s">
        <v>8</v>
      </c>
      <c r="S42" s="1578">
        <f t="shared" si="10"/>
        <v>100</v>
      </c>
      <c r="T42" s="1577" t="s">
        <v>8</v>
      </c>
      <c r="U42" s="1578">
        <f t="shared" si="11"/>
        <v>100</v>
      </c>
      <c r="V42" s="1577" t="s">
        <v>8</v>
      </c>
      <c r="W42" s="1578">
        <f t="shared" si="12"/>
        <v>100</v>
      </c>
      <c r="X42" s="1579"/>
      <c r="Y42" s="3413"/>
      <c r="Z42" s="1580">
        <f t="shared" si="13"/>
        <v>111</v>
      </c>
      <c r="AA42" s="1576">
        <f t="shared" si="3"/>
        <v>1</v>
      </c>
      <c r="AB42" s="1576">
        <f t="shared" si="4"/>
        <v>1</v>
      </c>
      <c r="AC42" s="1576">
        <f t="shared" si="5"/>
        <v>1</v>
      </c>
    </row>
    <row r="43" spans="1:29" ht="15">
      <c r="A43" s="607" t="s">
        <v>556</v>
      </c>
      <c r="B43" s="608" t="s">
        <v>2928</v>
      </c>
      <c r="C43" s="609" t="s">
        <v>1</v>
      </c>
      <c r="D43" s="610"/>
      <c r="E43" s="611"/>
      <c r="F43" s="612"/>
      <c r="G43" s="613"/>
      <c r="H43" s="614"/>
      <c r="I43" s="611"/>
      <c r="J43" s="614"/>
      <c r="K43" s="1340"/>
      <c r="L43" s="2144"/>
      <c r="M43" s="2134"/>
      <c r="N43" s="2134"/>
      <c r="O43" s="2145"/>
      <c r="P43" s="3376" t="str">
        <f>A43</f>
        <v>成交单价</v>
      </c>
      <c r="Q43" s="3376"/>
      <c r="R43" s="3377">
        <f>E43</f>
        <v>0</v>
      </c>
      <c r="S43" s="3377"/>
      <c r="T43" s="3377">
        <f>G43</f>
        <v>0</v>
      </c>
      <c r="U43" s="3377"/>
      <c r="V43" s="3377">
        <f>I43</f>
        <v>0</v>
      </c>
      <c r="W43" s="3377"/>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76" t="str">
        <f>A44</f>
        <v>比较价格（元/平方米）</v>
      </c>
      <c r="Q44" s="3376"/>
      <c r="R44" s="3378" t="e">
        <f>ROUND(PRODUCT(R43,AA9:AA42),0)</f>
        <v>#DIV/0!</v>
      </c>
      <c r="S44" s="3378"/>
      <c r="T44" s="3378" t="e">
        <f>ROUND(PRODUCT(T43,AB9:AB42),0)</f>
        <v>#DIV/0!</v>
      </c>
      <c r="U44" s="3378"/>
      <c r="V44" s="3378" t="e">
        <f>ROUND(PRODUCT(V43,AC9:AC42),0)</f>
        <v>#DIV/0!</v>
      </c>
      <c r="W44" s="3378"/>
      <c r="X44" s="1559"/>
      <c r="Y44" s="1559"/>
      <c r="Z44" s="1559"/>
      <c r="AA44" s="1559"/>
      <c r="AB44" s="1559"/>
      <c r="AC44" s="1559"/>
    </row>
    <row r="45" spans="1:29" ht="15.75" thickBot="1">
      <c r="A45" s="621" t="s">
        <v>2929</v>
      </c>
      <c r="B45" s="622"/>
      <c r="C45" s="623" t="e">
        <f>R45</f>
        <v>#DIV/0!</v>
      </c>
      <c r="D45" s="623"/>
      <c r="E45" s="623"/>
      <c r="F45" s="623"/>
      <c r="G45" s="623"/>
      <c r="H45" s="623"/>
      <c r="I45" s="623"/>
      <c r="J45" s="623"/>
      <c r="K45" s="1342"/>
      <c r="L45" s="2144"/>
      <c r="M45" s="2134"/>
      <c r="N45" s="2134"/>
      <c r="O45" s="2145"/>
      <c r="P45" s="3373" t="str">
        <f>A45</f>
        <v>估价对象XX用房的比较价格（楼面单价，元/平方米）</v>
      </c>
      <c r="Q45" s="3374"/>
      <c r="R45" s="3375" t="e">
        <f>ROUND(AVERAGE(R44:V44),0)</f>
        <v>#DIV/0!</v>
      </c>
      <c r="S45" s="3375"/>
      <c r="T45" s="3375"/>
      <c r="U45" s="3375"/>
      <c r="V45" s="3375"/>
      <c r="W45" s="3375"/>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20" t="s">
        <v>2285</v>
      </c>
      <c r="H52" s="3421"/>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241896</v>
      </c>
      <c r="F53" s="1950" t="e">
        <f t="shared" ref="F53:F62" si="15">ROUND(B53*E53/10000,0)</f>
        <v>#DIV/0!</v>
      </c>
      <c r="G53" s="3422"/>
      <c r="H53" s="3423"/>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24"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24"/>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24"/>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24"/>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168688</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268474.83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2019-4-1</v>
      </c>
      <c r="D65" s="2777">
        <f>EDATE(C65,-3)</f>
        <v>43466</v>
      </c>
      <c r="E65" s="2777">
        <f t="shared" ref="E65:N65" si="18">EDATE(D65,-3)</f>
        <v>43374</v>
      </c>
      <c r="F65" s="2777">
        <f t="shared" si="18"/>
        <v>43282</v>
      </c>
      <c r="G65" s="2777">
        <f t="shared" si="18"/>
        <v>43191</v>
      </c>
      <c r="H65" s="2777">
        <f t="shared" si="18"/>
        <v>43101</v>
      </c>
      <c r="I65" s="2777">
        <f t="shared" si="18"/>
        <v>43009</v>
      </c>
      <c r="J65" s="2777">
        <f t="shared" si="18"/>
        <v>42917</v>
      </c>
      <c r="K65" s="2777">
        <f t="shared" si="18"/>
        <v>42826</v>
      </c>
      <c r="L65" s="2777">
        <f t="shared" si="18"/>
        <v>42736</v>
      </c>
      <c r="M65" s="2777">
        <f t="shared" si="18"/>
        <v>42644</v>
      </c>
      <c r="N65" s="2777">
        <f t="shared" si="18"/>
        <v>42552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2019-2</v>
      </c>
      <c r="D67" s="2779" t="str">
        <f t="shared" ref="D67:N67" si="19">YEAR(D65)&amp;"-"&amp;ROUNDUP(MONTH(D65)/3,0)</f>
        <v>2019-1</v>
      </c>
      <c r="E67" s="2779" t="str">
        <f t="shared" si="19"/>
        <v>2018-4</v>
      </c>
      <c r="F67" s="2779" t="str">
        <f t="shared" si="19"/>
        <v>2018-3</v>
      </c>
      <c r="G67" s="2779" t="str">
        <f t="shared" si="19"/>
        <v>2018-2</v>
      </c>
      <c r="H67" s="2779" t="str">
        <f t="shared" si="19"/>
        <v>2018-1</v>
      </c>
      <c r="I67" s="2779" t="str">
        <f t="shared" si="19"/>
        <v>2017-4</v>
      </c>
      <c r="J67" s="2779" t="str">
        <f t="shared" si="19"/>
        <v>2017-3</v>
      </c>
      <c r="K67" s="2779" t="str">
        <f t="shared" si="19"/>
        <v>2017-2</v>
      </c>
      <c r="L67" s="2779" t="str">
        <f t="shared" si="19"/>
        <v>2017-1</v>
      </c>
      <c r="M67" s="2779" t="str">
        <f t="shared" si="19"/>
        <v>2016-4</v>
      </c>
      <c r="N67" s="2779" t="str">
        <f t="shared" si="19"/>
        <v>2016-3</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2930</v>
      </c>
      <c r="G3" s="1039">
        <f>IF(F3="宗地容积率",'数据-汇总表'!I4,IF(F3="估价对象容积率",'数据-汇总表'!I6,'数据-汇总表'!I7))</f>
        <v>0.95</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096" t="e">
        <f>ROUND(IF(F16="增加",C6+C16,C6-C16),0)</f>
        <v>#DIV/0!</v>
      </c>
      <c r="E5" s="3096"/>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34" t="str">
        <f>IF(E2="商业",IF(C8="不临58条商业街","",2),"")</f>
        <v/>
      </c>
      <c r="B7" s="1427" t="s">
        <v>932</v>
      </c>
      <c r="C7" s="1043" t="e">
        <f>IF(C8="不临58条商业街",1,ROUND(1+(1.6*E8+1.2*E9+0.8*E10+0.4*E11)*C9,4))</f>
        <v>#DIV/0!</v>
      </c>
      <c r="D7" s="1428" t="s">
        <v>933</v>
      </c>
      <c r="E7" s="1044"/>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0.95</v>
      </c>
      <c r="AA7" s="2192"/>
      <c r="AB7" s="2192"/>
      <c r="AC7" s="2193"/>
      <c r="AD7" s="2907"/>
      <c r="AE7" s="2907"/>
      <c r="AF7" s="2907"/>
      <c r="AG7" s="2907"/>
      <c r="AH7" s="2907"/>
      <c r="AI7" s="2907"/>
      <c r="AJ7" s="2908"/>
    </row>
    <row r="8" spans="1:39" ht="15">
      <c r="A8" s="3435"/>
      <c r="B8" s="1414" t="s">
        <v>934</v>
      </c>
      <c r="C8" s="1529"/>
      <c r="D8" s="1045" t="s">
        <v>935</v>
      </c>
      <c r="E8" s="1046"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26" t="s">
        <v>2784</v>
      </c>
      <c r="X8" s="3427"/>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35"/>
      <c r="B9" s="1414" t="s">
        <v>937</v>
      </c>
      <c r="C9" s="1047">
        <f>SUMIF(修正!C59:C119,C8,修正!E59:E119)</f>
        <v>0</v>
      </c>
      <c r="D9" s="1048" t="s">
        <v>938</v>
      </c>
      <c r="E9" s="1048"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25"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35"/>
      <c r="B10" s="1414" t="s">
        <v>940</v>
      </c>
      <c r="C10" s="1048">
        <f>SUMIF(修正!C59:C119,C8,修正!F59:F119)</f>
        <v>0</v>
      </c>
      <c r="D10" s="1048" t="s">
        <v>941</v>
      </c>
      <c r="E10" s="1048"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2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35"/>
      <c r="B11" s="1435" t="s">
        <v>943</v>
      </c>
      <c r="C11" s="1049">
        <f>C10/4</f>
        <v>0</v>
      </c>
      <c r="D11" s="1049" t="s">
        <v>944</v>
      </c>
      <c r="E11" s="1049"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25" t="s">
        <v>2782</v>
      </c>
      <c r="X11" s="1048" t="s">
        <v>2767</v>
      </c>
      <c r="Y11" s="1653">
        <f>$G$3</f>
        <v>0.95</v>
      </c>
      <c r="Z11" s="1653">
        <f t="shared" ref="Z11:AJ11" si="3">$G$3</f>
        <v>0.95</v>
      </c>
      <c r="AA11" s="1653">
        <f t="shared" si="3"/>
        <v>0.95</v>
      </c>
      <c r="AB11" s="1653">
        <f t="shared" si="3"/>
        <v>0.95</v>
      </c>
      <c r="AC11" s="1653">
        <f t="shared" si="3"/>
        <v>0.95</v>
      </c>
      <c r="AD11" s="1653">
        <f t="shared" si="3"/>
        <v>0.95</v>
      </c>
      <c r="AE11" s="1653">
        <f t="shared" si="3"/>
        <v>0.95</v>
      </c>
      <c r="AF11" s="1653">
        <f t="shared" si="3"/>
        <v>0.95</v>
      </c>
      <c r="AG11" s="1653">
        <f t="shared" si="3"/>
        <v>0.95</v>
      </c>
      <c r="AH11" s="1653">
        <f t="shared" si="3"/>
        <v>0.95</v>
      </c>
      <c r="AI11" s="1653">
        <f t="shared" si="3"/>
        <v>0.95</v>
      </c>
      <c r="AJ11" s="1653">
        <f t="shared" si="3"/>
        <v>0.95</v>
      </c>
    </row>
    <row r="12" spans="1:39" ht="25.5" thickBot="1">
      <c r="A12" s="3434"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25"/>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36"/>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25"/>
      <c r="X13" s="2912"/>
      <c r="Y13" s="2911">
        <f>(-0.163*(Y12^2)-0.59*Y12+7617)*(10^(-4))/Y11</f>
        <v>0.80178947368421061</v>
      </c>
      <c r="Z13" s="2911">
        <f t="shared" ref="Z13:AJ13" si="5">(-0.163*(Z12^2)-0.59*Z12+7617)*(10^(-4))/Z11</f>
        <v>0.80178947368421061</v>
      </c>
      <c r="AA13" s="2911">
        <f t="shared" si="5"/>
        <v>0.80178947368421061</v>
      </c>
      <c r="AB13" s="2911">
        <f t="shared" si="5"/>
        <v>0.80178947368421061</v>
      </c>
      <c r="AC13" s="2911">
        <f t="shared" si="5"/>
        <v>0.80178947368421061</v>
      </c>
      <c r="AD13" s="2911">
        <f t="shared" si="5"/>
        <v>0.80178947368421061</v>
      </c>
      <c r="AE13" s="2911">
        <f t="shared" si="5"/>
        <v>0.80178947368421061</v>
      </c>
      <c r="AF13" s="2911">
        <f t="shared" si="5"/>
        <v>0.80178947368421061</v>
      </c>
      <c r="AG13" s="2911">
        <f t="shared" si="5"/>
        <v>0.80178947368421061</v>
      </c>
      <c r="AH13" s="2911">
        <f t="shared" si="5"/>
        <v>0.80178947368421061</v>
      </c>
      <c r="AI13" s="2911">
        <f t="shared" si="5"/>
        <v>0.80178947368421061</v>
      </c>
      <c r="AJ13" s="2911">
        <f t="shared" si="5"/>
        <v>0.80178947368421061</v>
      </c>
    </row>
    <row r="14" spans="1:39" ht="12.75" customHeight="1" thickBot="1">
      <c r="A14" s="3436"/>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3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3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3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43557</v>
      </c>
      <c r="H19" s="1475" t="s">
        <v>2931</v>
      </c>
      <c r="I19" s="2762" t="str">
        <f>IF(H19="季度增幅（自定义）",SUMIF(N21:N24,E2,O21:O24),"")</f>
        <v/>
      </c>
      <c r="J19" s="1471"/>
      <c r="K19" s="1481"/>
      <c r="L19" s="3015" t="s">
        <v>2842</v>
      </c>
      <c r="M19" s="3016">
        <f>ROUND(SUMIF(地价!B2:F2,E2,地价!B25:F25),0)</f>
        <v>0</v>
      </c>
      <c r="N19" s="2764" t="s">
        <v>1677</v>
      </c>
      <c r="O19" s="2763">
        <f>ROUNDDOWN(DATEDIF(E19,G19,"M")/3,0)</f>
        <v>21</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8">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0.9</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40" t="s">
        <v>2957</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4" t="s">
        <v>2984</v>
      </c>
      <c r="C41" s="839" t="e">
        <f>ROUND(POWER(1+E41,H41-G41)*(POWER(1+E41,G41)-1)/(POWER(1+E41,H41)-1),4)</f>
        <v>#DIV/0!</v>
      </c>
      <c r="D41" s="378" t="s">
        <v>2982</v>
      </c>
      <c r="E41" s="3173">
        <f>G20</f>
        <v>0</v>
      </c>
      <c r="F41" s="378" t="s">
        <v>2983</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7" t="s">
        <v>1021</v>
      </c>
      <c r="B47" s="2390">
        <f>估价对象房地状况!C16</f>
        <v>0</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7" t="s">
        <v>1022</v>
      </c>
      <c r="B48" s="2387">
        <f>估价对象房地状况!C18</f>
        <v>0</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3" t="s">
        <v>2933</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2" t="s">
        <v>2932</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f>估价对象房地状况!C21</f>
        <v>0</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f>估价对象房地状况!C22</f>
        <v>0</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20" t="s">
        <v>1029</v>
      </c>
      <c r="B55" s="2391">
        <f>估价对象房地状况!C20</f>
        <v>0</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7" t="s">
        <v>1031</v>
      </c>
      <c r="B58" s="2390">
        <f>估价对象房地状况!C17</f>
        <v>0</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7" t="s">
        <v>1022</v>
      </c>
      <c r="B59" s="2387">
        <f>估价对象房地状况!C18</f>
        <v>0</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3" t="s">
        <v>2934</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2" t="s">
        <v>2932</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f>估价对象房地状况!C21</f>
        <v>0</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f>估价对象房地状况!C22</f>
        <v>0</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20" t="s">
        <v>1029</v>
      </c>
      <c r="B66" s="2392">
        <f>估价对象房地状况!C20</f>
        <v>0</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7" t="s">
        <v>1033</v>
      </c>
      <c r="B69" s="2390">
        <f>估价对象房地状况!C15</f>
        <v>0</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7" t="s">
        <v>1034</v>
      </c>
      <c r="B70" s="2387">
        <f>估价对象房地状况!C18</f>
        <v>0</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388">
        <f>估价对象房地状况!C21</f>
        <v>0</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388">
        <f>估价对象房地状况!C22</f>
        <v>0</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72" t="s">
        <v>2932</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7" t="s">
        <v>1029</v>
      </c>
      <c r="B76" s="2390">
        <f>估价对象房地状况!C20</f>
        <v>0</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24">
      <c r="A80" s="1067" t="s">
        <v>1038</v>
      </c>
      <c r="B80" s="2387">
        <f>估价对象房地状况!G15</f>
        <v>0</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14.25">
      <c r="A81" s="1067" t="s">
        <v>1034</v>
      </c>
      <c r="B81" s="2387">
        <f>估价对象房地状况!G16</f>
        <v>0</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7" t="s">
        <v>1027</v>
      </c>
      <c r="B84" s="2388">
        <f>估价对象房地状况!G19</f>
        <v>0</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7" t="s">
        <v>1028</v>
      </c>
      <c r="B85" s="2388">
        <f>估价对象房地状况!G20</f>
        <v>0</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7" t="s">
        <v>1026</v>
      </c>
      <c r="B86" s="3072" t="s">
        <v>2932</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15" thickBot="1">
      <c r="A87" s="2420" t="s">
        <v>1039</v>
      </c>
      <c r="B87" s="2389">
        <f>估价对象房地状况!G18</f>
        <v>0</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38" t="s">
        <v>1634</v>
      </c>
      <c r="B90" s="3438"/>
      <c r="C90" s="3438"/>
      <c r="D90" s="3438"/>
      <c r="E90" s="3438"/>
      <c r="F90" s="3438"/>
      <c r="G90" s="3438"/>
      <c r="H90" s="3438"/>
      <c r="I90" s="3438"/>
      <c r="J90" s="3438"/>
      <c r="K90" s="2429"/>
      <c r="L90" s="2429"/>
      <c r="M90" s="2429"/>
      <c r="N90" s="2429"/>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1638</v>
      </c>
      <c r="B101" s="1147" t="s">
        <v>906</v>
      </c>
      <c r="C101" s="1148">
        <f>$G$3</f>
        <v>0.95</v>
      </c>
      <c r="D101" s="1148">
        <f t="shared" ref="D101:N101" si="31">$G$3</f>
        <v>0.95</v>
      </c>
      <c r="E101" s="1148">
        <f t="shared" si="31"/>
        <v>0.95</v>
      </c>
      <c r="F101" s="1148">
        <f t="shared" si="31"/>
        <v>0.95</v>
      </c>
      <c r="G101" s="1148">
        <f t="shared" si="31"/>
        <v>0.95</v>
      </c>
      <c r="H101" s="1148">
        <f t="shared" si="31"/>
        <v>0.95</v>
      </c>
      <c r="I101" s="1148">
        <f t="shared" si="31"/>
        <v>0.95</v>
      </c>
      <c r="J101" s="1148">
        <f t="shared" si="31"/>
        <v>0.95</v>
      </c>
      <c r="K101" s="1148">
        <f t="shared" si="31"/>
        <v>0.95</v>
      </c>
      <c r="L101" s="1148">
        <f t="shared" si="31"/>
        <v>0.95</v>
      </c>
      <c r="M101" s="1148">
        <f t="shared" si="31"/>
        <v>0.95</v>
      </c>
      <c r="N101" s="1148">
        <f t="shared" si="31"/>
        <v>0.95</v>
      </c>
    </row>
    <row r="102" spans="1:14">
      <c r="A102" s="3429"/>
      <c r="B102" s="1143">
        <v>1</v>
      </c>
      <c r="C102" s="1144">
        <f>1.9362/C101</f>
        <v>2.0381052631578949</v>
      </c>
      <c r="D102" s="1144">
        <f>1.9362/D101</f>
        <v>2.0381052631578949</v>
      </c>
      <c r="E102" s="1144">
        <f>1.8629/E101</f>
        <v>1.9609473684210528</v>
      </c>
      <c r="F102" s="1144">
        <f>1.8629/F101</f>
        <v>1.9609473684210528</v>
      </c>
      <c r="G102" s="1144">
        <f>1.8629/G101</f>
        <v>1.9609473684210528</v>
      </c>
      <c r="H102" s="1144">
        <f>1.8629/H101</f>
        <v>1.9609473684210528</v>
      </c>
      <c r="I102" s="1144">
        <f>1.8629/I101</f>
        <v>1.9609473684210528</v>
      </c>
      <c r="J102" s="1144">
        <f>1.942/J101</f>
        <v>2.0442105263157897</v>
      </c>
      <c r="K102" s="1144">
        <f>1.942/K101</f>
        <v>2.0442105263157897</v>
      </c>
      <c r="L102" s="1144">
        <f>1.942/L101</f>
        <v>2.0442105263157897</v>
      </c>
      <c r="M102" s="1144">
        <f>1.942/M101</f>
        <v>2.0442105263157897</v>
      </c>
      <c r="N102" s="1144">
        <f>1.942/N101</f>
        <v>2.0442105263157897</v>
      </c>
    </row>
    <row r="103" spans="1:14">
      <c r="A103" s="3429"/>
      <c r="B103" s="1143">
        <v>2</v>
      </c>
      <c r="C103" s="1144">
        <f>1.4198/C101</f>
        <v>1.4945263157894737</v>
      </c>
      <c r="D103" s="1144">
        <f>1.4198/D101</f>
        <v>1.4945263157894737</v>
      </c>
      <c r="E103" s="1144">
        <f>1.3372/E101</f>
        <v>1.407578947368421</v>
      </c>
      <c r="F103" s="1144">
        <f>1.3372/F101</f>
        <v>1.407578947368421</v>
      </c>
      <c r="G103" s="1144">
        <f>1.3372/G101</f>
        <v>1.407578947368421</v>
      </c>
      <c r="H103" s="1144">
        <f>1.3372/H101</f>
        <v>1.407578947368421</v>
      </c>
      <c r="I103" s="1144">
        <f>1.3372/I101</f>
        <v>1.407578947368421</v>
      </c>
      <c r="J103" s="1144">
        <f>1.2799/J101</f>
        <v>1.3472631578947369</v>
      </c>
      <c r="K103" s="1144">
        <f>1.2799/K101</f>
        <v>1.3472631578947369</v>
      </c>
      <c r="L103" s="1144">
        <f>1.2799/L101</f>
        <v>1.3472631578947369</v>
      </c>
      <c r="M103" s="1144">
        <f>1.2799/M101</f>
        <v>1.3472631578947369</v>
      </c>
      <c r="N103" s="1144">
        <f>1.2799/N101</f>
        <v>1.3472631578947369</v>
      </c>
    </row>
    <row r="104" spans="1:14">
      <c r="A104" s="3429"/>
      <c r="B104" s="1143">
        <v>3</v>
      </c>
      <c r="C104" s="1144">
        <f>1.1594/C101</f>
        <v>1.2204210526315791</v>
      </c>
      <c r="D104" s="1144">
        <f>1.1594/D101</f>
        <v>1.2204210526315791</v>
      </c>
      <c r="E104" s="1144">
        <f>1.0788/E101</f>
        <v>1.135578947368421</v>
      </c>
      <c r="F104" s="1144">
        <f>1.0788/F101</f>
        <v>1.135578947368421</v>
      </c>
      <c r="G104" s="1144">
        <f>1.0788/G101</f>
        <v>1.135578947368421</v>
      </c>
      <c r="H104" s="1144">
        <f>1.0788/H101</f>
        <v>1.135578947368421</v>
      </c>
      <c r="I104" s="1144">
        <f>1.0788/I101</f>
        <v>1.135578947368421</v>
      </c>
      <c r="J104" s="1144">
        <f>1.0072/J101</f>
        <v>1.0602105263157897</v>
      </c>
      <c r="K104" s="1144">
        <f>1.0072/K101</f>
        <v>1.0602105263157897</v>
      </c>
      <c r="L104" s="1144">
        <f>1.0072/L101</f>
        <v>1.0602105263157897</v>
      </c>
      <c r="M104" s="1144">
        <f>1.0072/M101</f>
        <v>1.0602105263157897</v>
      </c>
      <c r="N104" s="1144">
        <f>1.0072/N101</f>
        <v>1.0602105263157897</v>
      </c>
    </row>
    <row r="105" spans="1:14">
      <c r="A105" s="3429"/>
      <c r="B105" s="1143">
        <v>4</v>
      </c>
      <c r="C105" s="1144">
        <f>0.9622/C101</f>
        <v>1.012842105263158</v>
      </c>
      <c r="D105" s="1144">
        <f>0.9622/D101</f>
        <v>1.012842105263158</v>
      </c>
      <c r="E105" s="1144">
        <f>0.8656/E101</f>
        <v>0.91115789473684217</v>
      </c>
      <c r="F105" s="1144">
        <f>0.8656/F101</f>
        <v>0.91115789473684217</v>
      </c>
      <c r="G105" s="1144">
        <f>0.8656/G101</f>
        <v>0.91115789473684217</v>
      </c>
      <c r="H105" s="1144">
        <f>0.8656/H101</f>
        <v>0.91115789473684217</v>
      </c>
      <c r="I105" s="1144">
        <f>0.8656/I101</f>
        <v>0.91115789473684217</v>
      </c>
      <c r="J105" s="1144">
        <f>0.7525/J101</f>
        <v>0.79210526315789476</v>
      </c>
      <c r="K105" s="1144">
        <f>0.7525/K101</f>
        <v>0.79210526315789476</v>
      </c>
      <c r="L105" s="1144">
        <f>0.7525/L101</f>
        <v>0.79210526315789476</v>
      </c>
      <c r="M105" s="1144">
        <f>0.7525/M101</f>
        <v>0.79210526315789476</v>
      </c>
      <c r="N105" s="1144">
        <f>0.7525/N101</f>
        <v>0.79210526315789476</v>
      </c>
    </row>
    <row r="106" spans="1:14">
      <c r="A106" s="3429"/>
      <c r="B106" s="1143">
        <v>5</v>
      </c>
      <c r="C106" s="1144">
        <f>0.8417/C101</f>
        <v>0.88600000000000001</v>
      </c>
      <c r="D106" s="1144">
        <f>0.8417/D101</f>
        <v>0.88600000000000001</v>
      </c>
      <c r="E106" s="1144">
        <f>0.7371/E101</f>
        <v>0.7758947368421053</v>
      </c>
      <c r="F106" s="1144">
        <f>0.7371/F101</f>
        <v>0.7758947368421053</v>
      </c>
      <c r="G106" s="1144">
        <f>0.7371/G101</f>
        <v>0.7758947368421053</v>
      </c>
      <c r="H106" s="1144">
        <f>0.7371/H101</f>
        <v>0.7758947368421053</v>
      </c>
      <c r="I106" s="1144">
        <f>0.7371/I101</f>
        <v>0.7758947368421053</v>
      </c>
      <c r="J106" s="1144">
        <f>0.5659/J101</f>
        <v>0.59568421052631582</v>
      </c>
      <c r="K106" s="1144">
        <f>0.5659/K101</f>
        <v>0.59568421052631582</v>
      </c>
      <c r="L106" s="1144">
        <f>0.5659/L101</f>
        <v>0.59568421052631582</v>
      </c>
      <c r="M106" s="1144">
        <f>0.5659/M101</f>
        <v>0.59568421052631582</v>
      </c>
      <c r="N106" s="1144">
        <f>0.5659/N101</f>
        <v>0.59568421052631582</v>
      </c>
    </row>
    <row r="107" spans="1:14">
      <c r="A107" s="3429"/>
      <c r="B107" s="1143">
        <v>6</v>
      </c>
      <c r="C107" s="1144">
        <f>0.7608/C101</f>
        <v>0.80084210526315791</v>
      </c>
      <c r="D107" s="1144">
        <f>0.7608/D101</f>
        <v>0.80084210526315791</v>
      </c>
      <c r="E107" s="1144">
        <f>0.6482/E101</f>
        <v>0.68231578947368421</v>
      </c>
      <c r="F107" s="1144">
        <f>0.6482/F101</f>
        <v>0.68231578947368421</v>
      </c>
      <c r="G107" s="1144">
        <f>0.6482/G101</f>
        <v>0.68231578947368421</v>
      </c>
      <c r="H107" s="1144">
        <f>0.6482/H101</f>
        <v>0.68231578947368421</v>
      </c>
      <c r="I107" s="1144">
        <f>0.6482/I101</f>
        <v>0.68231578947368421</v>
      </c>
      <c r="J107" s="1144">
        <f>0.4525/J101</f>
        <v>0.47631578947368425</v>
      </c>
      <c r="K107" s="1144">
        <f>0.4525/K101</f>
        <v>0.47631578947368425</v>
      </c>
      <c r="L107" s="1144">
        <f>0.4525/L101</f>
        <v>0.47631578947368425</v>
      </c>
      <c r="M107" s="1144">
        <f>0.4525/M101</f>
        <v>0.47631578947368425</v>
      </c>
      <c r="N107" s="1144">
        <f>0.4525/N101</f>
        <v>0.47631578947368425</v>
      </c>
    </row>
    <row r="108" spans="1:14">
      <c r="A108" s="3429"/>
      <c r="B108" s="34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0.80019452631578947</v>
      </c>
      <c r="D109" s="1146">
        <f>(-0.163*(D108^2)-0.59*D108+7617)*(10^(-4))/D101</f>
        <v>0.80019452631578947</v>
      </c>
      <c r="E109" s="1146">
        <f>(-0.161*(E108^2)-7.509*E108+6533)*(10^(-4))/E101</f>
        <v>0.68027621052631582</v>
      </c>
      <c r="F109" s="1146">
        <f>(-0.161*(F108^2)-7.509*F108+6533)*(10^(-4))/F101</f>
        <v>0.68027621052631582</v>
      </c>
      <c r="G109" s="1146">
        <f>(-0.161*(G108^2)-7.509*G108+6533)*(10^(-4))/G101</f>
        <v>0.68027621052631582</v>
      </c>
      <c r="H109" s="1146">
        <f>(-0.161*(H108^2)-7.509*H108+6533)*(10^(-4))/H101</f>
        <v>0.68027621052631582</v>
      </c>
      <c r="I109" s="1146">
        <f>(-0.161*(I108^2)-7.509*I108+6533)*(10^(-4))/I101</f>
        <v>0.68027621052631582</v>
      </c>
      <c r="J109" s="1146">
        <f>(-0.214*(J108^2)-21.991*J108+4665)*(10^(-4))/J101</f>
        <v>0.47109221052631584</v>
      </c>
      <c r="K109" s="1146">
        <f>(-0.214*(K108^2)-21.991*K108+4665)*(10^(-4))/K101</f>
        <v>0.47109221052631584</v>
      </c>
      <c r="L109" s="1146">
        <f>(-0.214*(L108^2)-21.991*L108+4665)*(10^(-4))/L101</f>
        <v>0.47109221052631584</v>
      </c>
      <c r="M109" s="1146">
        <f>(-0.214*(M108^2)-21.991*M108+4665)*(10^(-4))/M101</f>
        <v>0.47109221052631584</v>
      </c>
      <c r="N109" s="1146">
        <f>(-0.214*(N108^2)-21.991*N108+4665)*(10^(-4))/N101</f>
        <v>0.47109221052631584</v>
      </c>
    </row>
    <row r="110" spans="1:14">
      <c r="A110" s="3433" t="s">
        <v>1640</v>
      </c>
      <c r="B110" s="3433"/>
      <c r="C110" s="3433"/>
      <c r="D110" s="3433"/>
      <c r="E110" s="3433"/>
      <c r="F110" s="3433"/>
      <c r="G110" s="3433"/>
      <c r="H110" s="3433"/>
      <c r="I110" s="3433"/>
      <c r="J110" s="3433"/>
      <c r="K110" s="2427"/>
      <c r="L110" s="2427"/>
      <c r="M110" s="2427"/>
      <c r="N110" s="2427"/>
    </row>
    <row r="112" spans="1:14" ht="12.75" thickBot="1"/>
    <row r="113" spans="1:13" ht="25.5" thickBot="1">
      <c r="A113" s="1016" t="s">
        <v>896</v>
      </c>
      <c r="B113" s="2430">
        <f>G3</f>
        <v>0.95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0.92459999999999998</v>
      </c>
      <c r="C115" s="1030">
        <f>B115</f>
        <v>0.92459999999999998</v>
      </c>
      <c r="D115" s="1030">
        <f>ROUND(0.8331-0.0109*B113,4)</f>
        <v>0.82269999999999999</v>
      </c>
      <c r="E115" s="1030">
        <f>D115</f>
        <v>0.82269999999999999</v>
      </c>
      <c r="F115" s="1030">
        <f>E115</f>
        <v>0.82269999999999999</v>
      </c>
      <c r="G115" s="1030">
        <f>F115</f>
        <v>0.82269999999999999</v>
      </c>
      <c r="H115" s="1030">
        <f>G115</f>
        <v>0.82269999999999999</v>
      </c>
      <c r="I115" s="1030">
        <f>ROUND(0.689-0.0155*B113,4)</f>
        <v>0.67430000000000001</v>
      </c>
      <c r="J115" s="1030">
        <f t="shared" ref="J115:M118" si="33">I115</f>
        <v>0.67430000000000001</v>
      </c>
      <c r="K115" s="1030">
        <f t="shared" si="33"/>
        <v>0.67430000000000001</v>
      </c>
      <c r="L115" s="1030">
        <f t="shared" si="33"/>
        <v>0.67430000000000001</v>
      </c>
      <c r="M115" s="1031">
        <f t="shared" si="33"/>
        <v>0.67430000000000001</v>
      </c>
    </row>
    <row r="116" spans="1:13" ht="12.75">
      <c r="A116" s="1029" t="s">
        <v>901</v>
      </c>
      <c r="B116" s="1030">
        <f>ROUND(0.949-0.012*B113,4)</f>
        <v>0.93759999999999999</v>
      </c>
      <c r="C116" s="1030">
        <f>B116</f>
        <v>0.93759999999999999</v>
      </c>
      <c r="D116" s="1030">
        <f>ROUND(0.8567-0.013*B113,4)</f>
        <v>0.84440000000000004</v>
      </c>
      <c r="E116" s="1030">
        <f t="shared" ref="E116:H117" si="34">D116</f>
        <v>0.84440000000000004</v>
      </c>
      <c r="F116" s="1030">
        <f t="shared" si="34"/>
        <v>0.84440000000000004</v>
      </c>
      <c r="G116" s="1030">
        <f t="shared" si="34"/>
        <v>0.84440000000000004</v>
      </c>
      <c r="H116" s="1030">
        <f t="shared" si="34"/>
        <v>0.84440000000000004</v>
      </c>
      <c r="I116" s="1030">
        <f>ROUND(0.7694-0.014*B113,4)</f>
        <v>0.75609999999999999</v>
      </c>
      <c r="J116" s="1030">
        <f t="shared" si="33"/>
        <v>0.75609999999999999</v>
      </c>
      <c r="K116" s="1030">
        <f t="shared" si="33"/>
        <v>0.75609999999999999</v>
      </c>
      <c r="L116" s="1030">
        <f t="shared" si="33"/>
        <v>0.75609999999999999</v>
      </c>
      <c r="M116" s="1031">
        <f t="shared" si="33"/>
        <v>0.75609999999999999</v>
      </c>
    </row>
    <row r="117" spans="1:13" ht="12.75">
      <c r="A117" s="1032" t="s">
        <v>902</v>
      </c>
      <c r="B117" s="1030">
        <f>ROUND(0.8808-0.006*B113,4)</f>
        <v>0.87509999999999999</v>
      </c>
      <c r="C117" s="1030">
        <f>B117</f>
        <v>0.87509999999999999</v>
      </c>
      <c r="D117" s="1030">
        <f>ROUND(0.8748-0.008*B113,4)</f>
        <v>0.86719999999999997</v>
      </c>
      <c r="E117" s="1030">
        <f t="shared" si="34"/>
        <v>0.86719999999999997</v>
      </c>
      <c r="F117" s="1030">
        <f t="shared" si="34"/>
        <v>0.86719999999999997</v>
      </c>
      <c r="G117" s="1030">
        <f t="shared" si="34"/>
        <v>0.86719999999999997</v>
      </c>
      <c r="H117" s="1030">
        <f t="shared" si="34"/>
        <v>0.86719999999999997</v>
      </c>
      <c r="I117" s="1030">
        <f>ROUND(0.7412-0.0095*B113,4)</f>
        <v>0.73219999999999996</v>
      </c>
      <c r="J117" s="1030">
        <f t="shared" si="33"/>
        <v>0.73219999999999996</v>
      </c>
      <c r="K117" s="1030">
        <f t="shared" si="33"/>
        <v>0.73219999999999996</v>
      </c>
      <c r="L117" s="1030">
        <f t="shared" si="33"/>
        <v>0.73219999999999996</v>
      </c>
      <c r="M117" s="1031">
        <f t="shared" si="33"/>
        <v>0.73219999999999996</v>
      </c>
    </row>
    <row r="118" spans="1:13" ht="13.5" thickBot="1">
      <c r="A118" s="1033" t="s">
        <v>903</v>
      </c>
      <c r="B118" s="1034">
        <f>ROUND(0.7275-0.01*B113,4)</f>
        <v>0.71799999999999997</v>
      </c>
      <c r="C118" s="1034">
        <f>B118</f>
        <v>0.71799999999999997</v>
      </c>
      <c r="D118" s="1034">
        <f>ROUND(0.7043-0.012*B113,4)</f>
        <v>0.69289999999999996</v>
      </c>
      <c r="E118" s="1034">
        <f>D118</f>
        <v>0.69289999999999996</v>
      </c>
      <c r="F118" s="1034">
        <f>E118</f>
        <v>0.69289999999999996</v>
      </c>
      <c r="G118" s="1034">
        <f>ROUND(0.6299-0.0122*B113,4)</f>
        <v>0.61829999999999996</v>
      </c>
      <c r="H118" s="1034">
        <f>G118</f>
        <v>0.61829999999999996</v>
      </c>
      <c r="I118" s="1034">
        <f>ROUND(0.5667-0.0136*B113,4)</f>
        <v>0.55379999999999996</v>
      </c>
      <c r="J118" s="1034">
        <f t="shared" si="33"/>
        <v>0.55379999999999996</v>
      </c>
      <c r="K118" s="1034">
        <f t="shared" si="33"/>
        <v>0.55379999999999996</v>
      </c>
      <c r="L118" s="1034">
        <f t="shared" si="33"/>
        <v>0.55379999999999996</v>
      </c>
      <c r="M118" s="1035">
        <f t="shared" si="33"/>
        <v>0.55379999999999996</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9" t="s">
        <v>1008</v>
      </c>
      <c r="B18" s="1154" t="s">
        <v>1447</v>
      </c>
      <c r="C18" s="1131" t="s">
        <v>1448</v>
      </c>
      <c r="D18" s="1132"/>
      <c r="E18" s="1154">
        <v>1</v>
      </c>
      <c r="F18" s="1133" t="s">
        <v>1449</v>
      </c>
      <c r="G18" s="1134"/>
      <c r="H18" s="1105"/>
      <c r="I18" s="1105"/>
    </row>
    <row r="19" spans="1:9" s="1599" customFormat="1" ht="19.5" customHeight="1">
      <c r="A19" s="3439"/>
      <c r="B19" s="3439" t="s">
        <v>1450</v>
      </c>
      <c r="C19" s="1131" t="s">
        <v>1451</v>
      </c>
      <c r="D19" s="1132"/>
      <c r="E19" s="1154">
        <v>0.9</v>
      </c>
      <c r="F19" s="1133" t="s">
        <v>1452</v>
      </c>
      <c r="G19" s="1134"/>
      <c r="H19" s="1105"/>
      <c r="I19" s="1105"/>
    </row>
    <row r="20" spans="1:9" s="1599" customFormat="1" ht="19.5" customHeight="1">
      <c r="A20" s="3439"/>
      <c r="B20" s="3439"/>
      <c r="C20" s="1131" t="s">
        <v>1453</v>
      </c>
      <c r="D20" s="1132"/>
      <c r="E20" s="1154">
        <v>1.1000000000000001</v>
      </c>
      <c r="F20" s="1133" t="s">
        <v>1454</v>
      </c>
      <c r="G20" s="1134"/>
      <c r="H20" s="1105"/>
      <c r="I20" s="1105"/>
    </row>
    <row r="21" spans="1:9" s="1599" customFormat="1" ht="19.5" customHeight="1">
      <c r="A21" s="3439"/>
      <c r="B21" s="3439"/>
      <c r="C21" s="1131" t="s">
        <v>1455</v>
      </c>
      <c r="D21" s="1132"/>
      <c r="E21" s="1154">
        <v>0.8</v>
      </c>
      <c r="F21" s="1133" t="s">
        <v>1456</v>
      </c>
      <c r="G21" s="1134"/>
      <c r="H21" s="1105"/>
      <c r="I21" s="1105"/>
    </row>
    <row r="22" spans="1:9" s="1599" customFormat="1" ht="19.5" customHeight="1">
      <c r="A22" s="3439"/>
      <c r="B22" s="3439"/>
      <c r="C22" s="1131" t="s">
        <v>1457</v>
      </c>
      <c r="D22" s="1132"/>
      <c r="E22" s="1154">
        <v>0.5</v>
      </c>
      <c r="F22" s="1133"/>
      <c r="G22" s="1134"/>
      <c r="H22" s="1105"/>
      <c r="I22" s="1105"/>
    </row>
    <row r="23" spans="1:9" s="1599" customFormat="1" ht="19.5" customHeight="1">
      <c r="A23" s="3439" t="s">
        <v>1030</v>
      </c>
      <c r="B23" s="1154" t="s">
        <v>1447</v>
      </c>
      <c r="C23" s="1131" t="s">
        <v>1458</v>
      </c>
      <c r="D23" s="1132"/>
      <c r="E23" s="1154">
        <v>1</v>
      </c>
      <c r="F23" s="1133" t="s">
        <v>1459</v>
      </c>
      <c r="G23" s="1134"/>
      <c r="H23" s="1105"/>
      <c r="I23" s="1105"/>
    </row>
    <row r="24" spans="1:9" s="1599" customFormat="1" ht="19.5" customHeight="1">
      <c r="A24" s="3439"/>
      <c r="B24" s="3439" t="s">
        <v>1450</v>
      </c>
      <c r="C24" s="1131" t="s">
        <v>1460</v>
      </c>
      <c r="D24" s="1132"/>
      <c r="E24" s="1154">
        <v>0.5</v>
      </c>
      <c r="F24" s="1133"/>
      <c r="G24" s="1134"/>
      <c r="H24" s="1105"/>
      <c r="I24" s="1105"/>
    </row>
    <row r="25" spans="1:9" s="1599" customFormat="1" ht="19.5" customHeight="1">
      <c r="A25" s="3439"/>
      <c r="B25" s="3439"/>
      <c r="C25" s="1131" t="s">
        <v>1461</v>
      </c>
      <c r="D25" s="1132"/>
      <c r="E25" s="1154">
        <v>1.1000000000000001</v>
      </c>
      <c r="F25" s="1133"/>
      <c r="G25" s="1134"/>
      <c r="H25" s="1105"/>
      <c r="I25" s="1105"/>
    </row>
    <row r="26" spans="1:9" s="1599" customFormat="1" ht="19.5" customHeight="1">
      <c r="A26" s="3439"/>
      <c r="B26" s="3439"/>
      <c r="C26" s="1131" t="s">
        <v>1462</v>
      </c>
      <c r="D26" s="1132"/>
      <c r="E26" s="1154">
        <v>1.1000000000000001</v>
      </c>
      <c r="F26" s="1133"/>
      <c r="G26" s="1134"/>
      <c r="H26" s="1105"/>
      <c r="I26" s="1105"/>
    </row>
    <row r="27" spans="1:9" s="1599" customFormat="1" ht="19.5" customHeight="1">
      <c r="A27" s="3439"/>
      <c r="B27" s="3439"/>
      <c r="C27" s="1131" t="s">
        <v>1463</v>
      </c>
      <c r="D27" s="1132"/>
      <c r="E27" s="1154">
        <v>0.9</v>
      </c>
      <c r="F27" s="1133" t="s">
        <v>1464</v>
      </c>
      <c r="G27" s="1134"/>
      <c r="H27" s="1105"/>
      <c r="I27" s="1105"/>
    </row>
    <row r="28" spans="1:9" s="1599" customFormat="1" ht="19.5" customHeight="1">
      <c r="A28" s="3439"/>
      <c r="B28" s="3439"/>
      <c r="C28" s="1131" t="s">
        <v>1465</v>
      </c>
      <c r="D28" s="1132"/>
      <c r="E28" s="1154">
        <v>0.9</v>
      </c>
      <c r="F28" s="1133" t="s">
        <v>1466</v>
      </c>
      <c r="G28" s="1134"/>
      <c r="H28" s="1105"/>
      <c r="I28" s="1105"/>
    </row>
    <row r="29" spans="1:9" s="1599" customFormat="1" ht="19.5" customHeight="1">
      <c r="A29" s="3439"/>
      <c r="B29" s="3439"/>
      <c r="C29" s="1131" t="s">
        <v>1467</v>
      </c>
      <c r="D29" s="1132"/>
      <c r="E29" s="1154">
        <v>0.9</v>
      </c>
      <c r="F29" s="1133" t="s">
        <v>1468</v>
      </c>
      <c r="G29" s="1134"/>
      <c r="H29" s="1105"/>
      <c r="I29" s="1105"/>
    </row>
    <row r="30" spans="1:9" s="1599" customFormat="1" ht="19.5" customHeight="1">
      <c r="A30" s="3439"/>
      <c r="B30" s="3439"/>
      <c r="C30" s="1131" t="s">
        <v>1469</v>
      </c>
      <c r="D30" s="1132"/>
      <c r="E30" s="1154">
        <v>0.9</v>
      </c>
      <c r="F30" s="1133" t="s">
        <v>1470</v>
      </c>
      <c r="G30" s="1134"/>
      <c r="H30" s="1105"/>
      <c r="I30" s="1105"/>
    </row>
    <row r="31" spans="1:9" s="1599" customFormat="1" ht="19.5" customHeight="1">
      <c r="A31" s="3439"/>
      <c r="B31" s="3439"/>
      <c r="C31" s="1131" t="s">
        <v>1471</v>
      </c>
      <c r="D31" s="1132"/>
      <c r="E31" s="1154">
        <v>0.8</v>
      </c>
      <c r="F31" s="1133" t="s">
        <v>1472</v>
      </c>
      <c r="G31" s="1134"/>
      <c r="H31" s="1105"/>
      <c r="I31" s="1105"/>
    </row>
    <row r="32" spans="1:9" s="1599" customFormat="1" ht="19.5" customHeight="1">
      <c r="A32" s="3439"/>
      <c r="B32" s="3439"/>
      <c r="C32" s="1131" t="s">
        <v>1473</v>
      </c>
      <c r="D32" s="1132"/>
      <c r="E32" s="1154">
        <v>0.8</v>
      </c>
      <c r="F32" s="1133" t="s">
        <v>1474</v>
      </c>
      <c r="G32" s="1134"/>
      <c r="H32" s="1105"/>
      <c r="I32" s="1105"/>
    </row>
    <row r="33" spans="1:9" s="1599" customFormat="1" ht="19.5" customHeight="1">
      <c r="A33" s="3439" t="s">
        <v>1475</v>
      </c>
      <c r="B33" s="1154" t="s">
        <v>1447</v>
      </c>
      <c r="C33" s="1131" t="s">
        <v>1476</v>
      </c>
      <c r="D33" s="1132"/>
      <c r="E33" s="1154">
        <v>1</v>
      </c>
      <c r="F33" s="1133" t="s">
        <v>1477</v>
      </c>
      <c r="G33" s="1134"/>
      <c r="H33" s="1105"/>
      <c r="I33" s="1105"/>
    </row>
    <row r="34" spans="1:9" s="1599" customFormat="1" ht="19.5" customHeight="1">
      <c r="A34" s="3439"/>
      <c r="B34" s="1154" t="s">
        <v>1450</v>
      </c>
      <c r="C34" s="1131" t="s">
        <v>1478</v>
      </c>
      <c r="D34" s="1132"/>
      <c r="E34" s="1154">
        <v>1.5</v>
      </c>
      <c r="F34" s="1133" t="s">
        <v>1479</v>
      </c>
      <c r="G34" s="1134"/>
      <c r="H34" s="1105"/>
      <c r="I34" s="1105"/>
    </row>
    <row r="35" spans="1:9" s="1599" customFormat="1" ht="19.5" customHeight="1">
      <c r="A35" s="3439" t="s">
        <v>1433</v>
      </c>
      <c r="B35" s="1154" t="s">
        <v>1447</v>
      </c>
      <c r="C35" s="1131" t="s">
        <v>1480</v>
      </c>
      <c r="D35" s="1132"/>
      <c r="E35" s="1154">
        <v>1</v>
      </c>
      <c r="F35" s="1133" t="s">
        <v>1481</v>
      </c>
      <c r="G35" s="1134"/>
      <c r="H35" s="1105"/>
      <c r="I35" s="1105"/>
    </row>
    <row r="36" spans="1:9" s="1599" customFormat="1" ht="19.5" customHeight="1">
      <c r="A36" s="3439"/>
      <c r="B36" s="3439" t="s">
        <v>1450</v>
      </c>
      <c r="C36" s="1131" t="s">
        <v>1482</v>
      </c>
      <c r="D36" s="1132"/>
      <c r="E36" s="1154">
        <v>1</v>
      </c>
      <c r="F36" s="1133" t="s">
        <v>1483</v>
      </c>
      <c r="G36" s="1134"/>
      <c r="H36" s="1105"/>
      <c r="I36" s="1105"/>
    </row>
    <row r="37" spans="1:9" s="1599" customFormat="1" ht="19.5" customHeight="1">
      <c r="A37" s="3439"/>
      <c r="B37" s="3439"/>
      <c r="C37" s="1131" t="s">
        <v>1484</v>
      </c>
      <c r="D37" s="1132"/>
      <c r="E37" s="1154">
        <v>1.5</v>
      </c>
      <c r="F37" s="1133" t="s">
        <v>1485</v>
      </c>
      <c r="G37" s="1134"/>
      <c r="H37" s="1105"/>
      <c r="I37" s="1105"/>
    </row>
    <row r="38" spans="1:9" s="1599" customFormat="1" ht="19.5" customHeight="1">
      <c r="A38" s="3439"/>
      <c r="B38" s="3439"/>
      <c r="C38" s="1131" t="s">
        <v>1486</v>
      </c>
      <c r="D38" s="1132"/>
      <c r="E38" s="1154">
        <v>1</v>
      </c>
      <c r="F38" s="1133" t="s">
        <v>1487</v>
      </c>
      <c r="G38" s="1134"/>
      <c r="H38" s="1105"/>
      <c r="I38" s="1105"/>
    </row>
    <row r="39" spans="1:9" s="1599" customFormat="1" ht="19.5" customHeight="1">
      <c r="A39" s="3439"/>
      <c r="B39" s="343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1040</v>
      </c>
      <c r="B1" s="3443"/>
      <c r="C1" s="3443"/>
      <c r="D1" s="3443"/>
      <c r="E1" s="3443"/>
      <c r="F1" s="344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4" t="s">
        <v>1053</v>
      </c>
      <c r="B2" s="3444"/>
      <c r="C2" s="3444"/>
      <c r="D2" s="3444"/>
      <c r="E2" s="3444"/>
      <c r="F2" s="344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7" t="s">
        <v>2080</v>
      </c>
      <c r="B1" s="344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2945</v>
      </c>
      <c r="B1" s="3081"/>
      <c r="C1" s="3081"/>
      <c r="D1" s="3081"/>
      <c r="E1" s="3081"/>
      <c r="F1" s="3081"/>
    </row>
    <row r="2" spans="1:6" ht="14.25">
      <c r="A2" s="3082" t="s">
        <v>2940</v>
      </c>
      <c r="B2" s="3083" t="e">
        <f ca="1">SUMIF(B7:B14,"&lt;&gt;#ref!",B7:B14)</f>
        <v>#DIV/0!</v>
      </c>
      <c r="C2" s="3082" t="s">
        <v>2941</v>
      </c>
      <c r="D2" s="3081"/>
      <c r="E2" s="3081"/>
      <c r="F2" s="3081"/>
    </row>
    <row r="3" spans="1:6" ht="14.25">
      <c r="A3" s="3082" t="s">
        <v>2973</v>
      </c>
      <c r="B3" s="3083" t="e">
        <f ca="1">ROUND(B2*10000/E3,0)</f>
        <v>#DIV/0!</v>
      </c>
      <c r="C3" s="3082" t="s">
        <v>2079</v>
      </c>
      <c r="D3" s="3082" t="s">
        <v>2942</v>
      </c>
      <c r="E3" s="3083">
        <f ca="1">SUMIF(E7:E14,"&lt;&gt;#ref!",E7:E14)</f>
        <v>0</v>
      </c>
      <c r="F3" s="3081"/>
    </row>
    <row r="4" spans="1:6" ht="14.25">
      <c r="A4" s="3082" t="s">
        <v>2949</v>
      </c>
      <c r="B4" s="3083" t="e">
        <f ca="1">ROUND(B2*10000/E4,0)</f>
        <v>#DIV/0!</v>
      </c>
      <c r="C4" s="3082" t="s">
        <v>2079</v>
      </c>
      <c r="D4" s="3082" t="s">
        <v>2950</v>
      </c>
      <c r="E4" s="3083">
        <f ca="1">SUMIF(F7:F14,"&lt;&gt;#ref!",F7:F14)</f>
        <v>0</v>
      </c>
      <c r="F4" s="3081"/>
    </row>
    <row r="5" spans="1:6" ht="14.25">
      <c r="A5" s="3084"/>
      <c r="B5" s="1881"/>
      <c r="C5" s="1881"/>
      <c r="D5" s="1881"/>
      <c r="E5" s="1881"/>
      <c r="F5" s="3081"/>
    </row>
    <row r="6" spans="1:6" ht="28.5">
      <c r="A6" s="3085" t="s">
        <v>2946</v>
      </c>
      <c r="B6" s="3082" t="s">
        <v>2943</v>
      </c>
      <c r="C6" s="3083"/>
      <c r="D6" s="1881"/>
      <c r="E6" s="3082" t="s">
        <v>2944</v>
      </c>
      <c r="F6" s="3082" t="s">
        <v>2948</v>
      </c>
    </row>
    <row r="7" spans="1:6" ht="14.25">
      <c r="A7" s="260" t="s">
        <v>2947</v>
      </c>
      <c r="B7" s="3086" t="e">
        <f ca="1">SUMIF(INDIRECT("'"&amp;A7&amp;"'"&amp;"!A:A"),"总价",INDIRECT("'"&amp;A7&amp;"'"&amp;"!B:B"))</f>
        <v>#DIV/0!</v>
      </c>
      <c r="C7" s="3082" t="s">
        <v>2941</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2941</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2941</v>
      </c>
      <c r="D9" s="1881"/>
      <c r="E9" s="3087" t="e">
        <f t="shared" ca="1" si="1"/>
        <v>#REF!</v>
      </c>
      <c r="F9" s="3087" t="e">
        <f t="shared" ca="1" si="2"/>
        <v>#REF!</v>
      </c>
    </row>
    <row r="10" spans="1:6" ht="14.25">
      <c r="A10" s="260"/>
      <c r="B10" s="3086" t="e">
        <f t="shared" ca="1" si="0"/>
        <v>#REF!</v>
      </c>
      <c r="C10" s="3082" t="s">
        <v>2941</v>
      </c>
      <c r="D10" s="1881"/>
      <c r="E10" s="3087" t="e">
        <f t="shared" ca="1" si="1"/>
        <v>#REF!</v>
      </c>
      <c r="F10" s="3087" t="e">
        <f t="shared" ca="1" si="2"/>
        <v>#REF!</v>
      </c>
    </row>
    <row r="11" spans="1:6" ht="14.25">
      <c r="A11" s="260"/>
      <c r="B11" s="3086" t="e">
        <f t="shared" ca="1" si="0"/>
        <v>#REF!</v>
      </c>
      <c r="C11" s="3082" t="s">
        <v>2941</v>
      </c>
      <c r="D11" s="1881"/>
      <c r="E11" s="3087" t="e">
        <f t="shared" ca="1" si="1"/>
        <v>#REF!</v>
      </c>
      <c r="F11" s="3087" t="e">
        <f t="shared" ca="1" si="2"/>
        <v>#REF!</v>
      </c>
    </row>
    <row r="12" spans="1:6" ht="14.25">
      <c r="A12" s="260"/>
      <c r="B12" s="3086" t="e">
        <f t="shared" ca="1" si="0"/>
        <v>#REF!</v>
      </c>
      <c r="C12" s="3082" t="s">
        <v>2941</v>
      </c>
      <c r="D12" s="1881"/>
      <c r="E12" s="3087" t="e">
        <f t="shared" ca="1" si="1"/>
        <v>#REF!</v>
      </c>
      <c r="F12" s="3087" t="e">
        <f t="shared" ca="1" si="2"/>
        <v>#REF!</v>
      </c>
    </row>
    <row r="13" spans="1:6" ht="14.25">
      <c r="A13" s="260"/>
      <c r="B13" s="3086" t="e">
        <f t="shared" ca="1" si="0"/>
        <v>#REF!</v>
      </c>
      <c r="C13" s="3082" t="s">
        <v>2941</v>
      </c>
      <c r="D13" s="1881"/>
      <c r="E13" s="3087" t="e">
        <f t="shared" ca="1" si="1"/>
        <v>#REF!</v>
      </c>
      <c r="F13" s="3087" t="e">
        <f t="shared" ca="1" si="2"/>
        <v>#REF!</v>
      </c>
    </row>
    <row r="14" spans="1:6" ht="14.25">
      <c r="A14" s="3080"/>
      <c r="B14" s="3086" t="e">
        <f t="shared" ca="1" si="0"/>
        <v>#REF!</v>
      </c>
      <c r="C14" s="3082" t="s">
        <v>2941</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268474.83平方米。根据《建设工程规划许可证》[]、《出让合同》[]，估价对象规划建筑面积为423739平方米。</v>
      </c>
    </row>
    <row r="7" spans="1:4" ht="56.25">
      <c r="A7" s="1795" t="s">
        <v>2748</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2019年4月2日（评估专业人员勘察现场之日）</v>
      </c>
    </row>
    <row r="12" spans="1:4" ht="18.75">
      <c r="A12" s="1797" t="s">
        <v>2026</v>
      </c>
    </row>
    <row r="13" spans="1:4" ht="18.75">
      <c r="A13" s="1791" t="s">
        <v>2937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根据《国有土地使用证》[]，估价对象（分摊）出让国有建设用地使用权面积为268474.83平方米。根据《建设工程规划许可证》[]、《出让合同》[]，估价对象规划建筑面积为423739平方米。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本次估价对象为出让国有建设用地使用权，《国有土地使用证》[]证载土地终止日期为住宅2063年2月9日、商业2033年2月9日车库2043年2月9日。截至估价期日，出让国有建设用地使用权剩余土地使用年限为。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-3</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49" t="s">
        <v>2464</v>
      </c>
      <c r="C8" s="1825">
        <f ca="1">ROUND(F8*F10*F9*(1-F11)/10000,0)</f>
        <v>0</v>
      </c>
      <c r="D8" s="1822" t="s">
        <v>2535</v>
      </c>
      <c r="E8" s="61" t="s">
        <v>637</v>
      </c>
      <c r="F8" s="785">
        <f ca="1">INDIRECT("'数据-取费表'!u"&amp;$G$1)</f>
        <v>0</v>
      </c>
      <c r="G8" s="1592"/>
      <c r="H8" s="2483" t="s">
        <v>1825</v>
      </c>
      <c r="I8" s="3449" t="s">
        <v>2464</v>
      </c>
      <c r="J8" s="783">
        <f ca="1">ROUND(M8*M10*M9*(1-M11)/10000,0)</f>
        <v>0</v>
      </c>
      <c r="K8" s="341" t="s">
        <v>2535</v>
      </c>
      <c r="L8" s="784" t="s">
        <v>1739</v>
      </c>
      <c r="M8" s="785">
        <f ca="1">INDIRECT("'数据-取费表'!z"&amp;$G$1)</f>
        <v>0</v>
      </c>
    </row>
    <row r="9" spans="1:25" ht="18" customHeight="1">
      <c r="A9" s="2479"/>
      <c r="B9" s="3450"/>
      <c r="C9" s="1826"/>
      <c r="D9" s="1823"/>
      <c r="E9" s="61" t="s">
        <v>638</v>
      </c>
      <c r="F9" s="785">
        <f ca="1">IF(INDIRECT("'数据-取费表'!ah"&amp;$G$1)="",INDIRECT("'数据-取费表'!k"&amp;$G$1),INDIRECT("'数据-取费表'!ah"&amp;$G$1))</f>
        <v>0</v>
      </c>
      <c r="G9" s="1592"/>
      <c r="H9" s="2468"/>
      <c r="I9" s="3450"/>
      <c r="J9" s="788"/>
      <c r="K9" s="789"/>
      <c r="L9" s="784" t="s">
        <v>1740</v>
      </c>
      <c r="M9" s="785">
        <f ca="1">F9</f>
        <v>0</v>
      </c>
    </row>
    <row r="10" spans="1:25" ht="18" customHeight="1">
      <c r="A10" s="2472"/>
      <c r="B10" s="3451"/>
      <c r="C10" s="1826"/>
      <c r="D10" s="1823"/>
      <c r="E10" s="61" t="s">
        <v>639</v>
      </c>
      <c r="F10" s="785">
        <f ca="1">INDIRECT("'数据-取费表'!ai"&amp;$G$1)</f>
        <v>0</v>
      </c>
      <c r="G10" s="1592"/>
      <c r="H10" s="2468"/>
      <c r="I10" s="3451"/>
      <c r="J10" s="788"/>
      <c r="K10" s="789"/>
      <c r="L10" s="784" t="s">
        <v>1741</v>
      </c>
      <c r="M10" s="785">
        <f ca="1">INDIRECT("'数据-取费表'!ai"&amp;$G$1)</f>
        <v>0</v>
      </c>
    </row>
    <row r="11" spans="1:25" ht="18" customHeight="1">
      <c r="A11" s="786"/>
      <c r="B11" s="3452"/>
      <c r="C11" s="1826"/>
      <c r="D11" s="1823"/>
      <c r="E11" s="61" t="s">
        <v>640</v>
      </c>
      <c r="F11" s="794">
        <f ca="1">INDIRECT("'数据-取费表'!w"&amp;$G$1)</f>
        <v>0</v>
      </c>
      <c r="G11" s="1592"/>
      <c r="H11" s="2484"/>
      <c r="I11" s="345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2970</v>
      </c>
      <c r="E12" s="2477" t="s">
        <v>2465</v>
      </c>
      <c r="F12" s="2600"/>
      <c r="G12" s="1592"/>
      <c r="H12" s="2540" t="s">
        <v>1826</v>
      </c>
      <c r="I12" s="2545" t="s">
        <v>2460</v>
      </c>
      <c r="J12" s="783">
        <f ca="1">ROUND(IF(M12="押一",J8/12*M13,IF(M12="押二",J8/12*2*M13,IF(M12="押三",J8/12*3*M13,J13*M13))),0)</f>
        <v>0</v>
      </c>
      <c r="K12" s="2480" t="s">
        <v>2970</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0</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0.03</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2.2000000000000001E-3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0</v>
      </c>
      <c r="G36" s="2062"/>
      <c r="H36" s="2065"/>
      <c r="I36" s="3448"/>
      <c r="J36" s="2079"/>
      <c r="K36" s="2080"/>
      <c r="L36" s="2079"/>
      <c r="M36" s="2079"/>
    </row>
    <row r="37" spans="1:18" ht="18" customHeight="1">
      <c r="A37" s="815"/>
      <c r="B37" s="793"/>
      <c r="C37" s="69"/>
      <c r="D37" s="816"/>
      <c r="E37" s="784" t="s">
        <v>674</v>
      </c>
      <c r="F37" s="785">
        <f ca="1">INDIRECT("'数据-取费表'!r"&amp;$G$1)</f>
        <v>0</v>
      </c>
      <c r="G37" s="2062"/>
      <c r="H37" s="2065"/>
      <c r="I37" s="344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2958</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2"/>
      <c r="Q47" s="1604"/>
      <c r="R47" s="1592"/>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2974</v>
      </c>
      <c r="J54" s="3129">
        <f ca="1">IF(M48="住宅",MAX(J52,L49-'数据-取费表'!B20),MIN(J52,L49-'数据-取费表'!B20))</f>
        <v>-3</v>
      </c>
      <c r="K54" s="3453"/>
      <c r="L54" s="3454"/>
      <c r="O54" s="2380" t="s">
        <v>2389</v>
      </c>
      <c r="P54" s="2378" t="s">
        <v>2390</v>
      </c>
      <c r="Q54" s="2379">
        <f ca="1">J54</f>
        <v>-3</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2"/>
      <c r="Q56" s="1604"/>
      <c r="R56" s="1592"/>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2938</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2"/>
      <c r="Q65" s="1604"/>
      <c r="R65" s="1592"/>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2" sqref="G32"/>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62" t="s">
        <v>2577</v>
      </c>
      <c r="C1" s="3462"/>
      <c r="D1" s="3462"/>
      <c r="E1" s="3462"/>
      <c r="F1" s="3462"/>
      <c r="G1" s="3461" t="s">
        <v>2578</v>
      </c>
      <c r="H1" s="3461"/>
      <c r="I1" s="3461"/>
      <c r="J1" s="3461"/>
      <c r="K1" s="3461"/>
      <c r="L1" s="3461"/>
      <c r="N1" s="3461" t="s">
        <v>2579</v>
      </c>
      <c r="O1" s="3461"/>
      <c r="P1" s="3461"/>
      <c r="Q1" s="3461"/>
      <c r="R1" s="2633"/>
      <c r="S1" s="3461" t="s">
        <v>2580</v>
      </c>
      <c r="T1" s="3461"/>
      <c r="U1" s="3461"/>
      <c r="V1" s="3461"/>
      <c r="X1" s="3460" t="s">
        <v>2640</v>
      </c>
      <c r="Y1" s="3461"/>
      <c r="Z1" s="3461"/>
      <c r="AA1" s="3461"/>
      <c r="AB1" s="3461"/>
      <c r="AD1" s="3460" t="s">
        <v>2644</v>
      </c>
      <c r="AE1" s="3461"/>
      <c r="AF1" s="3461"/>
      <c r="AG1" s="3461"/>
      <c r="AH1" s="3461"/>
    </row>
    <row r="2" spans="1:34" s="2734" customFormat="1" ht="14.25" thickBot="1">
      <c r="B2" s="2742" t="s">
        <v>2581</v>
      </c>
      <c r="C2" s="2742" t="s">
        <v>2642</v>
      </c>
      <c r="D2" s="2735" t="s">
        <v>1645</v>
      </c>
      <c r="E2" s="2735" t="s">
        <v>1950</v>
      </c>
      <c r="F2" s="2742" t="s">
        <v>2643</v>
      </c>
      <c r="G2" s="2738"/>
      <c r="H2" s="2737"/>
      <c r="I2" s="2742" t="s">
        <v>2952</v>
      </c>
      <c r="J2" s="2735" t="s">
        <v>2954</v>
      </c>
      <c r="K2" s="2735" t="s">
        <v>2955</v>
      </c>
      <c r="L2" s="2742" t="s">
        <v>2956</v>
      </c>
      <c r="N2" s="2742" t="s">
        <v>2581</v>
      </c>
      <c r="O2" s="2735" t="s">
        <v>2953</v>
      </c>
      <c r="P2" s="2735" t="s">
        <v>1950</v>
      </c>
      <c r="Q2" s="2742" t="s">
        <v>2643</v>
      </c>
      <c r="R2" s="2736"/>
      <c r="S2" s="2742" t="s">
        <v>2581</v>
      </c>
      <c r="T2" s="2735" t="s">
        <v>2953</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2965</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2985</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2966</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2986</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56">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2975</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56"/>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2976</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56"/>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2972</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7"/>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2963</v>
      </c>
      <c r="B10" s="3121">
        <v>439</v>
      </c>
      <c r="C10" s="3121">
        <v>327</v>
      </c>
      <c r="D10" s="3121">
        <f t="shared" si="43"/>
        <v>327</v>
      </c>
      <c r="E10" s="3121">
        <v>627</v>
      </c>
      <c r="F10" s="3122">
        <v>283</v>
      </c>
      <c r="G10" s="3455">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2967</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56"/>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56"/>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57"/>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55">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56"/>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56"/>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9"/>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5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56"/>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56"/>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9"/>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5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56"/>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56"/>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9"/>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63">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64"/>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64"/>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65"/>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5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56"/>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56"/>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59"/>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5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56">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56">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59">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5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56">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56">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59">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5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56">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56">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59">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5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56">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56">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59">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5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56">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56">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59">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5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56">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56">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59">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5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56">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56">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59">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5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56">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56">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59">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58">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56">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56">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59">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58">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56">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56">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59">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G32" sqref="G3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01" t="s">
        <v>952</v>
      </c>
      <c r="E1" s="2366" t="s">
        <v>2375</v>
      </c>
      <c r="F1" s="2367">
        <f ca="1">J53</f>
        <v>0</v>
      </c>
      <c r="G1" s="774">
        <f>MATCH(C1,'数据-取费表'!A6:A16,0)+5</f>
        <v>10</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0"/>
      <c r="H2" s="2057"/>
      <c r="I2" s="2057"/>
      <c r="J2" s="2057"/>
      <c r="K2" s="2058"/>
      <c r="L2" s="2057"/>
      <c r="M2" s="2057"/>
    </row>
    <row r="3" spans="1:33" ht="18" customHeight="1" thickBot="1">
      <c r="A3" s="833" t="s">
        <v>1728</v>
      </c>
      <c r="B3" s="834">
        <f ca="1">IF(ISERROR(B2*10000/F43),0,ROUND(B2*10000/F43,0))</f>
        <v>0</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75" t="s">
        <v>2462</v>
      </c>
      <c r="E5" s="2469"/>
      <c r="F5" s="2470"/>
      <c r="G5" s="1592"/>
      <c r="H5" s="781">
        <v>1</v>
      </c>
      <c r="I5" s="782" t="s">
        <v>2459</v>
      </c>
      <c r="J5" s="55">
        <f ca="1">J6+J10+J12</f>
        <v>0</v>
      </c>
      <c r="K5" s="2475" t="s">
        <v>2462</v>
      </c>
      <c r="L5" s="2469"/>
      <c r="M5" s="2470"/>
    </row>
    <row r="6" spans="1:33" ht="18" customHeight="1">
      <c r="A6" s="1830" t="s">
        <v>1825</v>
      </c>
      <c r="B6" s="3449" t="s">
        <v>2464</v>
      </c>
      <c r="C6" s="783">
        <f ca="1">ROUND(F6*F8*F7*(1-F9)/10000,0)</f>
        <v>0</v>
      </c>
      <c r="D6" s="2476" t="s">
        <v>2463</v>
      </c>
      <c r="E6" s="784" t="s">
        <v>1739</v>
      </c>
      <c r="F6" s="785">
        <f ca="1">INDIRECT("'数据-取费表'!u"&amp;$G$1)</f>
        <v>0</v>
      </c>
      <c r="G6" s="1592"/>
      <c r="H6" s="2483" t="s">
        <v>2469</v>
      </c>
      <c r="I6" s="3449" t="s">
        <v>2464</v>
      </c>
      <c r="J6" s="783">
        <f ca="1">ROUND(M6*M8*M7*(1-M9)/10000,0)</f>
        <v>0</v>
      </c>
      <c r="K6" s="341" t="s">
        <v>1738</v>
      </c>
      <c r="L6" s="784" t="s">
        <v>1739</v>
      </c>
      <c r="M6" s="785">
        <f ca="1">INDIRECT("'数据-取费表'!z"&amp;$G$1)</f>
        <v>0</v>
      </c>
    </row>
    <row r="7" spans="1:33" ht="18" customHeight="1">
      <c r="A7" s="2479"/>
      <c r="B7" s="3450"/>
      <c r="C7" s="788"/>
      <c r="D7" s="789"/>
      <c r="E7" s="784" t="s">
        <v>1740</v>
      </c>
      <c r="F7" s="785">
        <f ca="1">IF(INDIRECT("'数据-取费表'!ah"&amp;$G$1)="",INDIRECT("'数据-取费表'!k"&amp;$G$1),INDIRECT("'数据-取费表'!ah"&amp;$G$1))</f>
        <v>0</v>
      </c>
      <c r="G7" s="1592"/>
      <c r="H7" s="2468"/>
      <c r="I7" s="3450"/>
      <c r="J7" s="788"/>
      <c r="K7" s="789"/>
      <c r="L7" s="784" t="s">
        <v>1740</v>
      </c>
      <c r="M7" s="785">
        <f ca="1">F7</f>
        <v>0</v>
      </c>
    </row>
    <row r="8" spans="1:33" ht="18" customHeight="1">
      <c r="A8" s="2472"/>
      <c r="B8" s="3451"/>
      <c r="C8" s="788"/>
      <c r="D8" s="789"/>
      <c r="E8" s="784" t="s">
        <v>1741</v>
      </c>
      <c r="F8" s="785">
        <f ca="1">INDIRECT("'数据-取费表'!ai"&amp;$G$1)</f>
        <v>0</v>
      </c>
      <c r="G8" s="1592"/>
      <c r="H8" s="2468"/>
      <c r="I8" s="3451"/>
      <c r="J8" s="788"/>
      <c r="K8" s="789"/>
      <c r="L8" s="784" t="s">
        <v>1741</v>
      </c>
      <c r="M8" s="785">
        <f ca="1">INDIRECT("'数据-取费表'!ai"&amp;$G$1)</f>
        <v>0</v>
      </c>
    </row>
    <row r="9" spans="1:33" ht="18" customHeight="1">
      <c r="A9" s="786"/>
      <c r="B9" s="3452"/>
      <c r="C9" s="788"/>
      <c r="D9" s="789"/>
      <c r="E9" s="784" t="s">
        <v>1742</v>
      </c>
      <c r="F9" s="794">
        <f ca="1">INDIRECT("'数据-取费表'!w"&amp;$G$1)</f>
        <v>0</v>
      </c>
      <c r="G9" s="1592"/>
      <c r="H9" s="2484"/>
      <c r="I9" s="3451"/>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2970</v>
      </c>
      <c r="E10" s="2477" t="s">
        <v>2465</v>
      </c>
      <c r="F10" s="2600"/>
      <c r="G10" s="1592"/>
      <c r="H10" s="2540" t="s">
        <v>2470</v>
      </c>
      <c r="I10" s="2545" t="s">
        <v>2460</v>
      </c>
      <c r="J10" s="783">
        <f ca="1">ROUND(IF(M10="押一",J6/12*M11,IF(M10="押二",J6/12*2*M11,IF(M10="押三",J6/12*3*M11,J11*M11))),0)</f>
        <v>0</v>
      </c>
      <c r="K10" s="2480" t="s">
        <v>2970</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0</v>
      </c>
      <c r="D13" s="1834" t="s">
        <v>2298</v>
      </c>
      <c r="E13" s="1834" t="s">
        <v>1745</v>
      </c>
      <c r="F13" s="2515">
        <f ca="1">INDIRECT("'数据-取费表'!y"&amp;$G$1)</f>
        <v>0</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0</v>
      </c>
      <c r="D14" s="1979" t="s">
        <v>1746</v>
      </c>
      <c r="E14" s="1980"/>
      <c r="F14" s="805"/>
      <c r="G14" s="1592"/>
      <c r="H14" s="1649" t="s">
        <v>1831</v>
      </c>
      <c r="I14" s="2231" t="s">
        <v>2827</v>
      </c>
      <c r="J14" s="53">
        <f ca="1">C29</f>
        <v>0</v>
      </c>
      <c r="K14" s="26"/>
      <c r="L14" s="801"/>
      <c r="M14" s="802"/>
    </row>
    <row r="15" spans="1:33" s="2064" customFormat="1" ht="18" customHeight="1" thickBot="1">
      <c r="A15" s="1648" t="s">
        <v>1886</v>
      </c>
      <c r="B15" s="784" t="s">
        <v>647</v>
      </c>
      <c r="C15" s="53">
        <f ca="1">ROUND(C14*F15,0)</f>
        <v>0</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5"/>
      <c r="M16" s="2470"/>
    </row>
    <row r="17" spans="1:33" s="2064"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0</v>
      </c>
      <c r="D19" s="261" t="s">
        <v>1758</v>
      </c>
      <c r="E19" s="1982"/>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0</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0.03</v>
      </c>
      <c r="G21" s="1593"/>
      <c r="H21" s="2485"/>
      <c r="I21" s="793"/>
      <c r="J21" s="69"/>
      <c r="K21" s="816"/>
      <c r="L21" s="784" t="s">
        <v>1767</v>
      </c>
      <c r="M21" s="785">
        <f ca="1">INDIRECT("'数据-取费表'!r"&amp;$G$1)</f>
        <v>0</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0</v>
      </c>
      <c r="K22" s="2463" t="s">
        <v>1770</v>
      </c>
      <c r="L22" s="784" t="s">
        <v>1748</v>
      </c>
      <c r="M22" s="817">
        <f ca="1">INDIRECT("'数据-取费表'!Ak"&amp;$G$1)</f>
        <v>0</v>
      </c>
    </row>
    <row r="23" spans="1:33" s="2064" customFormat="1" ht="18" customHeight="1">
      <c r="A23" s="1648" t="s">
        <v>1832</v>
      </c>
      <c r="B23" s="784" t="s">
        <v>2536</v>
      </c>
      <c r="C23" s="53">
        <f ca="1">ROUND(IF('数据-取费表'!B22&lt;=1,(C19+C20)*F24*F23/2,(C19+C20)*(POWER((1+F24),F23/2)-1)),0)</f>
        <v>0</v>
      </c>
      <c r="D23" s="2550"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63" t="s">
        <v>1772</v>
      </c>
      <c r="L23" s="784" t="s">
        <v>1748</v>
      </c>
      <c r="M23" s="818">
        <f ca="1">INDIRECT("'数据-取费表'!Al"&amp;$G$1)</f>
        <v>0</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2.2000000000000001E-3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2823</v>
      </c>
      <c r="J25" s="792">
        <f ca="1">J5-J16</f>
        <v>0</v>
      </c>
      <c r="K25" s="2527" t="s">
        <v>1778</v>
      </c>
      <c r="L25" s="2528"/>
      <c r="M25" s="2529"/>
    </row>
    <row r="26" spans="1:33" ht="18" customHeight="1">
      <c r="A26" s="1648" t="s">
        <v>1832</v>
      </c>
      <c r="B26" s="784" t="s">
        <v>2439</v>
      </c>
      <c r="C26" s="53">
        <f ca="1">ROUND((C19+C20)*F26,0)</f>
        <v>0</v>
      </c>
      <c r="D26" s="812" t="s">
        <v>1779</v>
      </c>
      <c r="E26" s="795" t="s">
        <v>1780</v>
      </c>
      <c r="F26" s="794">
        <f ca="1">INDIRECT("'数据-取费表'!q"&amp;$G$1)</f>
        <v>0</v>
      </c>
      <c r="G26" s="1592"/>
      <c r="H26" s="2481" t="s">
        <v>1781</v>
      </c>
      <c r="I26" s="2232"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0</v>
      </c>
      <c r="D29" s="2524"/>
      <c r="E29" s="2525"/>
      <c r="F29" s="2526"/>
      <c r="G29" s="1593"/>
      <c r="H29" s="823" t="s">
        <v>1788</v>
      </c>
      <c r="I29" s="824" t="s">
        <v>1789</v>
      </c>
      <c r="J29" s="825">
        <f ca="1">ROUND(J26/(1+F40)^F41,0)</f>
        <v>0</v>
      </c>
      <c r="K29" s="826" t="s">
        <v>1790</v>
      </c>
      <c r="L29" s="827"/>
      <c r="M29" s="828">
        <f ca="1">INDIRECT("'数据-取费表'!k"&amp;$G$1)</f>
        <v>0</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0</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0</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0</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9"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9"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30" t="s">
        <v>1892</v>
      </c>
      <c r="B38" s="2525" t="s">
        <v>666</v>
      </c>
      <c r="C38" s="2523">
        <f ca="1">ROUND(C5*F38,1)</f>
        <v>0</v>
      </c>
      <c r="D38" s="2524" t="s">
        <v>1806</v>
      </c>
      <c r="E38" s="2525" t="s">
        <v>1797</v>
      </c>
      <c r="F38" s="2521">
        <f ca="1">INDIRECT("'数据-取费表'!Am"&amp;$G$1)</f>
        <v>0</v>
      </c>
      <c r="G38" s="2062"/>
      <c r="H38" s="2077"/>
      <c r="I38" s="843" t="s">
        <v>1818</v>
      </c>
      <c r="J38" s="844"/>
      <c r="K38" s="2083"/>
      <c r="L38" s="2077"/>
      <c r="M38" s="2077"/>
    </row>
    <row r="39" spans="1:18" ht="24.6" customHeight="1" thickTop="1">
      <c r="A39" s="1829" t="s">
        <v>1895</v>
      </c>
      <c r="B39" s="2985" t="s">
        <v>2823</v>
      </c>
      <c r="C39" s="792">
        <f ca="1">C5-C30</f>
        <v>0</v>
      </c>
      <c r="D39" s="2527" t="s">
        <v>1807</v>
      </c>
      <c r="E39" s="2528"/>
      <c r="F39" s="2529"/>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2420</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2960</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t="e">
        <f ca="1">C67-C40</f>
        <v>#DIV/0!</v>
      </c>
      <c r="D46" s="2085"/>
      <c r="E46" s="2085"/>
      <c r="F46" s="2085"/>
      <c r="I46" s="2357" t="s">
        <v>2344</v>
      </c>
      <c r="J46" s="2358"/>
      <c r="K46" s="2359"/>
      <c r="L46" s="3133" t="e">
        <f ca="1">IF(OR(M47="住宅",D1="土地（套用方法）"),0,IF(L48&gt;J51,L60,J60))</f>
        <v>#DIV/0!</v>
      </c>
      <c r="O46" s="2373" t="s">
        <v>2411</v>
      </c>
      <c r="P46" s="1592"/>
      <c r="Q46" s="1604"/>
      <c r="R46" s="1592"/>
    </row>
    <row r="47" spans="1:18" s="2059" customFormat="1" ht="18" customHeight="1" thickBot="1">
      <c r="A47" s="2351">
        <v>1</v>
      </c>
      <c r="B47" s="2352" t="s">
        <v>635</v>
      </c>
      <c r="C47" s="2553">
        <f ca="1">C48+C52+C54</f>
        <v>0</v>
      </c>
      <c r="D47" s="2085"/>
      <c r="E47" s="2085"/>
      <c r="F47" s="2085"/>
      <c r="I47" s="3123" t="s">
        <v>2345</v>
      </c>
      <c r="J47" s="2360"/>
      <c r="K47" s="3130" t="s">
        <v>2350</v>
      </c>
      <c r="L47" s="3134">
        <f ca="1">INDIRECT("'数据-取费表'!d"&amp;$G$1)</f>
        <v>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c r="K48" s="3131" t="s">
        <v>2352</v>
      </c>
      <c r="L48" s="1908">
        <f ca="1">INDIRECT("'数据-取费表'!f"&amp;$G$1)</f>
        <v>0</v>
      </c>
      <c r="O48" s="2377" t="s">
        <v>2380</v>
      </c>
      <c r="P48" s="2378" t="s">
        <v>2406</v>
      </c>
      <c r="Q48" s="2379" t="e">
        <f ca="1">C40+J29</f>
        <v>#DIV/0!</v>
      </c>
      <c r="R48" s="2378" t="s">
        <v>2381</v>
      </c>
    </row>
    <row r="49" spans="1:18" s="2059" customFormat="1" ht="18" customHeight="1" thickBot="1">
      <c r="A49" s="786"/>
      <c r="B49" s="787"/>
      <c r="C49" s="788"/>
      <c r="D49" s="789"/>
      <c r="E49" s="784" t="s">
        <v>1740</v>
      </c>
      <c r="F49" s="785">
        <f ca="1">F7</f>
        <v>0</v>
      </c>
      <c r="G49" s="2090"/>
      <c r="H49" s="2093"/>
      <c r="I49" s="3102" t="s">
        <v>2347</v>
      </c>
      <c r="J49" s="2362"/>
      <c r="K49" s="3132" t="s">
        <v>2353</v>
      </c>
      <c r="L49" s="2363"/>
      <c r="O49" s="2377" t="s">
        <v>2382</v>
      </c>
      <c r="P49" s="2378" t="s">
        <v>2407</v>
      </c>
      <c r="Q49" s="2379" t="e">
        <f ca="1">J60</f>
        <v>#DIV/0!</v>
      </c>
      <c r="R49" s="2378" t="s">
        <v>2383</v>
      </c>
    </row>
    <row r="50" spans="1:18" s="2059" customFormat="1" ht="18" customHeight="1" thickBot="1">
      <c r="A50" s="786"/>
      <c r="B50" s="787"/>
      <c r="C50" s="788"/>
      <c r="D50" s="789"/>
      <c r="E50" s="784" t="s">
        <v>1741</v>
      </c>
      <c r="F50" s="785">
        <f ca="1">F8</f>
        <v>0</v>
      </c>
      <c r="G50" s="2095"/>
      <c r="H50" s="2093"/>
      <c r="I50" s="3102" t="s">
        <v>2348</v>
      </c>
      <c r="J50" s="3127">
        <f>SUMPRODUCT((I63:I65=J47)*(J62:L62=J48)*(J63:L65))</f>
        <v>0</v>
      </c>
      <c r="K50" s="3132" t="s">
        <v>2354</v>
      </c>
      <c r="L50" s="2363"/>
      <c r="O50" s="2380" t="s">
        <v>2384</v>
      </c>
      <c r="P50" s="2378" t="s">
        <v>2408</v>
      </c>
      <c r="Q50" s="2379">
        <f ca="1">C29</f>
        <v>0</v>
      </c>
      <c r="R50" s="2378" t="s">
        <v>2381</v>
      </c>
    </row>
    <row r="51" spans="1:18" s="2059" customFormat="1" ht="18" customHeight="1" thickBot="1">
      <c r="A51" s="786"/>
      <c r="B51" s="787"/>
      <c r="C51" s="788"/>
      <c r="D51" s="789"/>
      <c r="E51" s="784" t="s">
        <v>640</v>
      </c>
      <c r="F51" s="2350"/>
      <c r="H51" s="2093"/>
      <c r="I51" s="3124" t="s">
        <v>2349</v>
      </c>
      <c r="J51" s="3128">
        <f>IF(J49="",J50,J49+J50-YEAR('数据-取费表'!B2))</f>
        <v>0</v>
      </c>
      <c r="K51" s="3102" t="s">
        <v>2355</v>
      </c>
      <c r="L51" s="3135">
        <f ca="1">ROUND(-PV(INDIRECT("'数据-取费表'!h"&amp;$G$1),L48,(C39-C13*J36),0),0)</f>
        <v>0</v>
      </c>
      <c r="O51" s="2380" t="s">
        <v>2385</v>
      </c>
      <c r="P51" s="2378" t="s">
        <v>2386</v>
      </c>
      <c r="Q51" s="2381" t="e">
        <f ca="1">J58</f>
        <v>#DIV/0!</v>
      </c>
      <c r="R51" s="2382"/>
    </row>
    <row r="52" spans="1:18" s="2059" customFormat="1" ht="18" customHeight="1" thickBot="1">
      <c r="A52" s="781" t="s">
        <v>2537</v>
      </c>
      <c r="B52" s="2473" t="s">
        <v>2460</v>
      </c>
      <c r="C52" s="799">
        <f ca="1">ROUND(IF(F52="押一",C48/12*F11,IF(F52="押二",C48/12*2*F11,IF(F52="押三",C48/12*3*F11,C53*F11))),0)</f>
        <v>0</v>
      </c>
      <c r="D52" s="2480" t="s">
        <v>2971</v>
      </c>
      <c r="E52" s="2477" t="s">
        <v>2465</v>
      </c>
      <c r="F52" s="2600"/>
      <c r="I52" s="3125" t="s">
        <v>2422</v>
      </c>
      <c r="J52" s="2364"/>
      <c r="K52" s="3125"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6" t="s">
        <v>2974</v>
      </c>
      <c r="J53" s="3129">
        <f ca="1">IF(M47="住宅",IF(D1="——",MAX(J51,L48),MAX(J51,L48-'数据-取费表'!B20)),IF(D1="——",MIN(J51,L48),MIN(J51,L48-'数据-取费表'!B20)))</f>
        <v>0</v>
      </c>
      <c r="K53" s="3466" t="s">
        <v>2962</v>
      </c>
      <c r="L53" s="3467"/>
      <c r="O53" s="2380" t="s">
        <v>2389</v>
      </c>
      <c r="P53" s="2378" t="s">
        <v>2390</v>
      </c>
      <c r="Q53" s="2379">
        <f ca="1">J53</f>
        <v>0</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7" t="s">
        <v>2392</v>
      </c>
      <c r="P54" s="2378" t="s">
        <v>2409</v>
      </c>
      <c r="Q54" s="2379" t="e">
        <f ca="1">Q48+Q49</f>
        <v>#DIV/0!</v>
      </c>
      <c r="R54" s="2382" t="s">
        <v>2393</v>
      </c>
    </row>
    <row r="55" spans="1:18" s="2059" customFormat="1" ht="18" customHeight="1" thickTop="1" thickBot="1">
      <c r="A55" s="797">
        <v>2</v>
      </c>
      <c r="B55" s="798" t="s">
        <v>644</v>
      </c>
      <c r="C55" s="799">
        <f ca="1">C13</f>
        <v>0</v>
      </c>
      <c r="D55" s="795"/>
      <c r="E55" s="795"/>
      <c r="F55" s="800"/>
      <c r="I55" s="3138" t="s">
        <v>2356</v>
      </c>
      <c r="J55" s="3077" t="e">
        <f ca="1">ROUND(IF(J47="钢混",J57/J50,1-(1-2%)*(J50-J57)/J50),3)</f>
        <v>#DIV/0!</v>
      </c>
      <c r="K55" s="3139" t="s">
        <v>2357</v>
      </c>
      <c r="L55" s="2365"/>
      <c r="O55" s="2383" t="s">
        <v>2412</v>
      </c>
      <c r="P55" s="1592"/>
      <c r="Q55" s="1604"/>
      <c r="R55" s="1592"/>
    </row>
    <row r="56" spans="1:18" s="2059" customFormat="1" ht="42.75" customHeight="1" thickBot="1">
      <c r="A56" s="1650"/>
      <c r="B56" s="2231" t="s">
        <v>2303</v>
      </c>
      <c r="C56" s="53">
        <f ca="1">C29</f>
        <v>0</v>
      </c>
      <c r="D56" s="2618"/>
      <c r="E56" s="784"/>
      <c r="F56" s="809"/>
      <c r="I56" s="3140" t="s">
        <v>2358</v>
      </c>
      <c r="J56" s="3150"/>
      <c r="K56" s="3102" t="s">
        <v>2363</v>
      </c>
      <c r="L56" s="1908">
        <f ca="1">IF(L48&lt;J51,"——",L48-J51)</f>
        <v>0</v>
      </c>
      <c r="O56" s="2374" t="s">
        <v>2376</v>
      </c>
      <c r="P56" s="2375" t="s">
        <v>2377</v>
      </c>
      <c r="Q56" s="2376" t="s">
        <v>2378</v>
      </c>
      <c r="R56" s="2375" t="s">
        <v>2379</v>
      </c>
    </row>
    <row r="57" spans="1:18" s="2059" customFormat="1" ht="28.5" customHeight="1" thickBot="1">
      <c r="A57" s="797" t="s">
        <v>1749</v>
      </c>
      <c r="B57" s="798" t="s">
        <v>651</v>
      </c>
      <c r="C57" s="799">
        <f ca="1">ROUND(C58+C63+C64+C65,0)</f>
        <v>0</v>
      </c>
      <c r="D57" s="26" t="s">
        <v>1751</v>
      </c>
      <c r="E57" s="2619"/>
      <c r="F57" s="56"/>
      <c r="I57" s="3141" t="s">
        <v>2359</v>
      </c>
      <c r="J57" s="3142">
        <f ca="1">IF(OR(M47="住宅",J51&lt;L48,J56="是"),"——",J51-L48)</f>
        <v>0</v>
      </c>
      <c r="K57" s="3102" t="s">
        <v>2364</v>
      </c>
      <c r="L57" s="1908">
        <f ca="1">IF(L48&lt;J51,"——",IF(L55="比较法",L49,IF(L55="基准地价",L50,L51)))</f>
        <v>0</v>
      </c>
      <c r="O57" s="2377" t="s">
        <v>2380</v>
      </c>
      <c r="P57" s="2378" t="s">
        <v>2410</v>
      </c>
      <c r="Q57" s="2379" t="e">
        <f ca="1">C40+J29</f>
        <v>#DIV/0!</v>
      </c>
      <c r="R57" s="2378" t="s">
        <v>2381</v>
      </c>
    </row>
    <row r="58" spans="1:18" s="2059" customFormat="1" ht="28.5" customHeight="1" thickBot="1">
      <c r="A58" s="1649" t="s">
        <v>1825</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2360</v>
      </c>
      <c r="J58" s="3078" t="e">
        <f ca="1">IF(J55&lt;0.4,0.4,J55)</f>
        <v>#DIV/0!</v>
      </c>
      <c r="K58" s="3102" t="s">
        <v>2365</v>
      </c>
      <c r="L58" s="1908" t="e">
        <f ca="1">ROUND(POWER(1+L52,L47-L48)*(POWER(1+L52,L48)-1)/(POWER(1+L52,L47)-1),4)</f>
        <v>#DIV/0!</v>
      </c>
      <c r="O58" s="2377" t="s">
        <v>2382</v>
      </c>
      <c r="P58" s="2378" t="s">
        <v>2413</v>
      </c>
      <c r="Q58" s="2379" t="e">
        <f ca="1">L60</f>
        <v>#DIV/0!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1" t="s">
        <v>2361</v>
      </c>
      <c r="J59" s="3142" t="e">
        <f ca="1">IF(OR(M47="住宅",J51&lt;L48,J56="是"),"——",ROUND(C29*J58,0))</f>
        <v>#DIV/0!</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按房产原值计税</v>
      </c>
      <c r="E60" s="784" t="s">
        <v>1748</v>
      </c>
      <c r="F60" s="809">
        <f t="shared" si="0"/>
        <v>1.2E-2</v>
      </c>
      <c r="I60" s="3143" t="s">
        <v>2362</v>
      </c>
      <c r="J60" s="3144" t="e">
        <f ca="1">IF(OR(M47="住宅",J51&lt;L48,J56="是"),"0",ROUND(J59/(1+J52)^J53,0))</f>
        <v>#DIV/0!</v>
      </c>
      <c r="K60" s="3145" t="s">
        <v>2367</v>
      </c>
      <c r="L60" s="3144" t="e">
        <f ca="1">IF(OR(M47="住宅",L48&lt;J51),0,ROUND(L57*(L58/L59-1),0))</f>
        <v>#DIV/0!</v>
      </c>
      <c r="O60" s="2380" t="s">
        <v>2385</v>
      </c>
      <c r="P60" s="2378" t="s">
        <v>2394</v>
      </c>
      <c r="Q60" s="2381">
        <f>L52</f>
        <v>0</v>
      </c>
      <c r="R60" s="2382"/>
    </row>
    <row r="61" spans="1:18" s="2059" customFormat="1" ht="18" customHeight="1" thickBot="1">
      <c r="A61" s="1651" t="s">
        <v>1834</v>
      </c>
      <c r="B61" s="341" t="s">
        <v>668</v>
      </c>
      <c r="C61" s="54">
        <f ca="1">ROUND(F61*F62/10000,1)</f>
        <v>0</v>
      </c>
      <c r="D61" s="814" t="s">
        <v>669</v>
      </c>
      <c r="E61" s="784" t="s">
        <v>670</v>
      </c>
      <c r="F61" s="640">
        <f t="shared" si="0"/>
        <v>0</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0</v>
      </c>
      <c r="I62" s="3146" t="s">
        <v>2368</v>
      </c>
      <c r="J62" s="3147" t="s">
        <v>2369</v>
      </c>
      <c r="K62" s="3147" t="s">
        <v>2370</v>
      </c>
      <c r="L62" s="3147" t="s">
        <v>2351</v>
      </c>
      <c r="M62" s="3148" t="s">
        <v>2938</v>
      </c>
      <c r="O62" s="2380" t="s">
        <v>2389</v>
      </c>
      <c r="P62" s="2378" t="str">
        <f>K59</f>
        <v>建筑物剩余耐用年限下的土地年期修正系数Kn</v>
      </c>
      <c r="Q62" s="2379" t="e">
        <f ca="1">L59</f>
        <v>#DIV/0!</v>
      </c>
      <c r="R62" s="2382" t="s">
        <v>2398</v>
      </c>
    </row>
    <row r="63" spans="1:18" s="2059" customFormat="1" ht="15.75" thickBot="1">
      <c r="A63" s="1649" t="s">
        <v>1890</v>
      </c>
      <c r="B63" s="784" t="s">
        <v>676</v>
      </c>
      <c r="C63" s="53">
        <f ca="1">ROUND(C56*F63,1)</f>
        <v>0</v>
      </c>
      <c r="D63" s="2618" t="s">
        <v>1804</v>
      </c>
      <c r="E63" s="784" t="s">
        <v>1748</v>
      </c>
      <c r="F63" s="817">
        <f t="shared" ca="1" si="0"/>
        <v>0</v>
      </c>
      <c r="I63" s="3146" t="s">
        <v>2371</v>
      </c>
      <c r="J63" s="3147">
        <v>70</v>
      </c>
      <c r="K63" s="3147">
        <v>50</v>
      </c>
      <c r="L63" s="3147">
        <v>80</v>
      </c>
      <c r="M63" s="3149">
        <v>0.02</v>
      </c>
      <c r="O63" s="2377" t="s">
        <v>2392</v>
      </c>
      <c r="P63" s="2378" t="s">
        <v>2409</v>
      </c>
      <c r="Q63" s="2379" t="e">
        <f ca="1">Q57+Q58</f>
        <v>#DIV/0!</v>
      </c>
      <c r="R63" s="2382" t="s">
        <v>2393</v>
      </c>
    </row>
    <row r="64" spans="1:18" s="2059" customFormat="1" ht="16.5" thickBot="1">
      <c r="A64" s="1649" t="s">
        <v>1891</v>
      </c>
      <c r="B64" s="784" t="s">
        <v>679</v>
      </c>
      <c r="C64" s="53">
        <f ca="1">ROUND(C55*F64,1)</f>
        <v>0</v>
      </c>
      <c r="D64" s="2618" t="s">
        <v>680</v>
      </c>
      <c r="E64" s="784" t="s">
        <v>1748</v>
      </c>
      <c r="F64" s="818">
        <f t="shared" ca="1" si="0"/>
        <v>0</v>
      </c>
      <c r="I64" s="3146" t="s">
        <v>2372</v>
      </c>
      <c r="J64" s="3147">
        <v>50</v>
      </c>
      <c r="K64" s="3147">
        <v>35</v>
      </c>
      <c r="L64" s="3147">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0</v>
      </c>
      <c r="D66" s="2617" t="s">
        <v>700</v>
      </c>
      <c r="E66" s="2616"/>
      <c r="F66" s="820"/>
      <c r="K66" s="2086"/>
      <c r="O66" s="2377" t="s">
        <v>2380</v>
      </c>
      <c r="P66" s="2378" t="s">
        <v>2410</v>
      </c>
      <c r="Q66" s="2379" t="e">
        <f ca="1">C40+J29</f>
        <v>#DIV/0!</v>
      </c>
      <c r="R66" s="2378" t="s">
        <v>2381</v>
      </c>
    </row>
    <row r="67" spans="1:18" s="2059" customFormat="1" ht="20.25" thickBot="1">
      <c r="A67" s="781" t="s">
        <v>1781</v>
      </c>
      <c r="B67" s="2232" t="s">
        <v>2302</v>
      </c>
      <c r="C67" s="783" t="e">
        <f ca="1">ROUND(C66*(1-((1+F69)/(1+F67))^F68)/(F67-F69),0)</f>
        <v>#DIV/0!</v>
      </c>
      <c r="D67" s="814" t="s">
        <v>704</v>
      </c>
      <c r="E67" s="784" t="s">
        <v>705</v>
      </c>
      <c r="F67" s="794">
        <f ca="1">F40</f>
        <v>0</v>
      </c>
      <c r="K67" s="2086"/>
      <c r="O67" s="2377" t="s">
        <v>2382</v>
      </c>
      <c r="P67" s="2378" t="s">
        <v>2413</v>
      </c>
      <c r="Q67" s="2379" t="e">
        <f ca="1">L60</f>
        <v>#DIV/0!</v>
      </c>
      <c r="R67" s="2382" t="s">
        <v>2415</v>
      </c>
    </row>
    <row r="68" spans="1:18" ht="21.75" thickBot="1">
      <c r="A68" s="786"/>
      <c r="B68" s="787"/>
      <c r="C68" s="788"/>
      <c r="D68" s="821" t="s">
        <v>1809</v>
      </c>
      <c r="E68" s="784" t="s">
        <v>1785</v>
      </c>
      <c r="F68" s="822">
        <f ca="1">F41</f>
        <v>0</v>
      </c>
      <c r="O68" s="2380" t="s">
        <v>2384</v>
      </c>
      <c r="P68" s="2378" t="s">
        <v>2414</v>
      </c>
      <c r="Q68" s="2384">
        <f ca="1">L51</f>
        <v>0</v>
      </c>
      <c r="R68" s="2385" t="s">
        <v>2417</v>
      </c>
    </row>
    <row r="69" spans="1:18" ht="20.25" thickBot="1">
      <c r="A69" s="790"/>
      <c r="B69" s="791"/>
      <c r="C69" s="792"/>
      <c r="D69" s="816"/>
      <c r="E69" s="784" t="s">
        <v>710</v>
      </c>
      <c r="F69" s="2350"/>
      <c r="O69" s="2380" t="s">
        <v>2385</v>
      </c>
      <c r="P69" s="2386" t="s">
        <v>2399</v>
      </c>
      <c r="Q69" s="2379">
        <f ca="1">ROUND(Q70-Q71*Q72,0)</f>
        <v>0</v>
      </c>
      <c r="R69" s="2382"/>
    </row>
    <row r="70" spans="1:18" ht="15.75" thickBot="1">
      <c r="A70" s="823" t="s">
        <v>1788</v>
      </c>
      <c r="B70" s="824" t="s">
        <v>1811</v>
      </c>
      <c r="C70" s="825" t="e">
        <f ca="1">ROUND(C67*10000/F70,0)</f>
        <v>#DIV/0!</v>
      </c>
      <c r="D70" s="826" t="s">
        <v>1812</v>
      </c>
      <c r="E70" s="827" t="s">
        <v>1813</v>
      </c>
      <c r="F70" s="828">
        <f ca="1">F43</f>
        <v>0</v>
      </c>
      <c r="O70" s="2380" t="s">
        <v>2400</v>
      </c>
      <c r="P70" s="2386" t="s">
        <v>2401</v>
      </c>
      <c r="Q70" s="2379">
        <f ca="1">C39</f>
        <v>0</v>
      </c>
      <c r="R70" s="2378" t="s">
        <v>2381</v>
      </c>
    </row>
    <row r="71" spans="1:18" ht="15.75" thickBot="1">
      <c r="O71" s="2380" t="s">
        <v>2402</v>
      </c>
      <c r="P71" s="2386" t="s">
        <v>2403</v>
      </c>
      <c r="Q71" s="2379">
        <f ca="1">C13</f>
        <v>0</v>
      </c>
      <c r="R71" s="2378" t="s">
        <v>2381</v>
      </c>
    </row>
    <row r="72" spans="1:18" ht="15.75" thickBot="1">
      <c r="O72" s="2380" t="s">
        <v>2404</v>
      </c>
      <c r="P72" s="2386" t="s">
        <v>2405</v>
      </c>
      <c r="Q72" s="2381">
        <f ca="1">J36</f>
        <v>0</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t="e">
        <f ca="1">Q66+Q67</f>
        <v>#DIV/0!</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2472</v>
      </c>
      <c r="B1" s="3469"/>
      <c r="C1" s="3470"/>
      <c r="D1" s="3471">
        <f>SUM(I10,I15,I20,I21,I23)</f>
        <v>0</v>
      </c>
      <c r="E1" s="3471"/>
      <c r="F1" s="3471"/>
      <c r="G1" s="3471"/>
      <c r="H1" s="3471"/>
      <c r="I1" s="3472"/>
    </row>
    <row r="2" spans="1:9">
      <c r="A2" s="3473" t="s">
        <v>2473</v>
      </c>
      <c r="B2" s="3474" t="s">
        <v>2474</v>
      </c>
      <c r="C2" s="3474"/>
      <c r="D2" s="2486" t="s">
        <v>2475</v>
      </c>
      <c r="E2" s="2486" t="s">
        <v>2476</v>
      </c>
      <c r="F2" s="2486" t="s">
        <v>2477</v>
      </c>
      <c r="G2" s="2486" t="s">
        <v>2478</v>
      </c>
      <c r="H2" s="2486" t="s">
        <v>2479</v>
      </c>
      <c r="I2" s="2487" t="s">
        <v>2480</v>
      </c>
    </row>
    <row r="3" spans="1:9">
      <c r="A3" s="3473"/>
      <c r="B3" s="3474" t="s">
        <v>2481</v>
      </c>
      <c r="C3" s="3474"/>
      <c r="D3" s="2488"/>
      <c r="E3" s="2486"/>
      <c r="F3" s="2489"/>
      <c r="G3" s="2489"/>
      <c r="H3" s="2490"/>
      <c r="I3" s="2491">
        <f>ROUND(D3*E3*F3*G3*H3/10000,0)</f>
        <v>0</v>
      </c>
    </row>
    <row r="4" spans="1:9">
      <c r="A4" s="3473"/>
      <c r="B4" s="3474" t="s">
        <v>2482</v>
      </c>
      <c r="C4" s="3474"/>
      <c r="D4" s="2488"/>
      <c r="E4" s="2486"/>
      <c r="F4" s="2489"/>
      <c r="G4" s="2489"/>
      <c r="H4" s="2490"/>
      <c r="I4" s="2491">
        <f t="shared" ref="I4:I9" si="0">ROUND(D4*E4*F4*G4*H4/10000,0)</f>
        <v>0</v>
      </c>
    </row>
    <row r="5" spans="1:9">
      <c r="A5" s="3473"/>
      <c r="B5" s="3474" t="s">
        <v>2483</v>
      </c>
      <c r="C5" s="3474"/>
      <c r="D5" s="2488"/>
      <c r="E5" s="2486"/>
      <c r="F5" s="2489"/>
      <c r="G5" s="2489"/>
      <c r="H5" s="2490"/>
      <c r="I5" s="2491">
        <f t="shared" si="0"/>
        <v>0</v>
      </c>
    </row>
    <row r="6" spans="1:9">
      <c r="A6" s="3473"/>
      <c r="B6" s="3474" t="s">
        <v>2484</v>
      </c>
      <c r="C6" s="3474"/>
      <c r="D6" s="2488"/>
      <c r="E6" s="2486"/>
      <c r="F6" s="2489"/>
      <c r="G6" s="2489"/>
      <c r="H6" s="2490"/>
      <c r="I6" s="2491">
        <f t="shared" si="0"/>
        <v>0</v>
      </c>
    </row>
    <row r="7" spans="1:9">
      <c r="A7" s="3473"/>
      <c r="B7" s="3474" t="s">
        <v>2485</v>
      </c>
      <c r="C7" s="3474"/>
      <c r="D7" s="2488"/>
      <c r="E7" s="2486"/>
      <c r="F7" s="2489"/>
      <c r="G7" s="2489"/>
      <c r="H7" s="2490"/>
      <c r="I7" s="2491">
        <f t="shared" si="0"/>
        <v>0</v>
      </c>
    </row>
    <row r="8" spans="1:9">
      <c r="A8" s="3473"/>
      <c r="B8" s="3474" t="s">
        <v>2486</v>
      </c>
      <c r="C8" s="3474"/>
      <c r="D8" s="2488"/>
      <c r="E8" s="2486"/>
      <c r="F8" s="2489"/>
      <c r="G8" s="2489"/>
      <c r="H8" s="2490"/>
      <c r="I8" s="2491">
        <f t="shared" si="0"/>
        <v>0</v>
      </c>
    </row>
    <row r="9" spans="1:9">
      <c r="A9" s="3473"/>
      <c r="B9" s="3474" t="s">
        <v>2487</v>
      </c>
      <c r="C9" s="3474"/>
      <c r="D9" s="2488"/>
      <c r="E9" s="2486"/>
      <c r="F9" s="2489"/>
      <c r="G9" s="2489"/>
      <c r="H9" s="2490"/>
      <c r="I9" s="2491">
        <f t="shared" si="0"/>
        <v>0</v>
      </c>
    </row>
    <row r="10" spans="1:9">
      <c r="A10" s="3473"/>
      <c r="B10" s="3475" t="s">
        <v>2488</v>
      </c>
      <c r="C10" s="3475"/>
      <c r="D10" s="2492">
        <v>527</v>
      </c>
      <c r="E10" s="2492" t="e">
        <f>ROUND(D1*10000/D10/H9,0)</f>
        <v>#DIV/0!</v>
      </c>
      <c r="F10" s="2493"/>
      <c r="G10" s="2493"/>
      <c r="H10" s="2494"/>
      <c r="I10" s="2495">
        <f>SUM(I3:I9)</f>
        <v>0</v>
      </c>
    </row>
    <row r="11" spans="1:9" ht="14.25">
      <c r="A11" s="3473" t="s">
        <v>2489</v>
      </c>
      <c r="B11" s="3474" t="s">
        <v>2490</v>
      </c>
      <c r="C11" s="3474"/>
      <c r="D11" s="2488" t="s">
        <v>2491</v>
      </c>
      <c r="E11" s="2488" t="s">
        <v>2492</v>
      </c>
      <c r="F11" s="2489" t="s">
        <v>2493</v>
      </c>
      <c r="G11" s="2489" t="s">
        <v>2494</v>
      </c>
      <c r="H11" s="2496" t="s">
        <v>2495</v>
      </c>
      <c r="I11" s="2487" t="s">
        <v>2496</v>
      </c>
    </row>
    <row r="12" spans="1:9">
      <c r="A12" s="3473"/>
      <c r="B12" s="3474" t="s">
        <v>2497</v>
      </c>
      <c r="C12" s="3474"/>
      <c r="D12" s="2488"/>
      <c r="E12" s="2488"/>
      <c r="F12" s="2489"/>
      <c r="G12" s="2490"/>
      <c r="H12" s="2497"/>
      <c r="I12" s="2487">
        <f>ROUND(D12*E12*F12*G12/10000,0)</f>
        <v>0</v>
      </c>
    </row>
    <row r="13" spans="1:9">
      <c r="A13" s="3473"/>
      <c r="B13" s="3474" t="s">
        <v>2498</v>
      </c>
      <c r="C13" s="3474"/>
      <c r="D13" s="2488"/>
      <c r="E13" s="2488"/>
      <c r="F13" s="2489"/>
      <c r="G13" s="2490"/>
      <c r="H13" s="2497"/>
      <c r="I13" s="2487">
        <f>ROUND(D13*E13*F13*G13/10000,0)</f>
        <v>0</v>
      </c>
    </row>
    <row r="14" spans="1:9">
      <c r="A14" s="3473"/>
      <c r="B14" s="3474" t="s">
        <v>2499</v>
      </c>
      <c r="C14" s="3474"/>
      <c r="D14" s="2488"/>
      <c r="E14" s="2488"/>
      <c r="F14" s="2489"/>
      <c r="G14" s="2490"/>
      <c r="H14" s="2497"/>
      <c r="I14" s="2487">
        <f>ROUND(D14*E14*F14*G14/10000,0)</f>
        <v>0</v>
      </c>
    </row>
    <row r="15" spans="1:9">
      <c r="A15" s="3473"/>
      <c r="B15" s="3475" t="s">
        <v>2488</v>
      </c>
      <c r="C15" s="3475"/>
      <c r="D15" s="2492"/>
      <c r="E15" s="2492">
        <f>SUM(E12:E14)</f>
        <v>0</v>
      </c>
      <c r="F15" s="2493"/>
      <c r="G15" s="2490"/>
      <c r="H15" s="2497"/>
      <c r="I15" s="2498">
        <f>SUM(I12:I14)</f>
        <v>0</v>
      </c>
    </row>
    <row r="16" spans="1:9" ht="24">
      <c r="A16" s="3473" t="s">
        <v>2500</v>
      </c>
      <c r="B16" s="3474" t="s">
        <v>2501</v>
      </c>
      <c r="C16" s="3474"/>
      <c r="D16" s="2488" t="s">
        <v>2502</v>
      </c>
      <c r="E16" s="2499" t="s">
        <v>2503</v>
      </c>
      <c r="F16" s="2489" t="s">
        <v>2504</v>
      </c>
      <c r="G16" s="2490" t="s">
        <v>2494</v>
      </c>
      <c r="H16" s="2496" t="s">
        <v>2495</v>
      </c>
      <c r="I16" s="2487" t="s">
        <v>2496</v>
      </c>
    </row>
    <row r="17" spans="1:9" ht="14.25">
      <c r="A17" s="3473"/>
      <c r="B17" s="3474" t="s">
        <v>2505</v>
      </c>
      <c r="C17" s="3474"/>
      <c r="D17" s="2488"/>
      <c r="E17" s="2488"/>
      <c r="F17" s="2489"/>
      <c r="G17" s="2490"/>
      <c r="H17" s="2500"/>
      <c r="I17" s="2501">
        <f>ROUND(D17*E17*F17*G17/10000,0)</f>
        <v>0</v>
      </c>
    </row>
    <row r="18" spans="1:9" ht="14.25">
      <c r="A18" s="3473"/>
      <c r="B18" s="3474" t="s">
        <v>2506</v>
      </c>
      <c r="C18" s="3474"/>
      <c r="D18" s="2488"/>
      <c r="E18" s="2488"/>
      <c r="F18" s="2489"/>
      <c r="G18" s="2490"/>
      <c r="H18" s="2500"/>
      <c r="I18" s="2501">
        <f>ROUND(D18*E18*F18*G18/10000,0)</f>
        <v>0</v>
      </c>
    </row>
    <row r="19" spans="1:9" ht="14.25">
      <c r="A19" s="3473"/>
      <c r="B19" s="3474" t="s">
        <v>2507</v>
      </c>
      <c r="C19" s="3474"/>
      <c r="D19" s="2488"/>
      <c r="E19" s="2488"/>
      <c r="F19" s="2489"/>
      <c r="G19" s="2490"/>
      <c r="H19" s="2500"/>
      <c r="I19" s="2501">
        <f>ROUND(D19*E19*F19*G19/10000,0)</f>
        <v>0</v>
      </c>
    </row>
    <row r="20" spans="1:9">
      <c r="A20" s="3473"/>
      <c r="B20" s="3475" t="s">
        <v>2488</v>
      </c>
      <c r="C20" s="3475"/>
      <c r="D20" s="2492">
        <f>SUM(D17:D19)</f>
        <v>0</v>
      </c>
      <c r="E20" s="2492"/>
      <c r="F20" s="2493"/>
      <c r="G20" s="2490"/>
      <c r="H20" s="2497"/>
      <c r="I20" s="2498">
        <f>SUM(I17:I19)</f>
        <v>0</v>
      </c>
    </row>
    <row r="21" spans="1:9">
      <c r="A21" s="3473" t="s">
        <v>2508</v>
      </c>
      <c r="B21" s="3477"/>
      <c r="C21" s="3477"/>
      <c r="D21" s="3477"/>
      <c r="E21" s="3477"/>
      <c r="F21" s="3477"/>
      <c r="G21" s="3477"/>
      <c r="H21" s="2502">
        <v>0.1</v>
      </c>
      <c r="I21" s="2495">
        <f>ROUND(I10*H21,0)</f>
        <v>0</v>
      </c>
    </row>
    <row r="22" spans="1:9" ht="14.25">
      <c r="A22" s="3478" t="s">
        <v>2509</v>
      </c>
      <c r="B22" s="3479"/>
      <c r="C22" s="3480"/>
      <c r="D22" s="2503" t="s">
        <v>2510</v>
      </c>
      <c r="E22" s="2503" t="s">
        <v>2511</v>
      </c>
      <c r="F22" s="2504" t="s">
        <v>2512</v>
      </c>
      <c r="G22" s="2504" t="s">
        <v>2513</v>
      </c>
      <c r="H22" s="2496" t="s">
        <v>2514</v>
      </c>
      <c r="I22" s="2487" t="s">
        <v>2515</v>
      </c>
    </row>
    <row r="23" spans="1:9" ht="14.25" thickBot="1">
      <c r="A23" s="3481"/>
      <c r="B23" s="3482"/>
      <c r="C23" s="3483"/>
      <c r="D23" s="2505"/>
      <c r="E23" s="2505"/>
      <c r="F23" s="2505"/>
      <c r="G23" s="2506"/>
      <c r="H23" s="2507"/>
      <c r="I23" s="2508">
        <f>ROUND(E23*D23*F23*(1-G23)/10000,0)</f>
        <v>0</v>
      </c>
    </row>
    <row r="26" spans="1:9">
      <c r="A26" s="2509" t="s">
        <v>2516</v>
      </c>
      <c r="B26" s="2509"/>
      <c r="C26" s="2509"/>
      <c r="D26" s="2509"/>
      <c r="E26" s="3484">
        <f>C27-C30-C31-C32</f>
        <v>0</v>
      </c>
      <c r="F26" s="3484"/>
      <c r="G26" s="3484"/>
      <c r="H26" s="3019" t="s">
        <v>2844</v>
      </c>
    </row>
    <row r="27" spans="1:9">
      <c r="A27" s="2510">
        <v>1</v>
      </c>
      <c r="B27" s="2511" t="s">
        <v>2517</v>
      </c>
      <c r="C27" s="2511"/>
      <c r="D27" s="2511"/>
      <c r="E27" s="3485"/>
      <c r="F27" s="3485"/>
      <c r="G27" s="3485"/>
    </row>
    <row r="28" spans="1:9">
      <c r="A28" s="2512" t="s">
        <v>2518</v>
      </c>
      <c r="B28" s="2511" t="s">
        <v>2519</v>
      </c>
      <c r="C28" s="2511"/>
      <c r="D28" s="2511"/>
      <c r="E28" s="3485"/>
      <c r="F28" s="3485"/>
      <c r="G28" s="3485"/>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76"/>
      <c r="F32" s="3476"/>
      <c r="G32" s="3476"/>
    </row>
    <row r="33" spans="1:7" hidden="1">
      <c r="A33" s="3486" t="s">
        <v>2527</v>
      </c>
      <c r="B33" s="3487"/>
      <c r="C33" s="3487"/>
      <c r="D33" s="3488"/>
      <c r="E33" s="3484"/>
      <c r="F33" s="3484"/>
      <c r="G33" s="3484"/>
    </row>
    <row r="34" spans="1:7" hidden="1">
      <c r="A34" s="2514">
        <v>1</v>
      </c>
      <c r="B34" s="2511" t="s">
        <v>2528</v>
      </c>
      <c r="C34" s="2511"/>
      <c r="D34" s="2511"/>
      <c r="E34" s="3485"/>
      <c r="F34" s="3485"/>
      <c r="G34" s="3485"/>
    </row>
    <row r="35" spans="1:7" hidden="1">
      <c r="A35" s="2514">
        <v>2</v>
      </c>
      <c r="B35" s="2511" t="s">
        <v>2529</v>
      </c>
      <c r="C35" s="2511"/>
      <c r="D35" s="2511"/>
      <c r="E35" s="3485"/>
      <c r="F35" s="3485"/>
      <c r="G35" s="3485"/>
    </row>
    <row r="36" spans="1:7" hidden="1">
      <c r="A36" s="2514">
        <v>3</v>
      </c>
      <c r="B36" s="2511" t="s">
        <v>2530</v>
      </c>
      <c r="C36" s="2511"/>
      <c r="D36" s="2511"/>
      <c r="E36" s="3485"/>
      <c r="F36" s="3485"/>
      <c r="G36" s="3485"/>
    </row>
    <row r="37" spans="1:7" hidden="1">
      <c r="A37" s="2514">
        <v>4</v>
      </c>
      <c r="B37" s="2511" t="s">
        <v>2531</v>
      </c>
      <c r="C37" s="2511"/>
      <c r="D37" s="2511"/>
      <c r="E37" s="3485"/>
      <c r="F37" s="3485"/>
      <c r="G37" s="3485"/>
    </row>
    <row r="38" spans="1:7" hidden="1">
      <c r="A38" s="3486" t="s">
        <v>2532</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423739</v>
      </c>
      <c r="E10" s="749">
        <f>'数据-取费表'!B31</f>
        <v>100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4735</v>
      </c>
      <c r="D12" s="758">
        <f>'数据-汇总表'!E5</f>
        <v>236764</v>
      </c>
      <c r="E12" s="757">
        <f>'数据-取费表'!B27</f>
        <v>200</v>
      </c>
      <c r="F12" s="755"/>
      <c r="G12" s="759"/>
    </row>
    <row r="13" spans="1:25" s="2183" customFormat="1" ht="13.5" customHeight="1">
      <c r="A13" s="2455" t="s">
        <v>2448</v>
      </c>
      <c r="B13" s="756" t="s">
        <v>612</v>
      </c>
      <c r="C13" s="757">
        <f>ROUND(D13*E13/10000,0)</f>
        <v>3740</v>
      </c>
      <c r="D13" s="758">
        <f>'数据-汇总表'!E6</f>
        <v>186975</v>
      </c>
      <c r="E13" s="757">
        <f>'数据-取费表'!B28</f>
        <v>200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0.76500000000000001</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82" t="s">
        <v>522</v>
      </c>
      <c r="D4" s="3383"/>
      <c r="E4" s="3416" t="s">
        <v>523</v>
      </c>
      <c r="F4" s="3417"/>
      <c r="G4" s="3382" t="s">
        <v>524</v>
      </c>
      <c r="H4" s="3383"/>
      <c r="I4" s="3382" t="s">
        <v>525</v>
      </c>
      <c r="J4" s="3383"/>
      <c r="K4" s="853" t="s">
        <v>526</v>
      </c>
      <c r="L4" s="2133"/>
      <c r="M4" s="2134"/>
      <c r="N4" s="2134"/>
      <c r="O4" s="2134"/>
      <c r="P4" s="3384" t="s">
        <v>527</v>
      </c>
      <c r="Q4" s="3385"/>
      <c r="R4" s="3390" t="s">
        <v>523</v>
      </c>
      <c r="S4" s="3391"/>
      <c r="T4" s="3390" t="s">
        <v>524</v>
      </c>
      <c r="U4" s="3391"/>
      <c r="V4" s="3377" t="s">
        <v>525</v>
      </c>
      <c r="W4" s="3377"/>
      <c r="X4" s="1567"/>
      <c r="Y4" s="3390" t="s">
        <v>527</v>
      </c>
      <c r="Z4" s="3391"/>
      <c r="AA4" s="3379" t="s">
        <v>523</v>
      </c>
      <c r="AB4" s="3379" t="s">
        <v>524</v>
      </c>
      <c r="AC4" s="3379" t="s">
        <v>525</v>
      </c>
    </row>
    <row r="5" spans="1:29" ht="15">
      <c r="A5" s="515"/>
      <c r="B5" s="516"/>
      <c r="C5" s="3398" t="s">
        <v>2923</v>
      </c>
      <c r="D5" s="3399"/>
      <c r="E5" s="3418" t="s">
        <v>2924</v>
      </c>
      <c r="F5" s="3419"/>
      <c r="G5" s="3398" t="s">
        <v>2925</v>
      </c>
      <c r="H5" s="3399"/>
      <c r="I5" s="3398" t="s">
        <v>2926</v>
      </c>
      <c r="J5" s="3399"/>
      <c r="K5" s="854"/>
      <c r="L5" s="2133"/>
      <c r="M5" s="2134"/>
      <c r="N5" s="2134"/>
      <c r="O5" s="2134"/>
      <c r="P5" s="3386"/>
      <c r="Q5" s="3387"/>
      <c r="R5" s="3392"/>
      <c r="S5" s="3393"/>
      <c r="T5" s="3392"/>
      <c r="U5" s="3393"/>
      <c r="V5" s="3377"/>
      <c r="W5" s="3377"/>
      <c r="X5" s="1567"/>
      <c r="Y5" s="3392"/>
      <c r="Z5" s="3393"/>
      <c r="AA5" s="3380"/>
      <c r="AB5" s="3380"/>
      <c r="AC5" s="3380"/>
    </row>
    <row r="6" spans="1:29" ht="15.75" thickBot="1">
      <c r="A6" s="517"/>
      <c r="B6" s="518"/>
      <c r="C6" s="3396" t="s">
        <v>2927</v>
      </c>
      <c r="D6" s="3397"/>
      <c r="E6" s="3414" t="s">
        <v>2927</v>
      </c>
      <c r="F6" s="3415"/>
      <c r="G6" s="3396" t="s">
        <v>2927</v>
      </c>
      <c r="H6" s="3397"/>
      <c r="I6" s="3396" t="s">
        <v>2927</v>
      </c>
      <c r="J6" s="3397"/>
      <c r="K6" s="854" t="s">
        <v>528</v>
      </c>
      <c r="L6" s="2133"/>
      <c r="M6" s="2134"/>
      <c r="N6" s="2134"/>
      <c r="O6" s="2134"/>
      <c r="P6" s="3388"/>
      <c r="Q6" s="3389"/>
      <c r="R6" s="3392"/>
      <c r="S6" s="3393"/>
      <c r="T6" s="3394"/>
      <c r="U6" s="3395"/>
      <c r="V6" s="3377"/>
      <c r="W6" s="3377"/>
      <c r="X6" s="1567"/>
      <c r="Y6" s="3394"/>
      <c r="Z6" s="3395"/>
      <c r="AA6" s="3381"/>
      <c r="AB6" s="3381"/>
      <c r="AC6" s="3381"/>
    </row>
    <row r="7" spans="1:29" s="1220" customFormat="1" ht="15.75" thickBot="1">
      <c r="A7" s="2890"/>
      <c r="B7" s="2897" t="s">
        <v>529</v>
      </c>
      <c r="C7" s="519">
        <f>'数据-取费表'!B2</f>
        <v>43557</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7" t="s">
        <v>530</v>
      </c>
      <c r="Q7" s="3409"/>
      <c r="R7" s="1568" t="s">
        <v>13</v>
      </c>
      <c r="S7" s="1569">
        <f t="shared" ref="S7:S15" si="0">F7</f>
        <v>0</v>
      </c>
      <c r="T7" s="1568" t="s">
        <v>13</v>
      </c>
      <c r="U7" s="1569">
        <f t="shared" ref="U7:U15" si="1">H7</f>
        <v>0</v>
      </c>
      <c r="V7" s="1568" t="s">
        <v>13</v>
      </c>
      <c r="W7" s="1569">
        <f t="shared" ref="W7:W15"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7" t="s">
        <v>533</v>
      </c>
      <c r="Q8" s="3408"/>
      <c r="R8" s="1568" t="s">
        <v>13</v>
      </c>
      <c r="S8" s="1569">
        <f t="shared" si="0"/>
        <v>0</v>
      </c>
      <c r="T8" s="1568" t="s">
        <v>13</v>
      </c>
      <c r="U8" s="1569">
        <f t="shared" si="1"/>
        <v>0</v>
      </c>
      <c r="V8" s="1568" t="s">
        <v>13</v>
      </c>
      <c r="W8" s="1569">
        <f t="shared" si="2"/>
        <v>0</v>
      </c>
      <c r="X8" s="1570"/>
      <c r="Y8" s="3407" t="s">
        <v>533</v>
      </c>
      <c r="Z8" s="3408"/>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76"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76"/>
      <c r="Q11" s="1151" t="str">
        <f t="shared" si="6"/>
        <v>容积率</v>
      </c>
      <c r="R11" s="1568" t="s">
        <v>11</v>
      </c>
      <c r="S11" s="1569" t="e">
        <f t="shared" si="0"/>
        <v>#N/A</v>
      </c>
      <c r="T11" s="1568" t="s">
        <v>11</v>
      </c>
      <c r="U11" s="1569" t="e">
        <f t="shared" si="1"/>
        <v>#N/A</v>
      </c>
      <c r="V11" s="1568" t="s">
        <v>11</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6"/>
      <c r="Q12" s="1151">
        <f t="shared" si="6"/>
        <v>111</v>
      </c>
      <c r="R12" s="1568" t="s">
        <v>11</v>
      </c>
      <c r="S12" s="1569">
        <f t="shared" si="0"/>
        <v>100</v>
      </c>
      <c r="T12" s="1568" t="s">
        <v>11</v>
      </c>
      <c r="U12" s="1569">
        <f t="shared" si="1"/>
        <v>100</v>
      </c>
      <c r="V12" s="1568" t="s">
        <v>11</v>
      </c>
      <c r="W12" s="1569">
        <f t="shared" si="2"/>
        <v>100</v>
      </c>
      <c r="X12" s="1570"/>
      <c r="Y12" s="3322"/>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6"/>
      <c r="Q13" s="1151">
        <f t="shared" si="6"/>
        <v>111</v>
      </c>
      <c r="R13" s="1568" t="s">
        <v>11</v>
      </c>
      <c r="S13" s="1569">
        <f t="shared" si="0"/>
        <v>100</v>
      </c>
      <c r="T13" s="1568" t="s">
        <v>11</v>
      </c>
      <c r="U13" s="1569">
        <f t="shared" si="1"/>
        <v>100</v>
      </c>
      <c r="V13" s="1568" t="s">
        <v>11</v>
      </c>
      <c r="W13" s="1569">
        <f t="shared" si="2"/>
        <v>100</v>
      </c>
      <c r="X13" s="1570"/>
      <c r="Y13" s="3322"/>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6"/>
      <c r="Q14" s="1151">
        <f t="shared" si="6"/>
        <v>111</v>
      </c>
      <c r="R14" s="1568" t="s">
        <v>11</v>
      </c>
      <c r="S14" s="1569">
        <f t="shared" si="0"/>
        <v>100</v>
      </c>
      <c r="T14" s="1568" t="s">
        <v>11</v>
      </c>
      <c r="U14" s="1569">
        <f t="shared" si="1"/>
        <v>100</v>
      </c>
      <c r="V14" s="1568" t="s">
        <v>11</v>
      </c>
      <c r="W14" s="1569">
        <f t="shared" si="2"/>
        <v>100</v>
      </c>
      <c r="X14" s="1570"/>
      <c r="Y14" s="3322"/>
      <c r="Z14" s="1150">
        <f t="shared" si="7"/>
        <v>111</v>
      </c>
      <c r="AA14" s="1571">
        <f t="shared" si="3"/>
        <v>1</v>
      </c>
      <c r="AB14" s="1571">
        <f t="shared" si="4"/>
        <v>1</v>
      </c>
      <c r="AC14" s="1571">
        <f t="shared" si="5"/>
        <v>1</v>
      </c>
    </row>
    <row r="15" spans="1:29" ht="15">
      <c r="A15" s="2888"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10" t="s">
        <v>540</v>
      </c>
      <c r="Q15" s="1572" t="str">
        <f t="shared" si="6"/>
        <v>居住社区成熟度</v>
      </c>
      <c r="R15" s="1573" t="s">
        <v>11</v>
      </c>
      <c r="S15" s="1574">
        <f t="shared" si="0"/>
        <v>100</v>
      </c>
      <c r="T15" s="1573" t="s">
        <v>11</v>
      </c>
      <c r="U15" s="1574">
        <f t="shared" si="1"/>
        <v>100</v>
      </c>
      <c r="V15" s="1573" t="s">
        <v>11</v>
      </c>
      <c r="W15" s="1574">
        <f t="shared" si="2"/>
        <v>100</v>
      </c>
      <c r="X15" s="1567"/>
      <c r="Y15" s="3410"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11"/>
      <c r="Q16" s="1572"/>
      <c r="R16" s="1573"/>
      <c r="S16" s="1574"/>
      <c r="T16" s="1573"/>
      <c r="U16" s="1574"/>
      <c r="V16" s="1573"/>
      <c r="W16" s="1574"/>
      <c r="X16" s="1567"/>
      <c r="Y16" s="3411"/>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11"/>
      <c r="Q17" s="1572" t="str">
        <f>B17</f>
        <v>交通便捷度</v>
      </c>
      <c r="R17" s="1573" t="s">
        <v>11</v>
      </c>
      <c r="S17" s="1574">
        <f>F17</f>
        <v>100</v>
      </c>
      <c r="T17" s="1573" t="s">
        <v>11</v>
      </c>
      <c r="U17" s="1574">
        <f>H17</f>
        <v>100</v>
      </c>
      <c r="V17" s="1573" t="s">
        <v>11</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11"/>
      <c r="Q18" s="1572"/>
      <c r="R18" s="1573"/>
      <c r="S18" s="1574"/>
      <c r="T18" s="1573"/>
      <c r="U18" s="1574"/>
      <c r="V18" s="1573"/>
      <c r="W18" s="1574"/>
      <c r="X18" s="1567"/>
      <c r="Y18" s="3411"/>
      <c r="Z18" s="1575"/>
      <c r="AA18" s="1576">
        <v>1</v>
      </c>
      <c r="AB18" s="1576">
        <v>1</v>
      </c>
      <c r="AC18" s="1576">
        <v>1</v>
      </c>
    </row>
    <row r="19" spans="1:29" ht="15">
      <c r="A19" s="532"/>
      <c r="B19" s="2579"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11"/>
      <c r="Q19" s="1572" t="str">
        <f>B19</f>
        <v>公共配套设施</v>
      </c>
      <c r="R19" s="1573" t="s">
        <v>11</v>
      </c>
      <c r="S19" s="1574">
        <f>F19</f>
        <v>100</v>
      </c>
      <c r="T19" s="1573" t="s">
        <v>11</v>
      </c>
      <c r="U19" s="1574">
        <f>H19</f>
        <v>100</v>
      </c>
      <c r="V19" s="1573" t="s">
        <v>11</v>
      </c>
      <c r="W19" s="1574">
        <f>J19</f>
        <v>100</v>
      </c>
      <c r="X19" s="1567"/>
      <c r="Y19" s="341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11"/>
      <c r="Q20" s="1572"/>
      <c r="R20" s="1573"/>
      <c r="S20" s="1574"/>
      <c r="T20" s="1573"/>
      <c r="U20" s="1574"/>
      <c r="V20" s="1573"/>
      <c r="W20" s="1574"/>
      <c r="X20" s="1567"/>
      <c r="Y20" s="3411"/>
      <c r="Z20" s="1575"/>
      <c r="AA20" s="1576">
        <v>1</v>
      </c>
      <c r="AB20" s="1576">
        <v>1</v>
      </c>
      <c r="AC20" s="1576">
        <v>1</v>
      </c>
    </row>
    <row r="21" spans="1:29" ht="15">
      <c r="A21" s="532"/>
      <c r="B21" s="2572"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11"/>
      <c r="Q21" s="2558" t="str">
        <f>B21</f>
        <v>基础设施水平</v>
      </c>
      <c r="R21" s="1573" t="s">
        <v>11</v>
      </c>
      <c r="S21" s="1574">
        <f>F21</f>
        <v>100</v>
      </c>
      <c r="T21" s="1573" t="s">
        <v>11</v>
      </c>
      <c r="U21" s="1574">
        <f>H21</f>
        <v>100</v>
      </c>
      <c r="V21" s="1573" t="s">
        <v>11</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411"/>
      <c r="Q22" s="2558"/>
      <c r="R22" s="1573"/>
      <c r="S22" s="1574"/>
      <c r="T22" s="1573"/>
      <c r="U22" s="1574"/>
      <c r="V22" s="1573"/>
      <c r="W22" s="1574"/>
      <c r="X22" s="2560"/>
      <c r="Y22" s="3411"/>
      <c r="Z22" s="2559"/>
      <c r="AA22" s="1576">
        <v>1</v>
      </c>
      <c r="AB22" s="1576">
        <v>1</v>
      </c>
      <c r="AC22" s="1576">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11"/>
      <c r="Q23" s="1572" t="str">
        <f>B23</f>
        <v>自然及人文环境</v>
      </c>
      <c r="R23" s="1573" t="s">
        <v>11</v>
      </c>
      <c r="S23" s="1574">
        <f>F23</f>
        <v>100</v>
      </c>
      <c r="T23" s="1573" t="s">
        <v>11</v>
      </c>
      <c r="U23" s="1574">
        <f>H23</f>
        <v>100</v>
      </c>
      <c r="V23" s="1573" t="s">
        <v>11</v>
      </c>
      <c r="W23" s="1574">
        <f>J23</f>
        <v>100</v>
      </c>
      <c r="X23" s="1567"/>
      <c r="Y23" s="341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1"/>
      <c r="Q25" s="1572" t="str">
        <f t="shared" ref="Q25:Q46" si="11">B25</f>
        <v>楼层-1</v>
      </c>
      <c r="R25" s="1573" t="s">
        <v>11</v>
      </c>
      <c r="S25" s="1574">
        <f>F25</f>
        <v>100</v>
      </c>
      <c r="T25" s="1573" t="s">
        <v>11</v>
      </c>
      <c r="U25" s="1574">
        <f>H25</f>
        <v>100</v>
      </c>
      <c r="V25" s="1573" t="s">
        <v>11</v>
      </c>
      <c r="W25" s="1574">
        <f>J25</f>
        <v>100</v>
      </c>
      <c r="X25" s="1567"/>
      <c r="Y25" s="3411"/>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1"/>
      <c r="Q26" s="1572" t="str">
        <f t="shared" si="11"/>
        <v>朝向</v>
      </c>
      <c r="R26" s="1573" t="s">
        <v>11</v>
      </c>
      <c r="S26" s="1574">
        <f>F26</f>
        <v>100</v>
      </c>
      <c r="T26" s="1573" t="s">
        <v>11</v>
      </c>
      <c r="U26" s="1574">
        <f>H26</f>
        <v>100</v>
      </c>
      <c r="V26" s="1573" t="s">
        <v>11</v>
      </c>
      <c r="W26" s="1574">
        <f>J26</f>
        <v>100</v>
      </c>
      <c r="X26" s="1567"/>
      <c r="Y26" s="3411"/>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1"/>
      <c r="Q27" s="1151" t="str">
        <f t="shared" si="11"/>
        <v>道路级别</v>
      </c>
      <c r="R27" s="1568" t="s">
        <v>11</v>
      </c>
      <c r="S27" s="1569">
        <f>F27</f>
        <v>100</v>
      </c>
      <c r="T27" s="1568" t="s">
        <v>11</v>
      </c>
      <c r="U27" s="1569">
        <f>H27</f>
        <v>100</v>
      </c>
      <c r="V27" s="1568" t="s">
        <v>11</v>
      </c>
      <c r="W27" s="1569">
        <f>J27</f>
        <v>100</v>
      </c>
      <c r="X27" s="1570"/>
      <c r="Y27" s="341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1"/>
      <c r="Q29" s="1572">
        <f t="shared" si="11"/>
        <v>111</v>
      </c>
      <c r="R29" s="1573" t="s">
        <v>11</v>
      </c>
      <c r="S29" s="1574">
        <f t="shared" si="12"/>
        <v>100</v>
      </c>
      <c r="T29" s="1573" t="s">
        <v>11</v>
      </c>
      <c r="U29" s="1574">
        <f t="shared" si="13"/>
        <v>100</v>
      </c>
      <c r="V29" s="1573" t="s">
        <v>11</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1"/>
      <c r="Q30" s="1572">
        <f t="shared" si="11"/>
        <v>111</v>
      </c>
      <c r="R30" s="1573" t="s">
        <v>11</v>
      </c>
      <c r="S30" s="1574">
        <f t="shared" si="12"/>
        <v>100</v>
      </c>
      <c r="T30" s="1573" t="s">
        <v>11</v>
      </c>
      <c r="U30" s="1574">
        <f t="shared" si="13"/>
        <v>100</v>
      </c>
      <c r="V30" s="1573" t="s">
        <v>11</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1"/>
      <c r="Q31" s="1572">
        <f t="shared" si="11"/>
        <v>111</v>
      </c>
      <c r="R31" s="1573" t="s">
        <v>11</v>
      </c>
      <c r="S31" s="1574">
        <f t="shared" si="12"/>
        <v>100</v>
      </c>
      <c r="T31" s="1573" t="s">
        <v>11</v>
      </c>
      <c r="U31" s="1574">
        <f t="shared" si="13"/>
        <v>100</v>
      </c>
      <c r="V31" s="1573" t="s">
        <v>11</v>
      </c>
      <c r="W31" s="1574">
        <f t="shared" si="14"/>
        <v>100</v>
      </c>
      <c r="X31" s="1567"/>
      <c r="Y31" s="3411"/>
      <c r="Z31" s="1575">
        <f t="shared" si="15"/>
        <v>111</v>
      </c>
      <c r="AA31" s="1576">
        <f t="shared" si="3"/>
        <v>1</v>
      </c>
      <c r="AB31" s="1576">
        <f t="shared" si="4"/>
        <v>1</v>
      </c>
      <c r="AC31" s="1576">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2" t="s">
        <v>550</v>
      </c>
      <c r="Q32" s="1572" t="str">
        <f t="shared" si="11"/>
        <v>建筑类型</v>
      </c>
      <c r="R32" s="1573" t="s">
        <v>11</v>
      </c>
      <c r="S32" s="1574">
        <f t="shared" si="12"/>
        <v>100</v>
      </c>
      <c r="T32" s="1573" t="s">
        <v>11</v>
      </c>
      <c r="U32" s="1574">
        <f t="shared" si="13"/>
        <v>100</v>
      </c>
      <c r="V32" s="1573" t="s">
        <v>11</v>
      </c>
      <c r="W32" s="1574">
        <f t="shared" si="14"/>
        <v>100</v>
      </c>
      <c r="X32" s="1567"/>
      <c r="Y32" s="3413"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3"/>
      <c r="Q33" s="1605" t="str">
        <f t="shared" si="11"/>
        <v>项目建筑规模</v>
      </c>
      <c r="R33" s="1577" t="s">
        <v>11</v>
      </c>
      <c r="S33" s="1578" t="e">
        <f t="shared" si="12"/>
        <v>#N/A</v>
      </c>
      <c r="T33" s="1577" t="s">
        <v>11</v>
      </c>
      <c r="U33" s="1578" t="e">
        <f t="shared" si="13"/>
        <v>#N/A</v>
      </c>
      <c r="V33" s="1577" t="s">
        <v>11</v>
      </c>
      <c r="W33" s="1578" t="e">
        <f t="shared" si="14"/>
        <v>#N/A</v>
      </c>
      <c r="X33" s="1579"/>
      <c r="Y33" s="341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3"/>
      <c r="Q34" s="1572" t="str">
        <f t="shared" si="11"/>
        <v>建筑结构</v>
      </c>
      <c r="R34" s="1573" t="s">
        <v>11</v>
      </c>
      <c r="S34" s="1574">
        <f t="shared" si="12"/>
        <v>100</v>
      </c>
      <c r="T34" s="1573" t="s">
        <v>11</v>
      </c>
      <c r="U34" s="1574">
        <f t="shared" si="13"/>
        <v>100</v>
      </c>
      <c r="V34" s="1573" t="s">
        <v>11</v>
      </c>
      <c r="W34" s="1574">
        <f t="shared" si="14"/>
        <v>100</v>
      </c>
      <c r="X34" s="1567"/>
      <c r="Y34" s="3413"/>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3"/>
      <c r="Q35" s="1572" t="str">
        <f t="shared" si="11"/>
        <v>建筑品质</v>
      </c>
      <c r="R35" s="1573" t="s">
        <v>11</v>
      </c>
      <c r="S35" s="1574">
        <f t="shared" si="12"/>
        <v>100</v>
      </c>
      <c r="T35" s="1573" t="s">
        <v>11</v>
      </c>
      <c r="U35" s="1574">
        <f t="shared" si="13"/>
        <v>100</v>
      </c>
      <c r="V35" s="1573" t="s">
        <v>11</v>
      </c>
      <c r="W35" s="1574">
        <f t="shared" si="14"/>
        <v>100</v>
      </c>
      <c r="X35" s="1567"/>
      <c r="Y35" s="3413"/>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3"/>
      <c r="Q36" s="1572" t="str">
        <f t="shared" si="11"/>
        <v>公共部分装修</v>
      </c>
      <c r="R36" s="1573" t="s">
        <v>11</v>
      </c>
      <c r="S36" s="1574">
        <f t="shared" si="12"/>
        <v>100</v>
      </c>
      <c r="T36" s="1573" t="s">
        <v>11</v>
      </c>
      <c r="U36" s="1574">
        <f t="shared" si="13"/>
        <v>100</v>
      </c>
      <c r="V36" s="1573" t="s">
        <v>11</v>
      </c>
      <c r="W36" s="1574">
        <f t="shared" si="14"/>
        <v>100</v>
      </c>
      <c r="X36" s="1567"/>
      <c r="Y36" s="3413"/>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3"/>
      <c r="Q37" s="1151" t="str">
        <f t="shared" si="11"/>
        <v>成新度</v>
      </c>
      <c r="R37" s="1568" t="s">
        <v>11</v>
      </c>
      <c r="S37" s="1569" t="e">
        <f t="shared" si="12"/>
        <v>#N/A</v>
      </c>
      <c r="T37" s="1568" t="s">
        <v>11</v>
      </c>
      <c r="U37" s="1569" t="e">
        <f t="shared" si="13"/>
        <v>#N/A</v>
      </c>
      <c r="V37" s="1568" t="s">
        <v>11</v>
      </c>
      <c r="W37" s="1569" t="e">
        <f t="shared" si="14"/>
        <v>#N/A</v>
      </c>
      <c r="X37" s="1570"/>
      <c r="Y37" s="3413"/>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3" t="s">
        <v>550</v>
      </c>
      <c r="Q38" s="1572" t="str">
        <f t="shared" si="11"/>
        <v>物业管理</v>
      </c>
      <c r="R38" s="1573" t="s">
        <v>11</v>
      </c>
      <c r="S38" s="1574">
        <f t="shared" si="12"/>
        <v>100</v>
      </c>
      <c r="T38" s="1573" t="s">
        <v>11</v>
      </c>
      <c r="U38" s="1574">
        <f t="shared" si="13"/>
        <v>100</v>
      </c>
      <c r="V38" s="1573" t="s">
        <v>11</v>
      </c>
      <c r="W38" s="1574">
        <f t="shared" si="14"/>
        <v>100</v>
      </c>
      <c r="X38" s="1567"/>
      <c r="Y38" s="3413"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3"/>
      <c r="Q39" s="1572" t="str">
        <f t="shared" si="11"/>
        <v>市政基础设施</v>
      </c>
      <c r="R39" s="1573" t="s">
        <v>11</v>
      </c>
      <c r="S39" s="1574">
        <f t="shared" si="12"/>
        <v>100</v>
      </c>
      <c r="T39" s="1573" t="s">
        <v>11</v>
      </c>
      <c r="U39" s="1574">
        <f t="shared" si="13"/>
        <v>100</v>
      </c>
      <c r="V39" s="1573" t="s">
        <v>11</v>
      </c>
      <c r="W39" s="1574">
        <f t="shared" si="14"/>
        <v>100</v>
      </c>
      <c r="X39" s="1567"/>
      <c r="Y39" s="3413"/>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3"/>
      <c r="Q40" s="1572" t="str">
        <f t="shared" si="11"/>
        <v>房型</v>
      </c>
      <c r="R40" s="1573" t="s">
        <v>11</v>
      </c>
      <c r="S40" s="1574">
        <f t="shared" si="12"/>
        <v>100</v>
      </c>
      <c r="T40" s="1573" t="s">
        <v>11</v>
      </c>
      <c r="U40" s="1574">
        <f t="shared" si="13"/>
        <v>100</v>
      </c>
      <c r="V40" s="1573" t="s">
        <v>11</v>
      </c>
      <c r="W40" s="1574">
        <f t="shared" si="14"/>
        <v>100</v>
      </c>
      <c r="X40" s="1567"/>
      <c r="Y40" s="3413"/>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3"/>
      <c r="Q41" s="1605" t="str">
        <f t="shared" si="11"/>
        <v>单套/主力户型建筑面积</v>
      </c>
      <c r="R41" s="1577" t="s">
        <v>11</v>
      </c>
      <c r="S41" s="1578">
        <f t="shared" si="12"/>
        <v>100</v>
      </c>
      <c r="T41" s="1577" t="s">
        <v>11</v>
      </c>
      <c r="U41" s="1578">
        <f t="shared" si="13"/>
        <v>100</v>
      </c>
      <c r="V41" s="1577" t="s">
        <v>11</v>
      </c>
      <c r="W41" s="1578">
        <f t="shared" si="14"/>
        <v>100</v>
      </c>
      <c r="X41" s="1579"/>
      <c r="Y41" s="3413"/>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3"/>
      <c r="Q42" s="1572" t="str">
        <f t="shared" si="11"/>
        <v>内部装修</v>
      </c>
      <c r="R42" s="1573" t="s">
        <v>11</v>
      </c>
      <c r="S42" s="1574">
        <f t="shared" si="12"/>
        <v>100</v>
      </c>
      <c r="T42" s="1573" t="s">
        <v>11</v>
      </c>
      <c r="U42" s="1574">
        <f t="shared" si="13"/>
        <v>100</v>
      </c>
      <c r="V42" s="1573" t="s">
        <v>11</v>
      </c>
      <c r="W42" s="1574">
        <f t="shared" si="14"/>
        <v>100</v>
      </c>
      <c r="X42" s="1567"/>
      <c r="Y42" s="3413"/>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3"/>
      <c r="Q43" s="1572" t="str">
        <f t="shared" si="11"/>
        <v>内部装修维护情况</v>
      </c>
      <c r="R43" s="1573" t="s">
        <v>11</v>
      </c>
      <c r="S43" s="1574">
        <f t="shared" si="12"/>
        <v>100</v>
      </c>
      <c r="T43" s="1573" t="s">
        <v>11</v>
      </c>
      <c r="U43" s="1574">
        <f t="shared" si="13"/>
        <v>100</v>
      </c>
      <c r="V43" s="1573" t="s">
        <v>11</v>
      </c>
      <c r="W43" s="1574">
        <f t="shared" si="14"/>
        <v>100</v>
      </c>
      <c r="X43" s="1567"/>
      <c r="Y43" s="341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3"/>
      <c r="Q44" s="1151">
        <f t="shared" si="11"/>
        <v>111</v>
      </c>
      <c r="R44" s="1568" t="s">
        <v>11</v>
      </c>
      <c r="S44" s="1569">
        <f t="shared" si="12"/>
        <v>100</v>
      </c>
      <c r="T44" s="1568" t="s">
        <v>11</v>
      </c>
      <c r="U44" s="1569">
        <f t="shared" si="13"/>
        <v>100</v>
      </c>
      <c r="V44" s="1568" t="s">
        <v>11</v>
      </c>
      <c r="W44" s="1569">
        <f t="shared" si="14"/>
        <v>100</v>
      </c>
      <c r="X44" s="1570"/>
      <c r="Y44" s="341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3"/>
      <c r="Q45" s="1572">
        <f t="shared" si="11"/>
        <v>111</v>
      </c>
      <c r="R45" s="1573" t="s">
        <v>11</v>
      </c>
      <c r="S45" s="1574">
        <f t="shared" si="12"/>
        <v>100</v>
      </c>
      <c r="T45" s="1573" t="s">
        <v>11</v>
      </c>
      <c r="U45" s="1574">
        <f t="shared" si="13"/>
        <v>100</v>
      </c>
      <c r="V45" s="1573" t="s">
        <v>11</v>
      </c>
      <c r="W45" s="1574">
        <f t="shared" si="14"/>
        <v>100</v>
      </c>
      <c r="X45" s="1567"/>
      <c r="Y45" s="341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1"/>
      <c r="Q46" s="1572">
        <f t="shared" si="11"/>
        <v>111</v>
      </c>
      <c r="R46" s="1573" t="s">
        <v>10</v>
      </c>
      <c r="S46" s="1574">
        <f t="shared" si="12"/>
        <v>100</v>
      </c>
      <c r="T46" s="1573" t="s">
        <v>10</v>
      </c>
      <c r="U46" s="1574">
        <f t="shared" si="13"/>
        <v>100</v>
      </c>
      <c r="V46" s="1573" t="s">
        <v>10</v>
      </c>
      <c r="W46" s="1574">
        <f t="shared" si="14"/>
        <v>100</v>
      </c>
      <c r="X46" s="1567"/>
      <c r="Y46" s="3491"/>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376" t="str">
        <f>A47</f>
        <v>成交单价（元/平方米）</v>
      </c>
      <c r="Q47" s="3376"/>
      <c r="R47" s="3490">
        <f>E47</f>
        <v>0</v>
      </c>
      <c r="S47" s="3490"/>
      <c r="T47" s="3490">
        <f>G47</f>
        <v>0</v>
      </c>
      <c r="U47" s="3490"/>
      <c r="V47" s="3490">
        <f>I47</f>
        <v>0</v>
      </c>
      <c r="W47" s="3490"/>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376" t="str">
        <f>A48</f>
        <v>比较价格（元/平方米）</v>
      </c>
      <c r="Q48" s="337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2929</v>
      </c>
      <c r="B49" s="622"/>
      <c r="C49" s="2615" t="e">
        <f>R49</f>
        <v>#DIV/0!</v>
      </c>
      <c r="D49" s="2615"/>
      <c r="E49" s="2615"/>
      <c r="F49" s="2615"/>
      <c r="G49" s="2615"/>
      <c r="H49" s="2615"/>
      <c r="I49" s="2615"/>
      <c r="J49" s="2615"/>
      <c r="K49" s="1608"/>
      <c r="L49" s="2144"/>
      <c r="M49" s="2145"/>
      <c r="N49" s="2145"/>
      <c r="O49" s="2145"/>
      <c r="P49" s="3373" t="str">
        <f>A49</f>
        <v>估价对象XX用房的比较价格（楼面单价，元/平方米）</v>
      </c>
      <c r="Q49" s="3374"/>
      <c r="R49" s="3489" t="e">
        <f>IF(F1="售价",ROUND(AVERAGE(R48:V48),0),ROUND(AVERAGE(R48:V48),1))</f>
        <v>#DIV/0!</v>
      </c>
      <c r="S49" s="3489"/>
      <c r="T49" s="3489"/>
      <c r="U49" s="3489"/>
      <c r="V49" s="3489"/>
      <c r="W49" s="348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82" t="s">
        <v>522</v>
      </c>
      <c r="D4" s="3383"/>
      <c r="E4" s="3416" t="s">
        <v>523</v>
      </c>
      <c r="F4" s="3417"/>
      <c r="G4" s="3382" t="s">
        <v>524</v>
      </c>
      <c r="H4" s="3383"/>
      <c r="I4" s="3382" t="s">
        <v>525</v>
      </c>
      <c r="J4" s="3383"/>
      <c r="K4" s="514" t="s">
        <v>526</v>
      </c>
      <c r="L4" s="2133"/>
      <c r="M4" s="2134"/>
      <c r="N4" s="2134"/>
      <c r="O4" s="2134"/>
      <c r="P4" s="3384" t="s">
        <v>527</v>
      </c>
      <c r="Q4" s="3385"/>
      <c r="R4" s="3390" t="s">
        <v>523</v>
      </c>
      <c r="S4" s="3391"/>
      <c r="T4" s="3390" t="s">
        <v>524</v>
      </c>
      <c r="U4" s="3391"/>
      <c r="V4" s="3377" t="s">
        <v>525</v>
      </c>
      <c r="W4" s="3377"/>
      <c r="X4" s="1567"/>
      <c r="Y4" s="3390" t="s">
        <v>527</v>
      </c>
      <c r="Z4" s="3391"/>
      <c r="AA4" s="3379" t="s">
        <v>523</v>
      </c>
      <c r="AB4" s="3377" t="s">
        <v>524</v>
      </c>
      <c r="AC4" s="3379" t="s">
        <v>525</v>
      </c>
    </row>
    <row r="5" spans="1:29" ht="15">
      <c r="A5" s="515"/>
      <c r="B5" s="516"/>
      <c r="C5" s="3398" t="s">
        <v>2923</v>
      </c>
      <c r="D5" s="3399"/>
      <c r="E5" s="3418" t="s">
        <v>2924</v>
      </c>
      <c r="F5" s="3419"/>
      <c r="G5" s="3398" t="s">
        <v>2925</v>
      </c>
      <c r="H5" s="3399"/>
      <c r="I5" s="3398" t="s">
        <v>2926</v>
      </c>
      <c r="J5" s="3399"/>
      <c r="K5" s="514"/>
      <c r="L5" s="2133"/>
      <c r="M5" s="2134"/>
      <c r="N5" s="2134"/>
      <c r="O5" s="2134"/>
      <c r="P5" s="3386"/>
      <c r="Q5" s="3387"/>
      <c r="R5" s="3392"/>
      <c r="S5" s="3393"/>
      <c r="T5" s="3392"/>
      <c r="U5" s="3393"/>
      <c r="V5" s="3377"/>
      <c r="W5" s="3377"/>
      <c r="X5" s="1567"/>
      <c r="Y5" s="3392"/>
      <c r="Z5" s="3393"/>
      <c r="AA5" s="3380"/>
      <c r="AB5" s="3377"/>
      <c r="AC5" s="3380"/>
    </row>
    <row r="6" spans="1:29" ht="15.75" thickBot="1">
      <c r="A6" s="517"/>
      <c r="B6" s="518"/>
      <c r="C6" s="3396" t="s">
        <v>2927</v>
      </c>
      <c r="D6" s="3397"/>
      <c r="E6" s="3414" t="s">
        <v>2927</v>
      </c>
      <c r="F6" s="3415"/>
      <c r="G6" s="3396" t="s">
        <v>2927</v>
      </c>
      <c r="H6" s="3397"/>
      <c r="I6" s="3396" t="s">
        <v>2927</v>
      </c>
      <c r="J6" s="3397"/>
      <c r="K6" s="514" t="s">
        <v>528</v>
      </c>
      <c r="L6" s="2133"/>
      <c r="M6" s="2134"/>
      <c r="N6" s="2134"/>
      <c r="O6" s="2134"/>
      <c r="P6" s="3388"/>
      <c r="Q6" s="3389"/>
      <c r="R6" s="3392"/>
      <c r="S6" s="3393"/>
      <c r="T6" s="3394"/>
      <c r="U6" s="3395"/>
      <c r="V6" s="3377"/>
      <c r="W6" s="3377"/>
      <c r="X6" s="1567"/>
      <c r="Y6" s="3394"/>
      <c r="Z6" s="3395"/>
      <c r="AA6" s="3381"/>
      <c r="AB6" s="3377"/>
      <c r="AC6" s="3381"/>
    </row>
    <row r="7" spans="1:29" s="1220" customFormat="1" ht="15.75" thickBot="1">
      <c r="A7" s="2890"/>
      <c r="B7" s="2897" t="s">
        <v>529</v>
      </c>
      <c r="C7" s="519">
        <f>'数据-取费表'!B2</f>
        <v>43557</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7"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6"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6"/>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6"/>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15">
      <c r="A15" s="2888" t="s">
        <v>2755</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10" t="s">
        <v>540</v>
      </c>
      <c r="Q15" s="1572" t="str">
        <f t="shared" si="6"/>
        <v>商业繁华度</v>
      </c>
      <c r="R15" s="1573" t="s">
        <v>8</v>
      </c>
      <c r="S15" s="1574">
        <f t="shared" si="0"/>
        <v>100</v>
      </c>
      <c r="T15" s="1573" t="s">
        <v>8</v>
      </c>
      <c r="U15" s="1574">
        <f t="shared" si="1"/>
        <v>100</v>
      </c>
      <c r="V15" s="1573" t="s">
        <v>8</v>
      </c>
      <c r="W15" s="1574">
        <f t="shared" si="2"/>
        <v>100</v>
      </c>
      <c r="X15" s="1567"/>
      <c r="Y15" s="3410"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11"/>
      <c r="Q16" s="1572"/>
      <c r="R16" s="1573"/>
      <c r="S16" s="1574"/>
      <c r="T16" s="1573"/>
      <c r="U16" s="1574"/>
      <c r="V16" s="1573"/>
      <c r="W16" s="1574"/>
      <c r="X16" s="1567"/>
      <c r="Y16" s="3411"/>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11"/>
      <c r="Q18" s="1572"/>
      <c r="R18" s="1573"/>
      <c r="S18" s="1574"/>
      <c r="T18" s="1573"/>
      <c r="U18" s="1574"/>
      <c r="V18" s="1573"/>
      <c r="W18" s="1574"/>
      <c r="X18" s="1567"/>
      <c r="Y18" s="3411"/>
      <c r="Z18" s="1575"/>
      <c r="AA18" s="1576">
        <v>1</v>
      </c>
      <c r="AB18" s="1576">
        <v>1</v>
      </c>
      <c r="AC18" s="1576">
        <v>1</v>
      </c>
    </row>
    <row r="19" spans="1:29" ht="15">
      <c r="A19" s="532"/>
      <c r="B19" s="2579" t="s">
        <v>2547</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411"/>
      <c r="Q20" s="1572"/>
      <c r="R20" s="1573"/>
      <c r="S20" s="1574"/>
      <c r="T20" s="1573"/>
      <c r="U20" s="1574"/>
      <c r="V20" s="1573"/>
      <c r="W20" s="1574"/>
      <c r="X20" s="1567"/>
      <c r="Y20" s="3411"/>
      <c r="Z20" s="1575"/>
      <c r="AA20" s="1576">
        <v>1</v>
      </c>
      <c r="AB20" s="1576">
        <v>1</v>
      </c>
      <c r="AC20" s="1576">
        <v>1</v>
      </c>
    </row>
    <row r="21" spans="1:29" ht="15">
      <c r="A21" s="532"/>
      <c r="B21" s="2572" t="s">
        <v>2559</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1"/>
      <c r="L22" s="2142"/>
      <c r="M22" s="2134"/>
      <c r="N22" s="2134"/>
      <c r="O22" s="2141"/>
      <c r="P22" s="3411"/>
      <c r="Q22" s="2558"/>
      <c r="R22" s="1573"/>
      <c r="S22" s="1574"/>
      <c r="T22" s="1573"/>
      <c r="U22" s="1574"/>
      <c r="V22" s="1573"/>
      <c r="W22" s="1574"/>
      <c r="X22" s="2560"/>
      <c r="Y22" s="3411"/>
      <c r="Z22" s="2559"/>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1"/>
      <c r="Q23" s="1572" t="str">
        <f>B23</f>
        <v>自然及人文环境</v>
      </c>
      <c r="R23" s="1573" t="s">
        <v>8</v>
      </c>
      <c r="S23" s="1574">
        <f>F23</f>
        <v>100</v>
      </c>
      <c r="T23" s="1573" t="s">
        <v>8</v>
      </c>
      <c r="U23" s="1574">
        <f>H23</f>
        <v>100</v>
      </c>
      <c r="V23" s="1573" t="s">
        <v>8</v>
      </c>
      <c r="W23" s="1574">
        <f>J23</f>
        <v>100</v>
      </c>
      <c r="X23" s="1567"/>
      <c r="Y23" s="341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1"/>
      <c r="Q25" s="1572" t="str">
        <f t="shared" ref="Q25:Q46" si="11">B25</f>
        <v>临街状况</v>
      </c>
      <c r="R25" s="1573" t="s">
        <v>8</v>
      </c>
      <c r="S25" s="1574">
        <f>F25</f>
        <v>100</v>
      </c>
      <c r="T25" s="1573" t="s">
        <v>8</v>
      </c>
      <c r="U25" s="1574">
        <f>H25</f>
        <v>100</v>
      </c>
      <c r="V25" s="1573" t="s">
        <v>8</v>
      </c>
      <c r="W25" s="1574">
        <f>J25</f>
        <v>100</v>
      </c>
      <c r="X25" s="1567"/>
      <c r="Y25" s="3411"/>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1"/>
      <c r="Q26" s="1572" t="str">
        <f t="shared" si="11"/>
        <v>平面位置/可视性</v>
      </c>
      <c r="R26" s="1573" t="s">
        <v>8</v>
      </c>
      <c r="S26" s="1574">
        <f>F26</f>
        <v>100</v>
      </c>
      <c r="T26" s="1573" t="s">
        <v>8</v>
      </c>
      <c r="U26" s="1574">
        <f>H26</f>
        <v>100</v>
      </c>
      <c r="V26" s="1573" t="s">
        <v>8</v>
      </c>
      <c r="W26" s="1574">
        <f>J26</f>
        <v>100</v>
      </c>
      <c r="X26" s="1567"/>
      <c r="Y26" s="3411"/>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1"/>
      <c r="Q27" s="1151" t="str">
        <f t="shared" si="11"/>
        <v>人流量</v>
      </c>
      <c r="R27" s="1568" t="s">
        <v>8</v>
      </c>
      <c r="S27" s="1569">
        <f>F27</f>
        <v>100</v>
      </c>
      <c r="T27" s="1568" t="s">
        <v>8</v>
      </c>
      <c r="U27" s="1569">
        <f>H27</f>
        <v>100</v>
      </c>
      <c r="V27" s="1568" t="s">
        <v>8</v>
      </c>
      <c r="W27" s="1569">
        <f>J27</f>
        <v>100</v>
      </c>
      <c r="X27" s="1570"/>
      <c r="Y27" s="3411"/>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1"/>
      <c r="Q29" s="1572">
        <f t="shared" si="11"/>
        <v>111</v>
      </c>
      <c r="R29" s="1573" t="s">
        <v>8</v>
      </c>
      <c r="S29" s="1574">
        <f t="shared" si="12"/>
        <v>100</v>
      </c>
      <c r="T29" s="1573" t="s">
        <v>8</v>
      </c>
      <c r="U29" s="1574">
        <f t="shared" si="13"/>
        <v>100</v>
      </c>
      <c r="V29" s="1573" t="s">
        <v>8</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2" t="s">
        <v>550</v>
      </c>
      <c r="Q32" s="1572" t="str">
        <f t="shared" si="11"/>
        <v>商业类型</v>
      </c>
      <c r="R32" s="1573" t="s">
        <v>8</v>
      </c>
      <c r="S32" s="1574">
        <f t="shared" si="12"/>
        <v>100</v>
      </c>
      <c r="T32" s="1573" t="s">
        <v>8</v>
      </c>
      <c r="U32" s="1574">
        <f t="shared" si="13"/>
        <v>100</v>
      </c>
      <c r="V32" s="1573" t="s">
        <v>8</v>
      </c>
      <c r="W32" s="1574">
        <f t="shared" si="14"/>
        <v>100</v>
      </c>
      <c r="X32" s="1567"/>
      <c r="Y32" s="3413"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3"/>
      <c r="Q33" s="1605" t="str">
        <f t="shared" si="11"/>
        <v>项目建筑规模</v>
      </c>
      <c r="R33" s="1577" t="s">
        <v>8</v>
      </c>
      <c r="S33" s="1578" t="e">
        <f t="shared" si="12"/>
        <v>#N/A</v>
      </c>
      <c r="T33" s="1577" t="s">
        <v>8</v>
      </c>
      <c r="U33" s="1578" t="e">
        <f t="shared" si="13"/>
        <v>#N/A</v>
      </c>
      <c r="V33" s="1577" t="s">
        <v>8</v>
      </c>
      <c r="W33" s="1578" t="e">
        <f t="shared" si="14"/>
        <v>#N/A</v>
      </c>
      <c r="X33" s="1579"/>
      <c r="Y33" s="3413"/>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3"/>
      <c r="Q34" s="1572" t="str">
        <f t="shared" si="11"/>
        <v>建筑结构</v>
      </c>
      <c r="R34" s="1573" t="s">
        <v>8</v>
      </c>
      <c r="S34" s="1574">
        <f t="shared" si="12"/>
        <v>100</v>
      </c>
      <c r="T34" s="1573" t="s">
        <v>8</v>
      </c>
      <c r="U34" s="1574">
        <f t="shared" si="13"/>
        <v>100</v>
      </c>
      <c r="V34" s="1573" t="s">
        <v>8</v>
      </c>
      <c r="W34" s="1574">
        <f t="shared" si="14"/>
        <v>100</v>
      </c>
      <c r="X34" s="1567"/>
      <c r="Y34" s="3413"/>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3"/>
      <c r="Q35" s="1572" t="str">
        <f t="shared" si="11"/>
        <v>公共部分装修</v>
      </c>
      <c r="R35" s="1573" t="s">
        <v>8</v>
      </c>
      <c r="S35" s="1574">
        <f t="shared" si="12"/>
        <v>100</v>
      </c>
      <c r="T35" s="1573" t="s">
        <v>8</v>
      </c>
      <c r="U35" s="1574">
        <f t="shared" si="13"/>
        <v>100</v>
      </c>
      <c r="V35" s="1573" t="s">
        <v>8</v>
      </c>
      <c r="W35" s="1574">
        <f t="shared" si="14"/>
        <v>100</v>
      </c>
      <c r="X35" s="1567"/>
      <c r="Y35" s="3413"/>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3"/>
      <c r="Q36" s="1572" t="str">
        <f t="shared" si="11"/>
        <v>成新度</v>
      </c>
      <c r="R36" s="1573" t="s">
        <v>8</v>
      </c>
      <c r="S36" s="1574" t="e">
        <f t="shared" si="12"/>
        <v>#N/A</v>
      </c>
      <c r="T36" s="1573" t="s">
        <v>8</v>
      </c>
      <c r="U36" s="1574" t="e">
        <f t="shared" si="13"/>
        <v>#N/A</v>
      </c>
      <c r="V36" s="1573" t="s">
        <v>8</v>
      </c>
      <c r="W36" s="1574" t="e">
        <f t="shared" si="14"/>
        <v>#N/A</v>
      </c>
      <c r="X36" s="1567"/>
      <c r="Y36" s="3413"/>
      <c r="Z36" s="1575" t="str">
        <f t="shared" si="15"/>
        <v>成新度</v>
      </c>
      <c r="AA36" s="1576" t="e">
        <f t="shared" si="3"/>
        <v>#N/A</v>
      </c>
      <c r="AB36" s="1576" t="e">
        <f t="shared" si="4"/>
        <v>#N/A</v>
      </c>
      <c r="AC36" s="1576"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3"/>
      <c r="Q37" s="1151" t="str">
        <f t="shared" si="11"/>
        <v>市政基础设施</v>
      </c>
      <c r="R37" s="1568" t="s">
        <v>8</v>
      </c>
      <c r="S37" s="1569">
        <f t="shared" si="12"/>
        <v>100</v>
      </c>
      <c r="T37" s="1568" t="s">
        <v>8</v>
      </c>
      <c r="U37" s="1569">
        <f t="shared" si="13"/>
        <v>100</v>
      </c>
      <c r="V37" s="1568" t="s">
        <v>8</v>
      </c>
      <c r="W37" s="1569">
        <f t="shared" si="14"/>
        <v>100</v>
      </c>
      <c r="X37" s="1570"/>
      <c r="Y37" s="3413"/>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3" t="s">
        <v>766</v>
      </c>
      <c r="Q38" s="1572" t="str">
        <f t="shared" si="11"/>
        <v>业态</v>
      </c>
      <c r="R38" s="1573" t="s">
        <v>8</v>
      </c>
      <c r="S38" s="1574">
        <f t="shared" si="12"/>
        <v>100</v>
      </c>
      <c r="T38" s="1573" t="s">
        <v>8</v>
      </c>
      <c r="U38" s="1574">
        <f t="shared" si="13"/>
        <v>100</v>
      </c>
      <c r="V38" s="1573" t="s">
        <v>8</v>
      </c>
      <c r="W38" s="1574">
        <f t="shared" si="14"/>
        <v>100</v>
      </c>
      <c r="X38" s="1567"/>
      <c r="Y38" s="3413"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3"/>
      <c r="Q39" s="1572" t="str">
        <f t="shared" si="11"/>
        <v>层高</v>
      </c>
      <c r="R39" s="1573" t="s">
        <v>8</v>
      </c>
      <c r="S39" s="1574">
        <f t="shared" si="12"/>
        <v>100</v>
      </c>
      <c r="T39" s="1573" t="s">
        <v>8</v>
      </c>
      <c r="U39" s="1574">
        <f t="shared" si="13"/>
        <v>100</v>
      </c>
      <c r="V39" s="1573" t="s">
        <v>8</v>
      </c>
      <c r="W39" s="1574">
        <f t="shared" si="14"/>
        <v>100</v>
      </c>
      <c r="X39" s="1567"/>
      <c r="Y39" s="3413"/>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3"/>
      <c r="Q40" s="1572" t="str">
        <f t="shared" si="11"/>
        <v>单套建筑面积</v>
      </c>
      <c r="R40" s="1573" t="s">
        <v>8</v>
      </c>
      <c r="S40" s="1574">
        <f t="shared" si="12"/>
        <v>100</v>
      </c>
      <c r="T40" s="1573" t="s">
        <v>8</v>
      </c>
      <c r="U40" s="1574">
        <f t="shared" si="13"/>
        <v>100</v>
      </c>
      <c r="V40" s="1573" t="s">
        <v>8</v>
      </c>
      <c r="W40" s="1574">
        <f t="shared" si="14"/>
        <v>100</v>
      </c>
      <c r="X40" s="1567"/>
      <c r="Y40" s="3413"/>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3"/>
      <c r="Q41" s="1605" t="str">
        <f t="shared" si="11"/>
        <v>进深比</v>
      </c>
      <c r="R41" s="1577" t="s">
        <v>8</v>
      </c>
      <c r="S41" s="1578">
        <f t="shared" si="12"/>
        <v>100</v>
      </c>
      <c r="T41" s="1577" t="s">
        <v>8</v>
      </c>
      <c r="U41" s="1578">
        <f t="shared" si="13"/>
        <v>100</v>
      </c>
      <c r="V41" s="1577" t="s">
        <v>8</v>
      </c>
      <c r="W41" s="1578">
        <f t="shared" si="14"/>
        <v>100</v>
      </c>
      <c r="X41" s="1579"/>
      <c r="Y41" s="3413"/>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3"/>
      <c r="Q42" s="1572" t="str">
        <f t="shared" si="11"/>
        <v>内部装修</v>
      </c>
      <c r="R42" s="1573" t="s">
        <v>8</v>
      </c>
      <c r="S42" s="1574">
        <f t="shared" si="12"/>
        <v>100</v>
      </c>
      <c r="T42" s="1573" t="s">
        <v>8</v>
      </c>
      <c r="U42" s="1574">
        <f t="shared" si="13"/>
        <v>100</v>
      </c>
      <c r="V42" s="1573" t="s">
        <v>8</v>
      </c>
      <c r="W42" s="1574">
        <f t="shared" si="14"/>
        <v>100</v>
      </c>
      <c r="X42" s="1567"/>
      <c r="Y42" s="3413"/>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3"/>
      <c r="Q43" s="1572" t="str">
        <f t="shared" si="11"/>
        <v>内部装修维护情况</v>
      </c>
      <c r="R43" s="1573" t="s">
        <v>8</v>
      </c>
      <c r="S43" s="1574">
        <f t="shared" si="12"/>
        <v>100</v>
      </c>
      <c r="T43" s="1573" t="s">
        <v>8</v>
      </c>
      <c r="U43" s="1574">
        <f t="shared" si="13"/>
        <v>100</v>
      </c>
      <c r="V43" s="1573" t="s">
        <v>8</v>
      </c>
      <c r="W43" s="1574">
        <f t="shared" si="14"/>
        <v>100</v>
      </c>
      <c r="X43" s="1567"/>
      <c r="Y43" s="341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3"/>
      <c r="Q44" s="1151">
        <f t="shared" si="11"/>
        <v>111</v>
      </c>
      <c r="R44" s="1568" t="s">
        <v>8</v>
      </c>
      <c r="S44" s="1569">
        <f t="shared" si="12"/>
        <v>100</v>
      </c>
      <c r="T44" s="1568" t="s">
        <v>8</v>
      </c>
      <c r="U44" s="1569">
        <f t="shared" si="13"/>
        <v>100</v>
      </c>
      <c r="V44" s="1568" t="s">
        <v>8</v>
      </c>
      <c r="W44" s="1569">
        <f t="shared" si="14"/>
        <v>100</v>
      </c>
      <c r="X44" s="1570"/>
      <c r="Y44" s="341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3"/>
      <c r="Q45" s="1572">
        <f t="shared" si="11"/>
        <v>111</v>
      </c>
      <c r="R45" s="1573" t="s">
        <v>8</v>
      </c>
      <c r="S45" s="1574">
        <f t="shared" si="12"/>
        <v>100</v>
      </c>
      <c r="T45" s="1573" t="s">
        <v>8</v>
      </c>
      <c r="U45" s="1574">
        <f t="shared" si="13"/>
        <v>100</v>
      </c>
      <c r="V45" s="1573" t="s">
        <v>8</v>
      </c>
      <c r="W45" s="1574">
        <f t="shared" si="14"/>
        <v>100</v>
      </c>
      <c r="X45" s="1567"/>
      <c r="Y45" s="341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1"/>
      <c r="Q46" s="1572">
        <f t="shared" si="11"/>
        <v>111</v>
      </c>
      <c r="R46" s="1573" t="s">
        <v>8</v>
      </c>
      <c r="S46" s="1574">
        <f t="shared" si="12"/>
        <v>100</v>
      </c>
      <c r="T46" s="1573" t="s">
        <v>8</v>
      </c>
      <c r="U46" s="1574">
        <f t="shared" si="13"/>
        <v>100</v>
      </c>
      <c r="V46" s="1573" t="s">
        <v>8</v>
      </c>
      <c r="W46" s="1574">
        <f t="shared" si="14"/>
        <v>100</v>
      </c>
      <c r="X46" s="1567"/>
      <c r="Y46" s="3491"/>
      <c r="Z46" s="1575">
        <f t="shared" si="15"/>
        <v>111</v>
      </c>
      <c r="AA46" s="1576">
        <f t="shared" si="3"/>
        <v>1</v>
      </c>
      <c r="AB46" s="1576">
        <f t="shared" si="4"/>
        <v>1</v>
      </c>
      <c r="AC46" s="1576">
        <f t="shared" si="5"/>
        <v>1</v>
      </c>
    </row>
    <row r="47" spans="1:29" ht="15">
      <c r="A47" s="607" t="s">
        <v>736</v>
      </c>
      <c r="B47" s="887"/>
      <c r="C47" s="2606" t="s">
        <v>1</v>
      </c>
      <c r="D47" s="2607"/>
      <c r="E47" s="2608"/>
      <c r="F47" s="2609"/>
      <c r="G47" s="2610"/>
      <c r="H47" s="2611"/>
      <c r="I47" s="2608"/>
      <c r="J47" s="2611"/>
      <c r="K47" s="1611"/>
      <c r="L47" s="2144"/>
      <c r="M47" s="2145"/>
      <c r="N47" s="2134"/>
      <c r="O47" s="2145"/>
      <c r="P47" s="3376" t="str">
        <f>A47</f>
        <v>成交单价（元/平方米）</v>
      </c>
      <c r="Q47" s="3376"/>
      <c r="R47" s="3490">
        <f>E47</f>
        <v>0</v>
      </c>
      <c r="S47" s="3490"/>
      <c r="T47" s="3490">
        <f>G47</f>
        <v>0</v>
      </c>
      <c r="U47" s="3490"/>
      <c r="V47" s="3490">
        <f>I47</f>
        <v>0</v>
      </c>
      <c r="W47" s="3490"/>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12"/>
      <c r="L48" s="2144"/>
      <c r="M48" s="2145"/>
      <c r="N48" s="2134"/>
      <c r="O48" s="2145"/>
      <c r="P48" s="3376" t="str">
        <f>A48</f>
        <v>比较价格（元/平方米）</v>
      </c>
      <c r="Q48" s="3376"/>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2929</v>
      </c>
      <c r="B49" s="622"/>
      <c r="C49" s="2615" t="e">
        <f>R49</f>
        <v>#DIV/0!</v>
      </c>
      <c r="D49" s="2615"/>
      <c r="E49" s="2615"/>
      <c r="F49" s="2615"/>
      <c r="G49" s="2615"/>
      <c r="H49" s="2615"/>
      <c r="I49" s="2615"/>
      <c r="J49" s="2615"/>
      <c r="K49" s="1613"/>
      <c r="L49" s="2144"/>
      <c r="M49" s="2145"/>
      <c r="N49" s="2134"/>
      <c r="O49" s="2145"/>
      <c r="P49" s="3373" t="str">
        <f>A49</f>
        <v>估价对象XX用房的比较价格（楼面单价，元/平方米）</v>
      </c>
      <c r="Q49" s="3374"/>
      <c r="R49" s="3489" t="e">
        <f>IF(F1="售价",ROUND(AVERAGE(R48:V48),0),ROUND(AVERAGE(R48:V48),1))</f>
        <v>#DIV/0!</v>
      </c>
      <c r="S49" s="3489"/>
      <c r="T49" s="3489"/>
      <c r="U49" s="3489"/>
      <c r="V49" s="3489"/>
      <c r="W49" s="348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2019-4</v>
      </c>
      <c r="D58" s="2782">
        <f>EDATE(C58,-1)</f>
        <v>43525</v>
      </c>
      <c r="E58" s="2782">
        <f t="shared" ref="E58:O58" si="16">EDATE(D58,-1)</f>
        <v>43497</v>
      </c>
      <c r="F58" s="2782">
        <f t="shared" si="16"/>
        <v>43466</v>
      </c>
      <c r="G58" s="2782">
        <f t="shared" si="16"/>
        <v>43435</v>
      </c>
      <c r="H58" s="2782">
        <f t="shared" si="16"/>
        <v>43405</v>
      </c>
      <c r="I58" s="2782">
        <f t="shared" si="16"/>
        <v>43374</v>
      </c>
      <c r="J58" s="2782">
        <f t="shared" si="16"/>
        <v>43344</v>
      </c>
      <c r="K58" s="2782">
        <f t="shared" si="16"/>
        <v>43313</v>
      </c>
      <c r="L58" s="2782">
        <f t="shared" si="16"/>
        <v>43282</v>
      </c>
      <c r="M58" s="2782">
        <f t="shared" si="16"/>
        <v>43252</v>
      </c>
      <c r="N58" s="2782">
        <f t="shared" si="16"/>
        <v>43221</v>
      </c>
      <c r="O58" s="2782">
        <f t="shared" si="16"/>
        <v>43191</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82" t="s">
        <v>522</v>
      </c>
      <c r="D4" s="3383"/>
      <c r="E4" s="3416" t="s">
        <v>523</v>
      </c>
      <c r="F4" s="3417"/>
      <c r="G4" s="3382" t="s">
        <v>524</v>
      </c>
      <c r="H4" s="3383"/>
      <c r="I4" s="3382" t="s">
        <v>525</v>
      </c>
      <c r="J4" s="3383"/>
      <c r="K4" s="514" t="s">
        <v>526</v>
      </c>
      <c r="L4" s="2133"/>
      <c r="M4" s="2134"/>
      <c r="N4" s="2134"/>
      <c r="O4" s="2134"/>
      <c r="P4" s="3493" t="s">
        <v>527</v>
      </c>
      <c r="Q4" s="3385"/>
      <c r="R4" s="3390" t="s">
        <v>523</v>
      </c>
      <c r="S4" s="3391"/>
      <c r="T4" s="3390" t="s">
        <v>524</v>
      </c>
      <c r="U4" s="3391"/>
      <c r="V4" s="3377" t="s">
        <v>525</v>
      </c>
      <c r="W4" s="3377"/>
      <c r="X4" s="1567"/>
      <c r="Y4" s="3390" t="s">
        <v>527</v>
      </c>
      <c r="Z4" s="3391"/>
      <c r="AA4" s="3379" t="s">
        <v>523</v>
      </c>
      <c r="AB4" s="3379" t="s">
        <v>524</v>
      </c>
      <c r="AC4" s="3379" t="s">
        <v>525</v>
      </c>
    </row>
    <row r="5" spans="1:29" ht="15">
      <c r="A5" s="515"/>
      <c r="B5" s="516"/>
      <c r="C5" s="3398" t="s">
        <v>2923</v>
      </c>
      <c r="D5" s="3399"/>
      <c r="E5" s="3418" t="s">
        <v>2924</v>
      </c>
      <c r="F5" s="3419"/>
      <c r="G5" s="3398" t="s">
        <v>2925</v>
      </c>
      <c r="H5" s="3399"/>
      <c r="I5" s="3398" t="s">
        <v>2926</v>
      </c>
      <c r="J5" s="3399"/>
      <c r="K5" s="514"/>
      <c r="L5" s="2133"/>
      <c r="M5" s="2134"/>
      <c r="N5" s="2134"/>
      <c r="O5" s="2134"/>
      <c r="P5" s="3494"/>
      <c r="Q5" s="3387"/>
      <c r="R5" s="3392"/>
      <c r="S5" s="3393"/>
      <c r="T5" s="3392"/>
      <c r="U5" s="3393"/>
      <c r="V5" s="3377"/>
      <c r="W5" s="3377"/>
      <c r="X5" s="1567"/>
      <c r="Y5" s="3392"/>
      <c r="Z5" s="3393"/>
      <c r="AA5" s="3380"/>
      <c r="AB5" s="3380"/>
      <c r="AC5" s="3380"/>
    </row>
    <row r="6" spans="1:29" ht="15.75" thickBot="1">
      <c r="A6" s="517"/>
      <c r="B6" s="518"/>
      <c r="C6" s="3396" t="s">
        <v>2927</v>
      </c>
      <c r="D6" s="3397"/>
      <c r="E6" s="3414" t="s">
        <v>2927</v>
      </c>
      <c r="F6" s="3415"/>
      <c r="G6" s="3396" t="s">
        <v>2927</v>
      </c>
      <c r="H6" s="3397"/>
      <c r="I6" s="3396" t="s">
        <v>2927</v>
      </c>
      <c r="J6" s="3397"/>
      <c r="K6" s="514" t="s">
        <v>528</v>
      </c>
      <c r="L6" s="2133"/>
      <c r="M6" s="2134"/>
      <c r="N6" s="2134"/>
      <c r="O6" s="2134"/>
      <c r="P6" s="3495"/>
      <c r="Q6" s="3389"/>
      <c r="R6" s="3392"/>
      <c r="S6" s="3393"/>
      <c r="T6" s="3394"/>
      <c r="U6" s="3395"/>
      <c r="V6" s="3377"/>
      <c r="W6" s="3377"/>
      <c r="X6" s="1567"/>
      <c r="Y6" s="3394"/>
      <c r="Z6" s="3395"/>
      <c r="AA6" s="3381"/>
      <c r="AB6" s="3381"/>
      <c r="AC6" s="3381"/>
    </row>
    <row r="7" spans="1:29" s="1220" customFormat="1" ht="15.75" thickBot="1">
      <c r="A7" s="2890"/>
      <c r="B7" s="2897" t="s">
        <v>529</v>
      </c>
      <c r="C7" s="519">
        <f>'数据-取费表'!B2</f>
        <v>43557</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9"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9" t="s">
        <v>533</v>
      </c>
      <c r="Q8" s="3408"/>
      <c r="R8" s="1568" t="s">
        <v>8</v>
      </c>
      <c r="S8" s="1569">
        <f t="shared" si="0"/>
        <v>0</v>
      </c>
      <c r="T8" s="1568" t="s">
        <v>8</v>
      </c>
      <c r="U8" s="1569">
        <f t="shared" si="1"/>
        <v>0</v>
      </c>
      <c r="V8" s="1568" t="s">
        <v>8</v>
      </c>
      <c r="W8" s="1569">
        <f t="shared" si="2"/>
        <v>0</v>
      </c>
      <c r="X8" s="1570"/>
      <c r="Y8" s="3407" t="s">
        <v>533</v>
      </c>
      <c r="Z8" s="3408"/>
      <c r="AA8" s="1571" t="e">
        <f t="shared" ref="AA8:AA47" si="3">D8/F8</f>
        <v>#DIV/0!</v>
      </c>
      <c r="AB8" s="1571" t="e">
        <f t="shared" ref="AB8:AB47" si="4">D8/H8</f>
        <v>#DIV/0!</v>
      </c>
      <c r="AC8" s="1571"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6"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6"/>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6"/>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6"/>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6"/>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15">
      <c r="A15" s="2888" t="s">
        <v>2755</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10" t="s">
        <v>540</v>
      </c>
      <c r="Q15" s="1572" t="str">
        <f t="shared" si="6"/>
        <v>办公集聚程度</v>
      </c>
      <c r="R15" s="1573" t="s">
        <v>8</v>
      </c>
      <c r="S15" s="1574">
        <f t="shared" si="0"/>
        <v>100</v>
      </c>
      <c r="T15" s="1573" t="s">
        <v>8</v>
      </c>
      <c r="U15" s="1574">
        <f t="shared" si="1"/>
        <v>100</v>
      </c>
      <c r="V15" s="1573" t="s">
        <v>8</v>
      </c>
      <c r="W15" s="1574">
        <f t="shared" si="2"/>
        <v>100</v>
      </c>
      <c r="X15" s="1567"/>
      <c r="Y15" s="3410"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411"/>
      <c r="Q16" s="1572"/>
      <c r="R16" s="1573"/>
      <c r="S16" s="1574"/>
      <c r="T16" s="1573"/>
      <c r="U16" s="1574"/>
      <c r="V16" s="1573"/>
      <c r="W16" s="1574"/>
      <c r="X16" s="1567"/>
      <c r="Y16" s="3411"/>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411"/>
      <c r="Q18" s="1572"/>
      <c r="R18" s="1573"/>
      <c r="S18" s="1574"/>
      <c r="T18" s="1573"/>
      <c r="U18" s="1574"/>
      <c r="V18" s="1573"/>
      <c r="W18" s="1574"/>
      <c r="X18" s="1567"/>
      <c r="Y18" s="3411"/>
      <c r="Z18" s="1575"/>
      <c r="AA18" s="1576">
        <v>1</v>
      </c>
      <c r="AB18" s="1576">
        <v>1</v>
      </c>
      <c r="AC18" s="1576">
        <v>1</v>
      </c>
    </row>
    <row r="19" spans="1:29" ht="15">
      <c r="A19" s="532"/>
      <c r="B19" s="2582" t="s">
        <v>2547</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411"/>
      <c r="Q20" s="1572"/>
      <c r="R20" s="1573"/>
      <c r="S20" s="1574"/>
      <c r="T20" s="1573"/>
      <c r="U20" s="1574"/>
      <c r="V20" s="1573"/>
      <c r="W20" s="1574"/>
      <c r="X20" s="1567"/>
      <c r="Y20" s="3411"/>
      <c r="Z20" s="1575"/>
      <c r="AA20" s="1576">
        <v>1</v>
      </c>
      <c r="AB20" s="1576">
        <v>1</v>
      </c>
      <c r="AC20" s="1576">
        <v>1</v>
      </c>
    </row>
    <row r="21" spans="1:29" ht="15">
      <c r="A21" s="532"/>
      <c r="B21" s="2570" t="s">
        <v>2559</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11"/>
      <c r="Q22" s="2558"/>
      <c r="R22" s="1573"/>
      <c r="S22" s="1574"/>
      <c r="T22" s="1573"/>
      <c r="U22" s="1574"/>
      <c r="V22" s="1573"/>
      <c r="W22" s="1574"/>
      <c r="X22" s="2560"/>
      <c r="Y22" s="3411"/>
      <c r="Z22" s="2559"/>
      <c r="AA22" s="1576">
        <v>1</v>
      </c>
      <c r="AB22" s="1576">
        <v>1</v>
      </c>
      <c r="AC22" s="1576">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411"/>
      <c r="Q24" s="1572"/>
      <c r="R24" s="1573"/>
      <c r="S24" s="1574"/>
      <c r="T24" s="1573"/>
      <c r="U24" s="1574"/>
      <c r="V24" s="1573"/>
      <c r="W24" s="1574"/>
      <c r="X24" s="1567"/>
      <c r="Y24" s="3411"/>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1"/>
      <c r="Q25" s="1572" t="str">
        <f>B25</f>
        <v>毗邻道路的类型与等级</v>
      </c>
      <c r="R25" s="1573" t="s">
        <v>8</v>
      </c>
      <c r="S25" s="1574">
        <f>F25</f>
        <v>100</v>
      </c>
      <c r="T25" s="1573" t="s">
        <v>8</v>
      </c>
      <c r="U25" s="1574">
        <f>H25</f>
        <v>100</v>
      </c>
      <c r="V25" s="1573" t="s">
        <v>8</v>
      </c>
      <c r="W25" s="1574">
        <f>J25</f>
        <v>100</v>
      </c>
      <c r="X25" s="1567"/>
      <c r="Y25" s="341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11"/>
      <c r="Q26" s="1572"/>
      <c r="R26" s="1573"/>
      <c r="S26" s="1574"/>
      <c r="T26" s="1573"/>
      <c r="U26" s="1574"/>
      <c r="V26" s="1573"/>
      <c r="W26" s="1574"/>
      <c r="X26" s="1567"/>
      <c r="Y26" s="3411"/>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1"/>
      <c r="Q27" s="1572" t="str">
        <f t="shared" ref="Q27:Q47" si="11">B27</f>
        <v>楼层</v>
      </c>
      <c r="R27" s="1573" t="s">
        <v>8</v>
      </c>
      <c r="S27" s="1574">
        <f>F27</f>
        <v>100</v>
      </c>
      <c r="T27" s="1573" t="s">
        <v>8</v>
      </c>
      <c r="U27" s="1574">
        <f>H27</f>
        <v>100</v>
      </c>
      <c r="V27" s="1573" t="s">
        <v>8</v>
      </c>
      <c r="W27" s="1574">
        <f>J27</f>
        <v>100</v>
      </c>
      <c r="X27" s="1567"/>
      <c r="Y27" s="3411"/>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1"/>
      <c r="Q28" s="1151" t="str">
        <f t="shared" si="11"/>
        <v>朝向</v>
      </c>
      <c r="R28" s="1568" t="s">
        <v>8</v>
      </c>
      <c r="S28" s="1569">
        <f>F28</f>
        <v>100</v>
      </c>
      <c r="T28" s="1568" t="s">
        <v>8</v>
      </c>
      <c r="U28" s="1569">
        <f>H28</f>
        <v>100</v>
      </c>
      <c r="V28" s="1568" t="s">
        <v>8</v>
      </c>
      <c r="W28" s="1569">
        <f>J28</f>
        <v>100</v>
      </c>
      <c r="X28" s="1570"/>
      <c r="Y28" s="341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1"/>
      <c r="Q29" s="1572">
        <f t="shared" si="11"/>
        <v>111</v>
      </c>
      <c r="R29" s="1573" t="s">
        <v>8</v>
      </c>
      <c r="S29" s="1574">
        <f t="shared" ref="S29:S47" si="12">F29</f>
        <v>100</v>
      </c>
      <c r="T29" s="1573" t="s">
        <v>8</v>
      </c>
      <c r="U29" s="1574">
        <f t="shared" ref="U29:U47" si="13">H29</f>
        <v>100</v>
      </c>
      <c r="V29" s="1573" t="s">
        <v>8</v>
      </c>
      <c r="W29" s="1574">
        <f t="shared" ref="W29:W47" si="14">J29</f>
        <v>100</v>
      </c>
      <c r="X29" s="1567"/>
      <c r="Y29" s="341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1"/>
      <c r="Q32" s="1572">
        <f t="shared" si="11"/>
        <v>111</v>
      </c>
      <c r="R32" s="1573" t="s">
        <v>8</v>
      </c>
      <c r="S32" s="1574">
        <f t="shared" si="12"/>
        <v>100</v>
      </c>
      <c r="T32" s="1573" t="s">
        <v>8</v>
      </c>
      <c r="U32" s="1574">
        <f t="shared" si="13"/>
        <v>100</v>
      </c>
      <c r="V32" s="1573" t="s">
        <v>8</v>
      </c>
      <c r="W32" s="1574">
        <f t="shared" si="14"/>
        <v>100</v>
      </c>
      <c r="X32" s="1567"/>
      <c r="Y32" s="3411"/>
      <c r="Z32" s="1575">
        <f t="shared" si="15"/>
        <v>111</v>
      </c>
      <c r="AA32" s="1576">
        <f t="shared" si="3"/>
        <v>1</v>
      </c>
      <c r="AB32" s="1576">
        <f t="shared" si="4"/>
        <v>1</v>
      </c>
      <c r="AC32" s="1576">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2" t="s">
        <v>550</v>
      </c>
      <c r="Q33" s="1572" t="str">
        <f t="shared" si="11"/>
        <v>建筑类型</v>
      </c>
      <c r="R33" s="1573" t="s">
        <v>8</v>
      </c>
      <c r="S33" s="1574">
        <f t="shared" si="12"/>
        <v>100</v>
      </c>
      <c r="T33" s="1573" t="s">
        <v>8</v>
      </c>
      <c r="U33" s="1574">
        <f t="shared" si="13"/>
        <v>100</v>
      </c>
      <c r="V33" s="1573" t="s">
        <v>8</v>
      </c>
      <c r="W33" s="1574">
        <f t="shared" si="14"/>
        <v>100</v>
      </c>
      <c r="X33" s="1567"/>
      <c r="Y33" s="3413"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3"/>
      <c r="Q34" s="1605" t="str">
        <f t="shared" si="11"/>
        <v>项目建筑规模</v>
      </c>
      <c r="R34" s="1577" t="s">
        <v>8</v>
      </c>
      <c r="S34" s="1578" t="e">
        <f t="shared" si="12"/>
        <v>#N/A</v>
      </c>
      <c r="T34" s="1577" t="s">
        <v>8</v>
      </c>
      <c r="U34" s="1578" t="e">
        <f t="shared" si="13"/>
        <v>#N/A</v>
      </c>
      <c r="V34" s="1577" t="s">
        <v>8</v>
      </c>
      <c r="W34" s="1578" t="e">
        <f t="shared" si="14"/>
        <v>#N/A</v>
      </c>
      <c r="X34" s="1579"/>
      <c r="Y34" s="3413"/>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3"/>
      <c r="Q35" s="1572" t="str">
        <f t="shared" si="11"/>
        <v>建筑结构</v>
      </c>
      <c r="R35" s="1573" t="s">
        <v>8</v>
      </c>
      <c r="S35" s="1574">
        <f t="shared" si="12"/>
        <v>100</v>
      </c>
      <c r="T35" s="1573" t="s">
        <v>8</v>
      </c>
      <c r="U35" s="1574">
        <f t="shared" si="13"/>
        <v>100</v>
      </c>
      <c r="V35" s="1573" t="s">
        <v>8</v>
      </c>
      <c r="W35" s="1574">
        <f t="shared" si="14"/>
        <v>100</v>
      </c>
      <c r="X35" s="1567"/>
      <c r="Y35" s="3413"/>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3"/>
      <c r="Q36" s="1572" t="str">
        <f t="shared" si="11"/>
        <v>公共部分装修</v>
      </c>
      <c r="R36" s="1573" t="s">
        <v>8</v>
      </c>
      <c r="S36" s="1574">
        <f t="shared" si="12"/>
        <v>100</v>
      </c>
      <c r="T36" s="1573" t="s">
        <v>8</v>
      </c>
      <c r="U36" s="1574">
        <f t="shared" si="13"/>
        <v>100</v>
      </c>
      <c r="V36" s="1573" t="s">
        <v>8</v>
      </c>
      <c r="W36" s="1574">
        <f t="shared" si="14"/>
        <v>100</v>
      </c>
      <c r="X36" s="1567"/>
      <c r="Y36" s="3413"/>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3"/>
      <c r="Q37" s="1572" t="str">
        <f t="shared" si="11"/>
        <v>成新度</v>
      </c>
      <c r="R37" s="1573" t="s">
        <v>8</v>
      </c>
      <c r="S37" s="1574" t="e">
        <f t="shared" si="12"/>
        <v>#N/A</v>
      </c>
      <c r="T37" s="1573" t="s">
        <v>8</v>
      </c>
      <c r="U37" s="1574" t="e">
        <f t="shared" si="13"/>
        <v>#N/A</v>
      </c>
      <c r="V37" s="1573" t="s">
        <v>8</v>
      </c>
      <c r="W37" s="1574" t="e">
        <f t="shared" si="14"/>
        <v>#N/A</v>
      </c>
      <c r="X37" s="1567"/>
      <c r="Y37" s="3413"/>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3"/>
      <c r="Q38" s="1151" t="str">
        <f t="shared" si="11"/>
        <v>写字楼等级</v>
      </c>
      <c r="R38" s="1568" t="s">
        <v>8</v>
      </c>
      <c r="S38" s="1569">
        <f t="shared" si="12"/>
        <v>100</v>
      </c>
      <c r="T38" s="1568" t="s">
        <v>8</v>
      </c>
      <c r="U38" s="1569">
        <f t="shared" si="13"/>
        <v>100</v>
      </c>
      <c r="V38" s="1568" t="s">
        <v>8</v>
      </c>
      <c r="W38" s="1569">
        <f t="shared" si="14"/>
        <v>100</v>
      </c>
      <c r="X38" s="1570"/>
      <c r="Y38" s="3413"/>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3" t="s">
        <v>550</v>
      </c>
      <c r="Q39" s="1572" t="str">
        <f t="shared" si="11"/>
        <v>物业管理</v>
      </c>
      <c r="R39" s="1573" t="s">
        <v>8</v>
      </c>
      <c r="S39" s="1574">
        <f t="shared" si="12"/>
        <v>100</v>
      </c>
      <c r="T39" s="1573" t="s">
        <v>8</v>
      </c>
      <c r="U39" s="1574">
        <f t="shared" si="13"/>
        <v>100</v>
      </c>
      <c r="V39" s="1573" t="s">
        <v>8</v>
      </c>
      <c r="W39" s="1574">
        <f t="shared" si="14"/>
        <v>100</v>
      </c>
      <c r="X39" s="1567"/>
      <c r="Y39" s="3413"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3"/>
      <c r="Q40" s="1572" t="str">
        <f t="shared" si="11"/>
        <v>市政基础设施</v>
      </c>
      <c r="R40" s="1573" t="s">
        <v>8</v>
      </c>
      <c r="S40" s="1574">
        <f t="shared" si="12"/>
        <v>100</v>
      </c>
      <c r="T40" s="1573" t="s">
        <v>8</v>
      </c>
      <c r="U40" s="1574">
        <f t="shared" si="13"/>
        <v>100</v>
      </c>
      <c r="V40" s="1573" t="s">
        <v>8</v>
      </c>
      <c r="W40" s="1574">
        <f t="shared" si="14"/>
        <v>100</v>
      </c>
      <c r="X40" s="1567"/>
      <c r="Y40" s="3413"/>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3"/>
      <c r="Q41" s="1572" t="str">
        <f t="shared" si="11"/>
        <v>层高</v>
      </c>
      <c r="R41" s="1573" t="s">
        <v>8</v>
      </c>
      <c r="S41" s="1574">
        <f t="shared" si="12"/>
        <v>100</v>
      </c>
      <c r="T41" s="1573" t="s">
        <v>8</v>
      </c>
      <c r="U41" s="1574">
        <f t="shared" si="13"/>
        <v>100</v>
      </c>
      <c r="V41" s="1573" t="s">
        <v>8</v>
      </c>
      <c r="W41" s="1574">
        <f t="shared" si="14"/>
        <v>100</v>
      </c>
      <c r="X41" s="1567"/>
      <c r="Y41" s="3413"/>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3"/>
      <c r="Q42" s="1605" t="str">
        <f t="shared" si="11"/>
        <v>单套建筑面积</v>
      </c>
      <c r="R42" s="1577" t="s">
        <v>8</v>
      </c>
      <c r="S42" s="1578">
        <f t="shared" si="12"/>
        <v>100</v>
      </c>
      <c r="T42" s="1577" t="s">
        <v>8</v>
      </c>
      <c r="U42" s="1578">
        <f t="shared" si="13"/>
        <v>100</v>
      </c>
      <c r="V42" s="1577" t="s">
        <v>8</v>
      </c>
      <c r="W42" s="1578">
        <f t="shared" si="14"/>
        <v>100</v>
      </c>
      <c r="X42" s="1579"/>
      <c r="Y42" s="3413"/>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3"/>
      <c r="Q43" s="1572" t="str">
        <f t="shared" si="11"/>
        <v>内部装修</v>
      </c>
      <c r="R43" s="1573" t="s">
        <v>8</v>
      </c>
      <c r="S43" s="1574">
        <f t="shared" si="12"/>
        <v>100</v>
      </c>
      <c r="T43" s="1573" t="s">
        <v>8</v>
      </c>
      <c r="U43" s="1574">
        <f t="shared" si="13"/>
        <v>100</v>
      </c>
      <c r="V43" s="1573" t="s">
        <v>8</v>
      </c>
      <c r="W43" s="1574">
        <f t="shared" si="14"/>
        <v>100</v>
      </c>
      <c r="X43" s="1567"/>
      <c r="Y43" s="3413"/>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3"/>
      <c r="Q44" s="1572" t="str">
        <f t="shared" si="11"/>
        <v>内部装修维护情况</v>
      </c>
      <c r="R44" s="1573" t="s">
        <v>8</v>
      </c>
      <c r="S44" s="1574">
        <f t="shared" si="12"/>
        <v>100</v>
      </c>
      <c r="T44" s="1573" t="s">
        <v>8</v>
      </c>
      <c r="U44" s="1574">
        <f t="shared" si="13"/>
        <v>100</v>
      </c>
      <c r="V44" s="1573" t="s">
        <v>8</v>
      </c>
      <c r="W44" s="1574">
        <f t="shared" si="14"/>
        <v>100</v>
      </c>
      <c r="X44" s="1567"/>
      <c r="Y44" s="341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3"/>
      <c r="Q45" s="1151">
        <f t="shared" si="11"/>
        <v>111</v>
      </c>
      <c r="R45" s="1568" t="s">
        <v>8</v>
      </c>
      <c r="S45" s="1569">
        <f t="shared" si="12"/>
        <v>100</v>
      </c>
      <c r="T45" s="1568" t="s">
        <v>8</v>
      </c>
      <c r="U45" s="1569">
        <f t="shared" si="13"/>
        <v>100</v>
      </c>
      <c r="V45" s="1568" t="s">
        <v>8</v>
      </c>
      <c r="W45" s="1569">
        <f t="shared" si="14"/>
        <v>100</v>
      </c>
      <c r="X45" s="1570"/>
      <c r="Y45" s="341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3"/>
      <c r="Q46" s="1572">
        <f t="shared" si="11"/>
        <v>111</v>
      </c>
      <c r="R46" s="1573" t="s">
        <v>8</v>
      </c>
      <c r="S46" s="1574">
        <f t="shared" si="12"/>
        <v>100</v>
      </c>
      <c r="T46" s="1573" t="s">
        <v>8</v>
      </c>
      <c r="U46" s="1574">
        <f t="shared" si="13"/>
        <v>100</v>
      </c>
      <c r="V46" s="1573" t="s">
        <v>8</v>
      </c>
      <c r="W46" s="1574">
        <f t="shared" si="14"/>
        <v>100</v>
      </c>
      <c r="X46" s="1567"/>
      <c r="Y46" s="341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1"/>
      <c r="Q47" s="1572">
        <f t="shared" si="11"/>
        <v>111</v>
      </c>
      <c r="R47" s="1573" t="s">
        <v>8</v>
      </c>
      <c r="S47" s="1574">
        <f t="shared" si="12"/>
        <v>100</v>
      </c>
      <c r="T47" s="1573" t="s">
        <v>8</v>
      </c>
      <c r="U47" s="1574">
        <f t="shared" si="13"/>
        <v>100</v>
      </c>
      <c r="V47" s="1573" t="s">
        <v>8</v>
      </c>
      <c r="W47" s="1574">
        <f t="shared" si="14"/>
        <v>100</v>
      </c>
      <c r="X47" s="1567"/>
      <c r="Y47" s="3491"/>
      <c r="Z47" s="1575">
        <f t="shared" si="15"/>
        <v>111</v>
      </c>
      <c r="AA47" s="1576">
        <f t="shared" si="3"/>
        <v>1</v>
      </c>
      <c r="AB47" s="1576">
        <f t="shared" si="4"/>
        <v>1</v>
      </c>
      <c r="AC47" s="1576">
        <f t="shared" si="5"/>
        <v>1</v>
      </c>
    </row>
    <row r="48" spans="1:29" ht="15">
      <c r="A48" s="607" t="s">
        <v>736</v>
      </c>
      <c r="B48" s="887"/>
      <c r="C48" s="2606" t="s">
        <v>1</v>
      </c>
      <c r="D48" s="2607"/>
      <c r="E48" s="2608"/>
      <c r="F48" s="2609"/>
      <c r="G48" s="2610"/>
      <c r="H48" s="2611"/>
      <c r="I48" s="2608"/>
      <c r="J48" s="2611"/>
      <c r="K48" s="1611"/>
      <c r="L48" s="2144"/>
      <c r="M48" s="2134"/>
      <c r="N48" s="2134"/>
      <c r="O48" s="2134"/>
      <c r="P48" s="3374" t="str">
        <f>A48</f>
        <v>成交单价（元/平方米）</v>
      </c>
      <c r="Q48" s="3376"/>
      <c r="R48" s="3490">
        <f>E48</f>
        <v>0</v>
      </c>
      <c r="S48" s="3490"/>
      <c r="T48" s="3490">
        <f>G48</f>
        <v>0</v>
      </c>
      <c r="U48" s="3490"/>
      <c r="V48" s="3490">
        <f>I48</f>
        <v>0</v>
      </c>
      <c r="W48" s="3490"/>
      <c r="X48" s="1559"/>
      <c r="Y48" s="1581"/>
      <c r="Z48" s="1559"/>
      <c r="AA48" s="1559"/>
      <c r="AB48" s="1559"/>
      <c r="AC48" s="1559"/>
    </row>
    <row r="49" spans="1:29" ht="15.75" thickBot="1">
      <c r="A49" s="615" t="s">
        <v>2761</v>
      </c>
      <c r="B49" s="888"/>
      <c r="C49" s="2612" t="e">
        <f>R50</f>
        <v>#DIV/0!</v>
      </c>
      <c r="D49" s="2613"/>
      <c r="E49" s="2614" t="e">
        <f>R49</f>
        <v>#DIV/0!</v>
      </c>
      <c r="F49" s="2614"/>
      <c r="G49" s="2612" t="e">
        <f>T49</f>
        <v>#DIV/0!</v>
      </c>
      <c r="H49" s="2613"/>
      <c r="I49" s="2614" t="e">
        <f>V49</f>
        <v>#DIV/0!</v>
      </c>
      <c r="J49" s="2613"/>
      <c r="K49" s="1612"/>
      <c r="L49" s="2144"/>
      <c r="M49" s="2134"/>
      <c r="N49" s="2134"/>
      <c r="O49" s="2134"/>
      <c r="P49" s="3374" t="str">
        <f>A49</f>
        <v>比较价格（元/平方米）</v>
      </c>
      <c r="Q49" s="3376"/>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9"/>
      <c r="Y49" s="1559"/>
      <c r="Z49" s="1559"/>
      <c r="AA49" s="1559"/>
      <c r="AB49" s="1559"/>
      <c r="AC49" s="1559"/>
    </row>
    <row r="50" spans="1:29" ht="15.75" thickBot="1">
      <c r="A50" s="621" t="s">
        <v>2929</v>
      </c>
      <c r="B50" s="622"/>
      <c r="C50" s="2615" t="e">
        <f>R50</f>
        <v>#DIV/0!</v>
      </c>
      <c r="D50" s="2615"/>
      <c r="E50" s="2615"/>
      <c r="F50" s="2615"/>
      <c r="G50" s="2615"/>
      <c r="H50" s="2615"/>
      <c r="I50" s="2615"/>
      <c r="J50" s="2615"/>
      <c r="K50" s="1613"/>
      <c r="L50" s="2144"/>
      <c r="M50" s="2134"/>
      <c r="N50" s="2134"/>
      <c r="O50" s="2134"/>
      <c r="P50" s="3492" t="str">
        <f>A50</f>
        <v>估价对象XX用房的比较价格（楼面单价，元/平方米）</v>
      </c>
      <c r="Q50" s="3374"/>
      <c r="R50" s="3489" t="e">
        <f>IF(F1="售价",ROUND(AVERAGE(R49:V49),0),ROUND(AVERAGE(R49:V49),1))</f>
        <v>#DIV/0!</v>
      </c>
      <c r="S50" s="3489"/>
      <c r="T50" s="3489"/>
      <c r="U50" s="3489"/>
      <c r="V50" s="3489"/>
      <c r="W50" s="348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2019-4</v>
      </c>
      <c r="D59" s="2782">
        <f>EDATE(C59,-1)</f>
        <v>43525</v>
      </c>
      <c r="E59" s="2782">
        <f t="shared" ref="E59:O59" si="16">EDATE(D59,-1)</f>
        <v>43497</v>
      </c>
      <c r="F59" s="2782">
        <f t="shared" si="16"/>
        <v>43466</v>
      </c>
      <c r="G59" s="2782">
        <f t="shared" si="16"/>
        <v>43435</v>
      </c>
      <c r="H59" s="2782">
        <f t="shared" si="16"/>
        <v>43405</v>
      </c>
      <c r="I59" s="2782">
        <f t="shared" si="16"/>
        <v>43374</v>
      </c>
      <c r="J59" s="2782">
        <f t="shared" si="16"/>
        <v>43344</v>
      </c>
      <c r="K59" s="2782">
        <f t="shared" si="16"/>
        <v>43313</v>
      </c>
      <c r="L59" s="2782">
        <f t="shared" si="16"/>
        <v>43282</v>
      </c>
      <c r="M59" s="2782">
        <f t="shared" si="16"/>
        <v>43252</v>
      </c>
      <c r="N59" s="2782">
        <f t="shared" si="16"/>
        <v>43221</v>
      </c>
      <c r="O59" s="2782">
        <f t="shared" si="16"/>
        <v>43191</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82" t="s">
        <v>522</v>
      </c>
      <c r="D4" s="3383"/>
      <c r="E4" s="3416" t="s">
        <v>523</v>
      </c>
      <c r="F4" s="3417"/>
      <c r="G4" s="3382" t="s">
        <v>524</v>
      </c>
      <c r="H4" s="3383"/>
      <c r="I4" s="3382" t="s">
        <v>525</v>
      </c>
      <c r="J4" s="3383"/>
      <c r="K4" s="514" t="s">
        <v>526</v>
      </c>
      <c r="L4" s="2133"/>
      <c r="M4" s="2134"/>
      <c r="N4" s="2134"/>
      <c r="O4" s="2134"/>
      <c r="P4" s="3384" t="s">
        <v>527</v>
      </c>
      <c r="Q4" s="3385"/>
      <c r="R4" s="3390" t="s">
        <v>523</v>
      </c>
      <c r="S4" s="3391"/>
      <c r="T4" s="3390" t="s">
        <v>524</v>
      </c>
      <c r="U4" s="3391"/>
      <c r="V4" s="3377" t="s">
        <v>525</v>
      </c>
      <c r="W4" s="3377"/>
      <c r="X4" s="1567"/>
      <c r="Y4" s="3390" t="s">
        <v>527</v>
      </c>
      <c r="Z4" s="3391"/>
      <c r="AA4" s="3379" t="s">
        <v>523</v>
      </c>
      <c r="AB4" s="3380" t="s">
        <v>524</v>
      </c>
      <c r="AC4" s="3379" t="s">
        <v>525</v>
      </c>
    </row>
    <row r="5" spans="1:29" ht="15">
      <c r="A5" s="515"/>
      <c r="B5" s="516"/>
      <c r="C5" s="3398" t="s">
        <v>2923</v>
      </c>
      <c r="D5" s="3399"/>
      <c r="E5" s="3418" t="s">
        <v>2924</v>
      </c>
      <c r="F5" s="3419"/>
      <c r="G5" s="3398" t="s">
        <v>2925</v>
      </c>
      <c r="H5" s="3399"/>
      <c r="I5" s="3398" t="s">
        <v>2926</v>
      </c>
      <c r="J5" s="3399"/>
      <c r="K5" s="514"/>
      <c r="L5" s="2133"/>
      <c r="M5" s="2134"/>
      <c r="N5" s="2134"/>
      <c r="O5" s="2134"/>
      <c r="P5" s="3386"/>
      <c r="Q5" s="3387"/>
      <c r="R5" s="3392"/>
      <c r="S5" s="3393"/>
      <c r="T5" s="3392"/>
      <c r="U5" s="3393"/>
      <c r="V5" s="3377"/>
      <c r="W5" s="3377"/>
      <c r="X5" s="1567"/>
      <c r="Y5" s="3392"/>
      <c r="Z5" s="3393"/>
      <c r="AA5" s="3380"/>
      <c r="AB5" s="3380"/>
      <c r="AC5" s="3380"/>
    </row>
    <row r="6" spans="1:29" ht="15.75" thickBot="1">
      <c r="A6" s="517"/>
      <c r="B6" s="518"/>
      <c r="C6" s="3396" t="s">
        <v>2927</v>
      </c>
      <c r="D6" s="3397"/>
      <c r="E6" s="3414" t="s">
        <v>2927</v>
      </c>
      <c r="F6" s="3415"/>
      <c r="G6" s="3396" t="s">
        <v>2927</v>
      </c>
      <c r="H6" s="3397"/>
      <c r="I6" s="3396" t="s">
        <v>2927</v>
      </c>
      <c r="J6" s="3397"/>
      <c r="K6" s="514" t="s">
        <v>528</v>
      </c>
      <c r="L6" s="2133"/>
      <c r="M6" s="2134"/>
      <c r="N6" s="2134"/>
      <c r="O6" s="2134"/>
      <c r="P6" s="3388"/>
      <c r="Q6" s="3389"/>
      <c r="R6" s="3392"/>
      <c r="S6" s="3393"/>
      <c r="T6" s="3394"/>
      <c r="U6" s="3395"/>
      <c r="V6" s="3377"/>
      <c r="W6" s="3377"/>
      <c r="X6" s="1567"/>
      <c r="Y6" s="3394"/>
      <c r="Z6" s="3395"/>
      <c r="AA6" s="3381"/>
      <c r="AB6" s="3381"/>
      <c r="AC6" s="3381"/>
    </row>
    <row r="7" spans="1:29" s="1220" customFormat="1" ht="15.75" thickBot="1">
      <c r="A7" s="2890"/>
      <c r="B7" s="2897" t="s">
        <v>529</v>
      </c>
      <c r="C7" s="519">
        <f>'数据-取费表'!B2</f>
        <v>43557</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7" t="s">
        <v>530</v>
      </c>
      <c r="Q7" s="3409"/>
      <c r="R7" s="1568" t="s">
        <v>8</v>
      </c>
      <c r="S7" s="1569">
        <f t="shared" ref="S7:S15" si="0">F7</f>
        <v>0</v>
      </c>
      <c r="T7" s="1568" t="s">
        <v>8</v>
      </c>
      <c r="U7" s="1569">
        <f t="shared" ref="U7:U15" si="1">H7</f>
        <v>0</v>
      </c>
      <c r="V7" s="1568" t="s">
        <v>8</v>
      </c>
      <c r="W7" s="1569">
        <f t="shared" ref="W7:W15"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40" si="3">D8/F8</f>
        <v>#DIV/0!</v>
      </c>
      <c r="AB8" s="1571" t="e">
        <f t="shared" ref="AB8:AB40" si="4">D8/H8</f>
        <v>#DIV/0!</v>
      </c>
      <c r="AC8" s="1571"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6"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6"/>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6"/>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15">
      <c r="A15" s="2888" t="s">
        <v>2755</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10" t="s">
        <v>540</v>
      </c>
      <c r="Q15" s="1572" t="str">
        <f t="shared" si="6"/>
        <v>产业集聚程度</v>
      </c>
      <c r="R15" s="1573" t="s">
        <v>8</v>
      </c>
      <c r="S15" s="1574">
        <f t="shared" si="0"/>
        <v>100</v>
      </c>
      <c r="T15" s="1573" t="s">
        <v>8</v>
      </c>
      <c r="U15" s="1574">
        <f t="shared" si="1"/>
        <v>100</v>
      </c>
      <c r="V15" s="1573" t="s">
        <v>8</v>
      </c>
      <c r="W15" s="1574">
        <f t="shared" si="2"/>
        <v>100</v>
      </c>
      <c r="X15" s="1567"/>
      <c r="Y15" s="3410"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11"/>
      <c r="Q16" s="1572"/>
      <c r="R16" s="1573"/>
      <c r="S16" s="1574"/>
      <c r="T16" s="1573"/>
      <c r="U16" s="1574"/>
      <c r="V16" s="1573"/>
      <c r="W16" s="1574"/>
      <c r="X16" s="1567"/>
      <c r="Y16" s="3411"/>
      <c r="Z16" s="1575"/>
      <c r="AA16" s="1576">
        <v>1</v>
      </c>
      <c r="AB16" s="1576">
        <v>1</v>
      </c>
      <c r="AC16" s="1576">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11"/>
      <c r="Q18" s="1572"/>
      <c r="R18" s="1573"/>
      <c r="S18" s="1574"/>
      <c r="T18" s="1573"/>
      <c r="U18" s="1574"/>
      <c r="V18" s="1573"/>
      <c r="W18" s="1574"/>
      <c r="X18" s="1567"/>
      <c r="Y18" s="3411"/>
      <c r="Z18" s="1575"/>
      <c r="AA18" s="1576">
        <v>1</v>
      </c>
      <c r="AB18" s="1576">
        <v>1</v>
      </c>
      <c r="AC18" s="1576">
        <v>1</v>
      </c>
    </row>
    <row r="19" spans="1:29" ht="15">
      <c r="A19" s="532"/>
      <c r="B19" s="2582" t="s">
        <v>2547</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11"/>
      <c r="Q20" s="1572"/>
      <c r="R20" s="1573"/>
      <c r="S20" s="1574"/>
      <c r="T20" s="1573"/>
      <c r="U20" s="1574"/>
      <c r="V20" s="1573"/>
      <c r="W20" s="1574"/>
      <c r="X20" s="1567"/>
      <c r="Y20" s="3411"/>
      <c r="Z20" s="1575"/>
      <c r="AA20" s="1576">
        <v>1</v>
      </c>
      <c r="AB20" s="1576">
        <v>1</v>
      </c>
      <c r="AC20" s="1576">
        <v>1</v>
      </c>
    </row>
    <row r="21" spans="1:29" ht="15">
      <c r="A21" s="532"/>
      <c r="B21" s="2570" t="s">
        <v>2559</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1"/>
      <c r="Q21" s="2558" t="str">
        <f>B21</f>
        <v>基础设施水平</v>
      </c>
      <c r="R21" s="1573" t="s">
        <v>8</v>
      </c>
      <c r="S21" s="1574">
        <f>F21</f>
        <v>100</v>
      </c>
      <c r="T21" s="1573" t="s">
        <v>8</v>
      </c>
      <c r="U21" s="1574">
        <f>H21</f>
        <v>100</v>
      </c>
      <c r="V21" s="1573" t="s">
        <v>8</v>
      </c>
      <c r="W21" s="1574">
        <f>J21</f>
        <v>100</v>
      </c>
      <c r="X21" s="2560"/>
      <c r="Y21" s="3411"/>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11"/>
      <c r="Q22" s="2558"/>
      <c r="R22" s="1573"/>
      <c r="S22" s="1574"/>
      <c r="T22" s="1573"/>
      <c r="U22" s="1574"/>
      <c r="V22" s="1573"/>
      <c r="W22" s="1574"/>
      <c r="X22" s="2560"/>
      <c r="Y22" s="3411"/>
      <c r="Z22" s="2559"/>
      <c r="AA22" s="1576">
        <v>1</v>
      </c>
      <c r="AB22" s="1576">
        <v>1</v>
      </c>
      <c r="AC22" s="1576">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11"/>
      <c r="Q24" s="1572"/>
      <c r="R24" s="1573"/>
      <c r="S24" s="1574"/>
      <c r="T24" s="1573"/>
      <c r="U24" s="1574"/>
      <c r="V24" s="1573"/>
      <c r="W24" s="1574"/>
      <c r="X24" s="1567"/>
      <c r="Y24" s="341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1"/>
      <c r="Q25" s="1572">
        <f>B25</f>
        <v>111</v>
      </c>
      <c r="R25" s="1573" t="s">
        <v>8</v>
      </c>
      <c r="S25" s="1574">
        <f>F25</f>
        <v>100</v>
      </c>
      <c r="T25" s="1573" t="s">
        <v>8</v>
      </c>
      <c r="U25" s="1574">
        <f>H25</f>
        <v>100</v>
      </c>
      <c r="V25" s="1573" t="s">
        <v>8</v>
      </c>
      <c r="W25" s="1574">
        <f>J25</f>
        <v>100</v>
      </c>
      <c r="X25" s="1567"/>
      <c r="Y25" s="341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1"/>
      <c r="Q26" s="1572">
        <f t="shared" ref="Q26:Q40" si="11">B26</f>
        <v>111</v>
      </c>
      <c r="R26" s="1573" t="s">
        <v>8</v>
      </c>
      <c r="S26" s="1574">
        <f>F26</f>
        <v>100</v>
      </c>
      <c r="T26" s="1573" t="s">
        <v>8</v>
      </c>
      <c r="U26" s="1574">
        <f>H26</f>
        <v>100</v>
      </c>
      <c r="V26" s="1573" t="s">
        <v>8</v>
      </c>
      <c r="W26" s="1574">
        <f>J26</f>
        <v>100</v>
      </c>
      <c r="X26" s="1567"/>
      <c r="Y26" s="341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1"/>
      <c r="Q27" s="1151">
        <f t="shared" si="11"/>
        <v>111</v>
      </c>
      <c r="R27" s="1568" t="s">
        <v>8</v>
      </c>
      <c r="S27" s="1569">
        <f>F27</f>
        <v>100</v>
      </c>
      <c r="T27" s="1568" t="s">
        <v>8</v>
      </c>
      <c r="U27" s="1569">
        <f>H27</f>
        <v>100</v>
      </c>
      <c r="V27" s="1568" t="s">
        <v>8</v>
      </c>
      <c r="W27" s="1569">
        <f>J27</f>
        <v>100</v>
      </c>
      <c r="X27" s="1570"/>
      <c r="Y27" s="341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1"/>
      <c r="Q28" s="1572">
        <f t="shared" si="11"/>
        <v>111</v>
      </c>
      <c r="R28" s="1573" t="s">
        <v>8</v>
      </c>
      <c r="S28" s="1574">
        <f t="shared" ref="S28:S40" si="12">F28</f>
        <v>100</v>
      </c>
      <c r="T28" s="1573" t="s">
        <v>8</v>
      </c>
      <c r="U28" s="1574">
        <f t="shared" ref="U28:U40" si="13">H28</f>
        <v>100</v>
      </c>
      <c r="V28" s="1573" t="s">
        <v>8</v>
      </c>
      <c r="W28" s="1574">
        <f t="shared" ref="W28:W40" si="14">J28</f>
        <v>100</v>
      </c>
      <c r="X28" s="1567"/>
      <c r="Y28" s="3411"/>
      <c r="Z28" s="1575">
        <f t="shared" ref="Z28:Z40" si="15">Q28</f>
        <v>111</v>
      </c>
      <c r="AA28" s="1576">
        <f t="shared" si="3"/>
        <v>1</v>
      </c>
      <c r="AB28" s="1576">
        <f t="shared" si="4"/>
        <v>1</v>
      </c>
      <c r="AC28" s="1576">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2" t="s">
        <v>550</v>
      </c>
      <c r="Q29" s="1572" t="str">
        <f t="shared" si="11"/>
        <v>建筑类型</v>
      </c>
      <c r="R29" s="1573" t="s">
        <v>8</v>
      </c>
      <c r="S29" s="1574">
        <f t="shared" si="12"/>
        <v>100</v>
      </c>
      <c r="T29" s="1573" t="s">
        <v>8</v>
      </c>
      <c r="U29" s="1574">
        <f t="shared" si="13"/>
        <v>100</v>
      </c>
      <c r="V29" s="1573" t="s">
        <v>8</v>
      </c>
      <c r="W29" s="1574">
        <f t="shared" si="14"/>
        <v>100</v>
      </c>
      <c r="X29" s="1567"/>
      <c r="Y29" s="3413"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3"/>
      <c r="Q30" s="1605" t="str">
        <f t="shared" si="11"/>
        <v>项目建筑规模</v>
      </c>
      <c r="R30" s="1577" t="s">
        <v>8</v>
      </c>
      <c r="S30" s="1578" t="e">
        <f t="shared" si="12"/>
        <v>#N/A</v>
      </c>
      <c r="T30" s="1577" t="s">
        <v>8</v>
      </c>
      <c r="U30" s="1578" t="e">
        <f t="shared" si="13"/>
        <v>#N/A</v>
      </c>
      <c r="V30" s="1577" t="s">
        <v>8</v>
      </c>
      <c r="W30" s="1578" t="e">
        <f t="shared" si="14"/>
        <v>#N/A</v>
      </c>
      <c r="X30" s="1579"/>
      <c r="Y30" s="3413"/>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3"/>
      <c r="Q31" s="1572" t="str">
        <f t="shared" si="11"/>
        <v>建筑结构</v>
      </c>
      <c r="R31" s="1573" t="s">
        <v>8</v>
      </c>
      <c r="S31" s="1574">
        <f t="shared" si="12"/>
        <v>100</v>
      </c>
      <c r="T31" s="1573" t="s">
        <v>8</v>
      </c>
      <c r="U31" s="1574">
        <f t="shared" si="13"/>
        <v>100</v>
      </c>
      <c r="V31" s="1573" t="s">
        <v>8</v>
      </c>
      <c r="W31" s="1574">
        <f t="shared" si="14"/>
        <v>100</v>
      </c>
      <c r="X31" s="1567"/>
      <c r="Y31" s="3413"/>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3"/>
      <c r="Q32" s="1572" t="str">
        <f t="shared" si="11"/>
        <v>公共部分装修</v>
      </c>
      <c r="R32" s="1573" t="s">
        <v>8</v>
      </c>
      <c r="S32" s="1574">
        <f t="shared" si="12"/>
        <v>100</v>
      </c>
      <c r="T32" s="1573" t="s">
        <v>8</v>
      </c>
      <c r="U32" s="1574">
        <f t="shared" si="13"/>
        <v>100</v>
      </c>
      <c r="V32" s="1573" t="s">
        <v>8</v>
      </c>
      <c r="W32" s="1574">
        <f t="shared" si="14"/>
        <v>100</v>
      </c>
      <c r="X32" s="1567"/>
      <c r="Y32" s="3413"/>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3"/>
      <c r="Q33" s="1572" t="str">
        <f t="shared" si="11"/>
        <v>成新度</v>
      </c>
      <c r="R33" s="1573" t="s">
        <v>8</v>
      </c>
      <c r="S33" s="1574" t="e">
        <f t="shared" si="12"/>
        <v>#N/A</v>
      </c>
      <c r="T33" s="1573" t="s">
        <v>8</v>
      </c>
      <c r="U33" s="1574" t="e">
        <f t="shared" si="13"/>
        <v>#N/A</v>
      </c>
      <c r="V33" s="1573" t="s">
        <v>8</v>
      </c>
      <c r="W33" s="1574" t="e">
        <f t="shared" si="14"/>
        <v>#N/A</v>
      </c>
      <c r="X33" s="1567"/>
      <c r="Y33" s="3413"/>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3"/>
      <c r="Q34" s="1151" t="str">
        <f t="shared" si="11"/>
        <v>物业管理</v>
      </c>
      <c r="R34" s="1568" t="s">
        <v>8</v>
      </c>
      <c r="S34" s="1569">
        <f t="shared" si="12"/>
        <v>100</v>
      </c>
      <c r="T34" s="1568" t="s">
        <v>8</v>
      </c>
      <c r="U34" s="1569">
        <f t="shared" si="13"/>
        <v>100</v>
      </c>
      <c r="V34" s="1568" t="s">
        <v>8</v>
      </c>
      <c r="W34" s="1569">
        <f t="shared" si="14"/>
        <v>100</v>
      </c>
      <c r="X34" s="1570"/>
      <c r="Y34" s="3413"/>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3" t="s">
        <v>550</v>
      </c>
      <c r="Q35" s="1572" t="str">
        <f t="shared" si="11"/>
        <v>市政基础设施</v>
      </c>
      <c r="R35" s="1573" t="s">
        <v>8</v>
      </c>
      <c r="S35" s="1574">
        <f t="shared" si="12"/>
        <v>100</v>
      </c>
      <c r="T35" s="1573" t="s">
        <v>8</v>
      </c>
      <c r="U35" s="1574">
        <f t="shared" si="13"/>
        <v>100</v>
      </c>
      <c r="V35" s="1573" t="s">
        <v>8</v>
      </c>
      <c r="W35" s="1574">
        <f t="shared" si="14"/>
        <v>100</v>
      </c>
      <c r="X35" s="1567"/>
      <c r="Y35" s="3413"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3"/>
      <c r="Q36" s="1572" t="str">
        <f t="shared" si="11"/>
        <v>内部装修</v>
      </c>
      <c r="R36" s="1573" t="s">
        <v>8</v>
      </c>
      <c r="S36" s="1574">
        <f t="shared" si="12"/>
        <v>100</v>
      </c>
      <c r="T36" s="1573" t="s">
        <v>8</v>
      </c>
      <c r="U36" s="1574">
        <f t="shared" si="13"/>
        <v>100</v>
      </c>
      <c r="V36" s="1573" t="s">
        <v>8</v>
      </c>
      <c r="W36" s="1574">
        <f t="shared" si="14"/>
        <v>100</v>
      </c>
      <c r="X36" s="1567"/>
      <c r="Y36" s="3413"/>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3"/>
      <c r="Q37" s="1572" t="str">
        <f t="shared" si="11"/>
        <v>内部装修状况</v>
      </c>
      <c r="R37" s="1573" t="s">
        <v>8</v>
      </c>
      <c r="S37" s="1574">
        <f t="shared" si="12"/>
        <v>100</v>
      </c>
      <c r="T37" s="1573" t="s">
        <v>8</v>
      </c>
      <c r="U37" s="1574">
        <f t="shared" si="13"/>
        <v>100</v>
      </c>
      <c r="V37" s="1573" t="s">
        <v>8</v>
      </c>
      <c r="W37" s="1574">
        <f t="shared" si="14"/>
        <v>100</v>
      </c>
      <c r="X37" s="1567"/>
      <c r="Y37" s="341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3"/>
      <c r="Q38" s="1605">
        <f t="shared" si="11"/>
        <v>111</v>
      </c>
      <c r="R38" s="1577" t="s">
        <v>8</v>
      </c>
      <c r="S38" s="1578">
        <f t="shared" si="12"/>
        <v>100</v>
      </c>
      <c r="T38" s="1577" t="s">
        <v>8</v>
      </c>
      <c r="U38" s="1578">
        <f t="shared" si="13"/>
        <v>100</v>
      </c>
      <c r="V38" s="1577" t="s">
        <v>8</v>
      </c>
      <c r="W38" s="1578">
        <f t="shared" si="14"/>
        <v>100</v>
      </c>
      <c r="X38" s="1579"/>
      <c r="Y38" s="341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3"/>
      <c r="Q39" s="1572">
        <f t="shared" si="11"/>
        <v>111</v>
      </c>
      <c r="R39" s="1573" t="s">
        <v>8</v>
      </c>
      <c r="S39" s="1574">
        <f t="shared" si="12"/>
        <v>100</v>
      </c>
      <c r="T39" s="1573" t="s">
        <v>8</v>
      </c>
      <c r="U39" s="1574">
        <f t="shared" si="13"/>
        <v>100</v>
      </c>
      <c r="V39" s="1573" t="s">
        <v>8</v>
      </c>
      <c r="W39" s="1574">
        <f t="shared" si="14"/>
        <v>100</v>
      </c>
      <c r="X39" s="1567"/>
      <c r="Y39" s="341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1"/>
      <c r="Q40" s="1572">
        <f t="shared" si="11"/>
        <v>111</v>
      </c>
      <c r="R40" s="1573" t="s">
        <v>8</v>
      </c>
      <c r="S40" s="1574">
        <f t="shared" si="12"/>
        <v>100</v>
      </c>
      <c r="T40" s="1573" t="s">
        <v>8</v>
      </c>
      <c r="U40" s="1574">
        <f t="shared" si="13"/>
        <v>100</v>
      </c>
      <c r="V40" s="1573" t="s">
        <v>8</v>
      </c>
      <c r="W40" s="1574">
        <f t="shared" si="14"/>
        <v>100</v>
      </c>
      <c r="X40" s="1567"/>
      <c r="Y40" s="3491"/>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376" t="str">
        <f>A41</f>
        <v>成交单价（元/平方米）</v>
      </c>
      <c r="Q41" s="3376"/>
      <c r="R41" s="3490">
        <f>E41</f>
        <v>0</v>
      </c>
      <c r="S41" s="3490"/>
      <c r="T41" s="3490">
        <f>G41</f>
        <v>0</v>
      </c>
      <c r="U41" s="3490"/>
      <c r="V41" s="3490">
        <f>I41</f>
        <v>0</v>
      </c>
      <c r="W41" s="3490"/>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376" t="str">
        <f>A42</f>
        <v>比较价格（元/平方米）</v>
      </c>
      <c r="Q42" s="3376"/>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9"/>
      <c r="Y42" s="1559"/>
      <c r="Z42" s="1559"/>
      <c r="AA42" s="1559"/>
      <c r="AB42" s="1559"/>
      <c r="AC42" s="1559"/>
    </row>
    <row r="43" spans="1:29" ht="15.75" thickBot="1">
      <c r="A43" s="621" t="s">
        <v>2929</v>
      </c>
      <c r="B43" s="622"/>
      <c r="C43" s="2615" t="e">
        <f>R43</f>
        <v>#DIV/0!</v>
      </c>
      <c r="D43" s="2615"/>
      <c r="E43" s="2615"/>
      <c r="F43" s="2615"/>
      <c r="G43" s="2615"/>
      <c r="H43" s="2615"/>
      <c r="I43" s="2615"/>
      <c r="J43" s="2615"/>
      <c r="K43" s="1613"/>
      <c r="L43" s="2144"/>
      <c r="M43" s="2145"/>
      <c r="N43" s="2145"/>
      <c r="O43" s="2145"/>
      <c r="P43" s="3373" t="str">
        <f>A43</f>
        <v>估价对象XX用房的比较价格（楼面单价，元/平方米）</v>
      </c>
      <c r="Q43" s="3374"/>
      <c r="R43" s="3489" t="e">
        <f>IF(F1="售价",ROUND(AVERAGE(R42:V42),0),ROUND(AVERAGE(R42:V42),1))</f>
        <v>#DIV/0!</v>
      </c>
      <c r="S43" s="3489"/>
      <c r="T43" s="3489"/>
      <c r="U43" s="3489"/>
      <c r="V43" s="3489"/>
      <c r="W43" s="348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2019-4</v>
      </c>
      <c r="D52" s="2782">
        <f>EDATE(C52,-1)</f>
        <v>43525</v>
      </c>
      <c r="E52" s="2782">
        <f t="shared" ref="E52:O52" si="16">EDATE(D52,-1)</f>
        <v>43497</v>
      </c>
      <c r="F52" s="2782">
        <f t="shared" si="16"/>
        <v>43466</v>
      </c>
      <c r="G52" s="2782">
        <f t="shared" si="16"/>
        <v>43435</v>
      </c>
      <c r="H52" s="2782">
        <f t="shared" si="16"/>
        <v>43405</v>
      </c>
      <c r="I52" s="2782">
        <f t="shared" si="16"/>
        <v>43374</v>
      </c>
      <c r="J52" s="2782">
        <f t="shared" si="16"/>
        <v>43344</v>
      </c>
      <c r="K52" s="2782">
        <f t="shared" si="16"/>
        <v>43313</v>
      </c>
      <c r="L52" s="2782">
        <f t="shared" si="16"/>
        <v>43282</v>
      </c>
      <c r="M52" s="2782">
        <f t="shared" si="16"/>
        <v>43252</v>
      </c>
      <c r="N52" s="2782">
        <f t="shared" si="16"/>
        <v>43221</v>
      </c>
      <c r="O52" s="2782">
        <f t="shared" si="16"/>
        <v>43191</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2" t="s">
        <v>798</v>
      </c>
      <c r="D4" s="3383"/>
      <c r="E4" s="3382" t="s">
        <v>799</v>
      </c>
      <c r="F4" s="3383"/>
      <c r="G4" s="3382" t="s">
        <v>800</v>
      </c>
      <c r="H4" s="3383"/>
      <c r="I4" s="3382" t="s">
        <v>801</v>
      </c>
      <c r="J4" s="3383"/>
      <c r="K4" s="514" t="s">
        <v>802</v>
      </c>
      <c r="L4" s="2133"/>
      <c r="M4" s="2134"/>
      <c r="N4" s="2134"/>
      <c r="O4" s="2134"/>
      <c r="P4" s="3384" t="s">
        <v>803</v>
      </c>
      <c r="Q4" s="3385"/>
      <c r="R4" s="3390" t="s">
        <v>799</v>
      </c>
      <c r="S4" s="3391"/>
      <c r="T4" s="3390" t="s">
        <v>800</v>
      </c>
      <c r="U4" s="3391"/>
      <c r="V4" s="3377" t="s">
        <v>801</v>
      </c>
      <c r="W4" s="3377"/>
      <c r="X4" s="1567"/>
      <c r="Y4" s="3390" t="s">
        <v>803</v>
      </c>
      <c r="Z4" s="3391"/>
      <c r="AA4" s="3379" t="s">
        <v>799</v>
      </c>
      <c r="AB4" s="3380" t="s">
        <v>800</v>
      </c>
      <c r="AC4" s="3379" t="s">
        <v>801</v>
      </c>
    </row>
    <row r="5" spans="1:29" ht="15">
      <c r="A5" s="515"/>
      <c r="B5" s="516"/>
      <c r="C5" s="3398" t="s">
        <v>2923</v>
      </c>
      <c r="D5" s="3399"/>
      <c r="E5" s="3398" t="s">
        <v>2924</v>
      </c>
      <c r="F5" s="3399"/>
      <c r="G5" s="3398" t="s">
        <v>2925</v>
      </c>
      <c r="H5" s="3399"/>
      <c r="I5" s="3398" t="s">
        <v>2926</v>
      </c>
      <c r="J5" s="3399"/>
      <c r="K5" s="514"/>
      <c r="L5" s="2133"/>
      <c r="M5" s="2134"/>
      <c r="N5" s="2134"/>
      <c r="O5" s="2134"/>
      <c r="P5" s="3386"/>
      <c r="Q5" s="3387"/>
      <c r="R5" s="3392"/>
      <c r="S5" s="3393"/>
      <c r="T5" s="3392"/>
      <c r="U5" s="3393"/>
      <c r="V5" s="3377"/>
      <c r="W5" s="3377"/>
      <c r="X5" s="1567"/>
      <c r="Y5" s="3392"/>
      <c r="Z5" s="3393"/>
      <c r="AA5" s="3380"/>
      <c r="AB5" s="3380"/>
      <c r="AC5" s="3380"/>
    </row>
    <row r="6" spans="1:29" ht="15.75" thickBot="1">
      <c r="A6" s="517"/>
      <c r="B6" s="518"/>
      <c r="C6" s="3396" t="s">
        <v>2927</v>
      </c>
      <c r="D6" s="3397"/>
      <c r="E6" s="3400" t="s">
        <v>2927</v>
      </c>
      <c r="F6" s="3401"/>
      <c r="G6" s="3396" t="s">
        <v>2927</v>
      </c>
      <c r="H6" s="3397"/>
      <c r="I6" s="3396" t="s">
        <v>2927</v>
      </c>
      <c r="J6" s="3397"/>
      <c r="K6" s="514" t="s">
        <v>528</v>
      </c>
      <c r="L6" s="2133"/>
      <c r="M6" s="2134"/>
      <c r="N6" s="2134"/>
      <c r="O6" s="2134"/>
      <c r="P6" s="3388"/>
      <c r="Q6" s="3389"/>
      <c r="R6" s="3392"/>
      <c r="S6" s="3393"/>
      <c r="T6" s="3394"/>
      <c r="U6" s="3395"/>
      <c r="V6" s="3377"/>
      <c r="W6" s="3377"/>
      <c r="X6" s="1567"/>
      <c r="Y6" s="3394"/>
      <c r="Z6" s="3395"/>
      <c r="AA6" s="3381"/>
      <c r="AB6" s="3381"/>
      <c r="AC6" s="3381"/>
    </row>
    <row r="7" spans="1:29" s="1220" customFormat="1" ht="15.75" thickBot="1">
      <c r="A7" s="2890"/>
      <c r="B7" s="2897" t="s">
        <v>529</v>
      </c>
      <c r="C7" s="519">
        <f>'数据-取费表'!B2</f>
        <v>43557</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7" t="s">
        <v>530</v>
      </c>
      <c r="Q7" s="3409"/>
      <c r="R7" s="1568" t="s">
        <v>8</v>
      </c>
      <c r="S7" s="1569">
        <f t="shared" ref="S7:S14" si="0">F7</f>
        <v>0</v>
      </c>
      <c r="T7" s="1568" t="s">
        <v>8</v>
      </c>
      <c r="U7" s="1569">
        <f t="shared" ref="U7:U14" si="1">H7</f>
        <v>0</v>
      </c>
      <c r="V7" s="1568" t="s">
        <v>8</v>
      </c>
      <c r="W7" s="1569">
        <f t="shared" ref="W7:W14"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36" si="3">D8/F8</f>
        <v>#DIV/0!</v>
      </c>
      <c r="AB8" s="1571" t="e">
        <f t="shared" ref="AB8:AB36" si="4">D8/H8</f>
        <v>#DIV/0!</v>
      </c>
      <c r="AC8" s="1571"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6" t="s">
        <v>535</v>
      </c>
      <c r="Q9" s="1151" t="str">
        <f t="shared" ref="Q9:Q14" si="6">B9</f>
        <v>用途</v>
      </c>
      <c r="R9" s="1568" t="s">
        <v>8</v>
      </c>
      <c r="S9" s="1569">
        <f t="shared" si="0"/>
        <v>100</v>
      </c>
      <c r="T9" s="1568" t="s">
        <v>8</v>
      </c>
      <c r="U9" s="1569">
        <f t="shared" si="1"/>
        <v>100</v>
      </c>
      <c r="V9" s="1568" t="s">
        <v>8</v>
      </c>
      <c r="W9" s="1569">
        <f t="shared" si="2"/>
        <v>100</v>
      </c>
      <c r="X9" s="1570"/>
      <c r="Y9" s="3322"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6"/>
      <c r="Q11" s="1151">
        <f t="shared" si="6"/>
        <v>111</v>
      </c>
      <c r="R11" s="1568" t="s">
        <v>8</v>
      </c>
      <c r="S11" s="1569">
        <f t="shared" si="0"/>
        <v>100</v>
      </c>
      <c r="T11" s="1568" t="s">
        <v>8</v>
      </c>
      <c r="U11" s="1569">
        <f t="shared" si="1"/>
        <v>100</v>
      </c>
      <c r="V11" s="1568" t="s">
        <v>8</v>
      </c>
      <c r="W11" s="1569">
        <f t="shared" si="2"/>
        <v>100</v>
      </c>
      <c r="X11" s="1570"/>
      <c r="Y11" s="3322"/>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
      <c r="A14" s="2888" t="s">
        <v>2755</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10" t="s">
        <v>540</v>
      </c>
      <c r="Q14" s="1572" t="str">
        <f t="shared" si="6"/>
        <v>交通便捷度</v>
      </c>
      <c r="R14" s="1573" t="s">
        <v>8</v>
      </c>
      <c r="S14" s="1574">
        <f t="shared" si="0"/>
        <v>100</v>
      </c>
      <c r="T14" s="1573" t="s">
        <v>8</v>
      </c>
      <c r="U14" s="1574">
        <f t="shared" si="1"/>
        <v>100</v>
      </c>
      <c r="V14" s="1573" t="s">
        <v>8</v>
      </c>
      <c r="W14" s="1574">
        <f t="shared" si="2"/>
        <v>100</v>
      </c>
      <c r="X14" s="1567"/>
      <c r="Y14" s="3410"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11"/>
      <c r="Q15" s="1572"/>
      <c r="R15" s="1573"/>
      <c r="S15" s="1574"/>
      <c r="T15" s="1573"/>
      <c r="U15" s="1574"/>
      <c r="V15" s="1573"/>
      <c r="W15" s="1574"/>
      <c r="X15" s="1567"/>
      <c r="Y15" s="3411"/>
      <c r="Z15" s="1575"/>
      <c r="AA15" s="1576">
        <v>1</v>
      </c>
      <c r="AB15" s="1576">
        <v>1</v>
      </c>
      <c r="AC15" s="1576">
        <v>1</v>
      </c>
    </row>
    <row r="16" spans="1:29" ht="15">
      <c r="A16" s="515"/>
      <c r="B16" s="2582" t="s">
        <v>2547</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11"/>
      <c r="Q17" s="1572"/>
      <c r="R17" s="1573"/>
      <c r="S17" s="1574"/>
      <c r="T17" s="1573"/>
      <c r="U17" s="1574"/>
      <c r="V17" s="1573"/>
      <c r="W17" s="1574"/>
      <c r="X17" s="1567"/>
      <c r="Y17" s="3411"/>
      <c r="Z17" s="1575"/>
      <c r="AA17" s="1576">
        <v>1</v>
      </c>
      <c r="AB17" s="1576">
        <v>1</v>
      </c>
      <c r="AC17" s="1576">
        <v>1</v>
      </c>
    </row>
    <row r="18" spans="1:29" ht="15">
      <c r="A18" s="515"/>
      <c r="B18" s="2570" t="s">
        <v>2559</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1"/>
      <c r="Q18" s="2558" t="str">
        <f>B18</f>
        <v>基础设施水平</v>
      </c>
      <c r="R18" s="1573" t="s">
        <v>8</v>
      </c>
      <c r="S18" s="1574">
        <f>F18</f>
        <v>100</v>
      </c>
      <c r="T18" s="1573" t="s">
        <v>8</v>
      </c>
      <c r="U18" s="1574">
        <f>H18</f>
        <v>100</v>
      </c>
      <c r="V18" s="1573" t="s">
        <v>8</v>
      </c>
      <c r="W18" s="1574">
        <f>J18</f>
        <v>100</v>
      </c>
      <c r="X18" s="2560"/>
      <c r="Y18" s="3411"/>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11"/>
      <c r="Q19" s="2558"/>
      <c r="R19" s="1573"/>
      <c r="S19" s="1574"/>
      <c r="T19" s="1573"/>
      <c r="U19" s="1574"/>
      <c r="V19" s="1573"/>
      <c r="W19" s="1574"/>
      <c r="X19" s="2560"/>
      <c r="Y19" s="3411"/>
      <c r="Z19" s="2559"/>
      <c r="AA19" s="1576">
        <v>1</v>
      </c>
      <c r="AB19" s="1576">
        <v>1</v>
      </c>
      <c r="AC19" s="1576">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11"/>
      <c r="Q21" s="1572"/>
      <c r="R21" s="1573"/>
      <c r="S21" s="1574"/>
      <c r="T21" s="1573"/>
      <c r="U21" s="1574"/>
      <c r="V21" s="1573"/>
      <c r="W21" s="1574"/>
      <c r="X21" s="1567"/>
      <c r="Y21" s="3411"/>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1"/>
      <c r="Q24" s="1572">
        <f t="shared" ref="Q24:Q36"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1"/>
      <c r="Q25" s="1151">
        <f t="shared" si="11"/>
        <v>111</v>
      </c>
      <c r="R25" s="1568" t="s">
        <v>8</v>
      </c>
      <c r="S25" s="1569">
        <f>F25</f>
        <v>100</v>
      </c>
      <c r="T25" s="1568" t="s">
        <v>8</v>
      </c>
      <c r="U25" s="1569">
        <f>H25</f>
        <v>100</v>
      </c>
      <c r="V25" s="1568" t="s">
        <v>8</v>
      </c>
      <c r="W25" s="1569">
        <f>J25</f>
        <v>100</v>
      </c>
      <c r="X25" s="1570"/>
      <c r="Y25" s="3411"/>
      <c r="Z25" s="1150">
        <f>Q25</f>
        <v>111</v>
      </c>
      <c r="AA25" s="1576">
        <f>D25/F25</f>
        <v>1</v>
      </c>
      <c r="AB25" s="1576">
        <f>D25/H25</f>
        <v>1</v>
      </c>
      <c r="AC25" s="1576">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3"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3"/>
      <c r="Q27" s="1605" t="str">
        <f t="shared" si="11"/>
        <v>项目停车位配比</v>
      </c>
      <c r="R27" s="1577" t="s">
        <v>8</v>
      </c>
      <c r="S27" s="1578">
        <f t="shared" si="12"/>
        <v>100</v>
      </c>
      <c r="T27" s="1577" t="s">
        <v>8</v>
      </c>
      <c r="U27" s="1578">
        <f t="shared" si="13"/>
        <v>100</v>
      </c>
      <c r="V27" s="1577" t="s">
        <v>8</v>
      </c>
      <c r="W27" s="1578">
        <f t="shared" si="14"/>
        <v>100</v>
      </c>
      <c r="X27" s="1579"/>
      <c r="Y27" s="3413"/>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3"/>
      <c r="Q28" s="1572" t="str">
        <f t="shared" si="11"/>
        <v>公共部分装修</v>
      </c>
      <c r="R28" s="1573" t="s">
        <v>8</v>
      </c>
      <c r="S28" s="1574">
        <f t="shared" si="12"/>
        <v>100</v>
      </c>
      <c r="T28" s="1573" t="s">
        <v>8</v>
      </c>
      <c r="U28" s="1574">
        <f t="shared" si="13"/>
        <v>100</v>
      </c>
      <c r="V28" s="1573" t="s">
        <v>8</v>
      </c>
      <c r="W28" s="1574">
        <f t="shared" si="14"/>
        <v>100</v>
      </c>
      <c r="X28" s="1567"/>
      <c r="Y28" s="3413"/>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3"/>
      <c r="Q29" s="1572" t="str">
        <f t="shared" si="11"/>
        <v>成新率</v>
      </c>
      <c r="R29" s="1573" t="s">
        <v>8</v>
      </c>
      <c r="S29" s="1574" t="e">
        <f t="shared" si="12"/>
        <v>#N/A</v>
      </c>
      <c r="T29" s="1573" t="s">
        <v>8</v>
      </c>
      <c r="U29" s="1574" t="e">
        <f t="shared" si="13"/>
        <v>#N/A</v>
      </c>
      <c r="V29" s="1573" t="s">
        <v>8</v>
      </c>
      <c r="W29" s="1574" t="e">
        <f t="shared" si="14"/>
        <v>#N/A</v>
      </c>
      <c r="X29" s="1567"/>
      <c r="Y29" s="3413"/>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3"/>
      <c r="Q30" s="1572" t="str">
        <f t="shared" si="11"/>
        <v>物业等级</v>
      </c>
      <c r="R30" s="1573" t="s">
        <v>8</v>
      </c>
      <c r="S30" s="1574">
        <f t="shared" si="12"/>
        <v>100</v>
      </c>
      <c r="T30" s="1573" t="s">
        <v>8</v>
      </c>
      <c r="U30" s="1574">
        <f t="shared" si="13"/>
        <v>100</v>
      </c>
      <c r="V30" s="1573" t="s">
        <v>8</v>
      </c>
      <c r="W30" s="1574">
        <f t="shared" si="14"/>
        <v>100</v>
      </c>
      <c r="X30" s="1567"/>
      <c r="Y30" s="3413"/>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3"/>
      <c r="Q31" s="1151" t="str">
        <f t="shared" si="11"/>
        <v>停车位面积</v>
      </c>
      <c r="R31" s="1568" t="s">
        <v>8</v>
      </c>
      <c r="S31" s="1569" t="e">
        <f t="shared" si="12"/>
        <v>#N/A</v>
      </c>
      <c r="T31" s="1568" t="s">
        <v>8</v>
      </c>
      <c r="U31" s="1569" t="e">
        <f t="shared" si="13"/>
        <v>#N/A</v>
      </c>
      <c r="V31" s="1568" t="s">
        <v>8</v>
      </c>
      <c r="W31" s="1569" t="e">
        <f t="shared" si="14"/>
        <v>#N/A</v>
      </c>
      <c r="X31" s="1570"/>
      <c r="Y31" s="3413"/>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3" t="s">
        <v>550</v>
      </c>
      <c r="Q32" s="1572" t="str">
        <f t="shared" si="11"/>
        <v>车位类型</v>
      </c>
      <c r="R32" s="1573" t="s">
        <v>8</v>
      </c>
      <c r="S32" s="1574">
        <f t="shared" si="12"/>
        <v>100</v>
      </c>
      <c r="T32" s="1573" t="s">
        <v>8</v>
      </c>
      <c r="U32" s="1574">
        <f t="shared" si="13"/>
        <v>100</v>
      </c>
      <c r="V32" s="1573" t="s">
        <v>8</v>
      </c>
      <c r="W32" s="1574">
        <f t="shared" si="14"/>
        <v>100</v>
      </c>
      <c r="X32" s="1567"/>
      <c r="Y32" s="3413"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3"/>
      <c r="Q33" s="1572" t="str">
        <f t="shared" si="11"/>
        <v>是否直接入户</v>
      </c>
      <c r="R33" s="1573" t="s">
        <v>8</v>
      </c>
      <c r="S33" s="1574">
        <f t="shared" si="12"/>
        <v>100</v>
      </c>
      <c r="T33" s="1573" t="s">
        <v>8</v>
      </c>
      <c r="U33" s="1574">
        <f t="shared" si="13"/>
        <v>100</v>
      </c>
      <c r="V33" s="1573" t="s">
        <v>8</v>
      </c>
      <c r="W33" s="1574">
        <f t="shared" si="14"/>
        <v>100</v>
      </c>
      <c r="X33" s="1567"/>
      <c r="Y33" s="341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3"/>
      <c r="Q35" s="1605">
        <f t="shared" si="11"/>
        <v>111</v>
      </c>
      <c r="R35" s="1577" t="s">
        <v>8</v>
      </c>
      <c r="S35" s="1578">
        <f t="shared" si="12"/>
        <v>100</v>
      </c>
      <c r="T35" s="1577" t="s">
        <v>8</v>
      </c>
      <c r="U35" s="1578">
        <f t="shared" si="13"/>
        <v>100</v>
      </c>
      <c r="V35" s="1577" t="s">
        <v>8</v>
      </c>
      <c r="W35" s="1578">
        <f t="shared" si="14"/>
        <v>100</v>
      </c>
      <c r="X35" s="1579"/>
      <c r="Y35" s="341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3"/>
      <c r="Q36" s="1572">
        <f t="shared" si="11"/>
        <v>111</v>
      </c>
      <c r="R36" s="1573" t="s">
        <v>8</v>
      </c>
      <c r="S36" s="1574">
        <f t="shared" si="12"/>
        <v>100</v>
      </c>
      <c r="T36" s="1573" t="s">
        <v>8</v>
      </c>
      <c r="U36" s="1574">
        <f t="shared" si="13"/>
        <v>100</v>
      </c>
      <c r="V36" s="1573" t="s">
        <v>8</v>
      </c>
      <c r="W36" s="1574">
        <f t="shared" si="14"/>
        <v>100</v>
      </c>
      <c r="X36" s="1567"/>
      <c r="Y36" s="3413"/>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76" t="str">
        <f>A37</f>
        <v>成交单价</v>
      </c>
      <c r="Q37" s="3376"/>
      <c r="R37" s="3490">
        <f>E37</f>
        <v>0</v>
      </c>
      <c r="S37" s="3490"/>
      <c r="T37" s="3490">
        <f>G37</f>
        <v>0</v>
      </c>
      <c r="U37" s="3490"/>
      <c r="V37" s="3490">
        <f>I37</f>
        <v>0</v>
      </c>
      <c r="W37" s="3490"/>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376" t="str">
        <f>A38</f>
        <v>比较价格（元/平方米）</v>
      </c>
      <c r="Q38" s="3376"/>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9"/>
      <c r="Y38" s="1559"/>
      <c r="Z38" s="1559"/>
      <c r="AA38" s="1559"/>
      <c r="AB38" s="1559"/>
      <c r="AC38" s="1559"/>
    </row>
    <row r="39" spans="1:29" ht="15.75" thickBot="1">
      <c r="A39" s="621" t="s">
        <v>2929</v>
      </c>
      <c r="B39" s="622"/>
      <c r="C39" s="2615" t="e">
        <f>R39</f>
        <v>#DIV/0!</v>
      </c>
      <c r="D39" s="2615"/>
      <c r="E39" s="2615"/>
      <c r="F39" s="2615"/>
      <c r="G39" s="2615"/>
      <c r="H39" s="2615"/>
      <c r="I39" s="2615"/>
      <c r="J39" s="2615"/>
      <c r="K39" s="1613"/>
      <c r="L39" s="2144"/>
      <c r="M39" s="2145"/>
      <c r="N39" s="2145"/>
      <c r="O39" s="2145"/>
      <c r="P39" s="3373" t="str">
        <f>A39</f>
        <v>估价对象XX用房的比较价格（楼面单价，元/平方米）</v>
      </c>
      <c r="Q39" s="3374"/>
      <c r="R39" s="3489" t="e">
        <f>IF(F1="售价",ROUND(AVERAGE(R38:V38),0),ROUND(AVERAGE(R38:V38),1))</f>
        <v>#DIV/0!</v>
      </c>
      <c r="S39" s="3489"/>
      <c r="T39" s="3489"/>
      <c r="U39" s="3489"/>
      <c r="V39" s="3489"/>
      <c r="W39" s="348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2019-4</v>
      </c>
      <c r="D48" s="2782">
        <f>EDATE(C48,-1)</f>
        <v>43525</v>
      </c>
      <c r="E48" s="2782">
        <f t="shared" ref="E48:O48" si="16">EDATE(D48,-1)</f>
        <v>43497</v>
      </c>
      <c r="F48" s="2782">
        <f t="shared" si="16"/>
        <v>43466</v>
      </c>
      <c r="G48" s="2782">
        <f t="shared" si="16"/>
        <v>43435</v>
      </c>
      <c r="H48" s="2782">
        <f t="shared" si="16"/>
        <v>43405</v>
      </c>
      <c r="I48" s="2782">
        <f t="shared" si="16"/>
        <v>43374</v>
      </c>
      <c r="J48" s="2782">
        <f t="shared" si="16"/>
        <v>43344</v>
      </c>
      <c r="K48" s="2782">
        <f t="shared" si="16"/>
        <v>43313</v>
      </c>
      <c r="L48" s="2782">
        <f t="shared" si="16"/>
        <v>43282</v>
      </c>
      <c r="M48" s="2782">
        <f t="shared" si="16"/>
        <v>43252</v>
      </c>
      <c r="N48" s="2782">
        <f t="shared" si="16"/>
        <v>43221</v>
      </c>
      <c r="O48" s="2782">
        <f t="shared" si="16"/>
        <v>43191</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268474.83平方米。根据《建设工程规划许可证》[]、《出让合同》[]，估价对象规划建筑面积为423739平方米。</v>
      </c>
    </row>
    <row r="7" spans="1:4" ht="93.75">
      <c r="A7" s="2851" t="s">
        <v>2749</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2019年4月2日（评估专业人员勘察现场之日）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根据《国有土地使用证》[]，估价对象（分摊）出让国有建设用地使用权面积为268474.83平方米。根据《建设工程规划许可证》[]、《出让合同》[]，估价对象规划建筑面积为423739平方米。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82" t="s">
        <v>798</v>
      </c>
      <c r="D4" s="3383"/>
      <c r="E4" s="3416" t="s">
        <v>799</v>
      </c>
      <c r="F4" s="3417"/>
      <c r="G4" s="3382" t="s">
        <v>800</v>
      </c>
      <c r="H4" s="3383"/>
      <c r="I4" s="3382" t="s">
        <v>801</v>
      </c>
      <c r="J4" s="3383"/>
      <c r="K4" s="514" t="s">
        <v>802</v>
      </c>
      <c r="L4" s="2133"/>
      <c r="M4" s="2134"/>
      <c r="N4" s="2134"/>
      <c r="O4" s="2134"/>
      <c r="P4" s="3384" t="s">
        <v>803</v>
      </c>
      <c r="Q4" s="3385"/>
      <c r="R4" s="3390" t="s">
        <v>799</v>
      </c>
      <c r="S4" s="3391"/>
      <c r="T4" s="3390" t="s">
        <v>800</v>
      </c>
      <c r="U4" s="3391"/>
      <c r="V4" s="3377" t="s">
        <v>801</v>
      </c>
      <c r="W4" s="3377"/>
      <c r="X4" s="1567"/>
      <c r="Y4" s="3390" t="s">
        <v>803</v>
      </c>
      <c r="Z4" s="3391"/>
      <c r="AA4" s="3379" t="s">
        <v>799</v>
      </c>
      <c r="AB4" s="3380" t="s">
        <v>800</v>
      </c>
      <c r="AC4" s="3379" t="s">
        <v>801</v>
      </c>
    </row>
    <row r="5" spans="1:29" ht="15">
      <c r="A5" s="515"/>
      <c r="B5" s="516"/>
      <c r="C5" s="3398" t="s">
        <v>2923</v>
      </c>
      <c r="D5" s="3399"/>
      <c r="E5" s="3418" t="s">
        <v>2924</v>
      </c>
      <c r="F5" s="3419"/>
      <c r="G5" s="3398" t="s">
        <v>2925</v>
      </c>
      <c r="H5" s="3399"/>
      <c r="I5" s="3398" t="s">
        <v>2926</v>
      </c>
      <c r="J5" s="3399"/>
      <c r="K5" s="514"/>
      <c r="L5" s="2133"/>
      <c r="M5" s="2134"/>
      <c r="N5" s="2134"/>
      <c r="O5" s="2134"/>
      <c r="P5" s="3386"/>
      <c r="Q5" s="3387"/>
      <c r="R5" s="3392"/>
      <c r="S5" s="3393"/>
      <c r="T5" s="3392"/>
      <c r="U5" s="3393"/>
      <c r="V5" s="3377"/>
      <c r="W5" s="3377"/>
      <c r="X5" s="1567"/>
      <c r="Y5" s="3392"/>
      <c r="Z5" s="3393"/>
      <c r="AA5" s="3380"/>
      <c r="AB5" s="3380"/>
      <c r="AC5" s="3380"/>
    </row>
    <row r="6" spans="1:29" ht="15.75" thickBot="1">
      <c r="A6" s="517"/>
      <c r="B6" s="518"/>
      <c r="C6" s="3396" t="s">
        <v>2927</v>
      </c>
      <c r="D6" s="3397"/>
      <c r="E6" s="3414" t="s">
        <v>2927</v>
      </c>
      <c r="F6" s="3415"/>
      <c r="G6" s="3396" t="s">
        <v>2927</v>
      </c>
      <c r="H6" s="3397"/>
      <c r="I6" s="3396" t="s">
        <v>2927</v>
      </c>
      <c r="J6" s="3397"/>
      <c r="K6" s="514" t="s">
        <v>528</v>
      </c>
      <c r="L6" s="2133"/>
      <c r="M6" s="2134"/>
      <c r="N6" s="2134"/>
      <c r="O6" s="2134"/>
      <c r="P6" s="3388"/>
      <c r="Q6" s="3389"/>
      <c r="R6" s="3392"/>
      <c r="S6" s="3393"/>
      <c r="T6" s="3394"/>
      <c r="U6" s="3395"/>
      <c r="V6" s="3377"/>
      <c r="W6" s="3377"/>
      <c r="X6" s="1567"/>
      <c r="Y6" s="3394"/>
      <c r="Z6" s="3395"/>
      <c r="AA6" s="3381"/>
      <c r="AB6" s="3381"/>
      <c r="AC6" s="3381"/>
    </row>
    <row r="7" spans="1:29" s="1220" customFormat="1" ht="15.75" thickBot="1">
      <c r="A7" s="2890"/>
      <c r="B7" s="2897" t="s">
        <v>529</v>
      </c>
      <c r="C7" s="519">
        <f>'数据-取费表'!B2</f>
        <v>43557</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7" t="s">
        <v>530</v>
      </c>
      <c r="Q7" s="3409"/>
      <c r="R7" s="1568" t="s">
        <v>8</v>
      </c>
      <c r="S7" s="1569">
        <f t="shared" ref="S7:S14" si="0">F7</f>
        <v>0</v>
      </c>
      <c r="T7" s="1568" t="s">
        <v>8</v>
      </c>
      <c r="U7" s="1569">
        <f t="shared" ref="U7:U14" si="1">H7</f>
        <v>0</v>
      </c>
      <c r="V7" s="1568" t="s">
        <v>8</v>
      </c>
      <c r="W7" s="1569">
        <f t="shared" ref="W7:W14" si="2">J7</f>
        <v>0</v>
      </c>
      <c r="X7" s="1570"/>
      <c r="Y7" s="3407" t="s">
        <v>530</v>
      </c>
      <c r="Z7" s="3408"/>
      <c r="AA7" s="1571" t="e">
        <f>D7/F7</f>
        <v>#DIV/0!</v>
      </c>
      <c r="AB7" s="1571" t="e">
        <f>D7/H7</f>
        <v>#DIV/0!</v>
      </c>
      <c r="AC7" s="1571"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7" t="s">
        <v>533</v>
      </c>
      <c r="Q8" s="3408"/>
      <c r="R8" s="1568" t="s">
        <v>8</v>
      </c>
      <c r="S8" s="1569">
        <f t="shared" si="0"/>
        <v>0</v>
      </c>
      <c r="T8" s="1568" t="s">
        <v>8</v>
      </c>
      <c r="U8" s="1569">
        <f t="shared" si="1"/>
        <v>0</v>
      </c>
      <c r="V8" s="1568" t="s">
        <v>8</v>
      </c>
      <c r="W8" s="1569">
        <f t="shared" si="2"/>
        <v>0</v>
      </c>
      <c r="X8" s="1570"/>
      <c r="Y8" s="3407" t="s">
        <v>533</v>
      </c>
      <c r="Z8" s="3408"/>
      <c r="AA8" s="1571" t="e">
        <f t="shared" ref="AA8:AA34" si="3">D8/F8</f>
        <v>#DIV/0!</v>
      </c>
      <c r="AB8" s="1571" t="e">
        <f t="shared" ref="AB8:AB34" si="4">D8/H8</f>
        <v>#DIV/0!</v>
      </c>
      <c r="AC8" s="1571"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6" t="s">
        <v>535</v>
      </c>
      <c r="Q9" s="1151" t="str">
        <f t="shared" ref="Q9:Q14" si="6">B9</f>
        <v>用途</v>
      </c>
      <c r="R9" s="1568" t="s">
        <v>8</v>
      </c>
      <c r="S9" s="1569">
        <f t="shared" si="0"/>
        <v>100</v>
      </c>
      <c r="T9" s="1568" t="s">
        <v>8</v>
      </c>
      <c r="U9" s="1569">
        <f t="shared" si="1"/>
        <v>100</v>
      </c>
      <c r="V9" s="1568" t="s">
        <v>8</v>
      </c>
      <c r="W9" s="1569">
        <f t="shared" si="2"/>
        <v>100</v>
      </c>
      <c r="X9" s="1570"/>
      <c r="Y9" s="3322"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6"/>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6"/>
      <c r="Q11" s="1151">
        <f t="shared" si="6"/>
        <v>111</v>
      </c>
      <c r="R11" s="1568" t="s">
        <v>8</v>
      </c>
      <c r="S11" s="1569">
        <f t="shared" si="0"/>
        <v>100</v>
      </c>
      <c r="T11" s="1568" t="s">
        <v>8</v>
      </c>
      <c r="U11" s="1569">
        <f t="shared" si="1"/>
        <v>100</v>
      </c>
      <c r="V11" s="1568" t="s">
        <v>8</v>
      </c>
      <c r="W11" s="1569">
        <f t="shared" si="2"/>
        <v>100</v>
      </c>
      <c r="X11" s="1570"/>
      <c r="Y11" s="3322"/>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6"/>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6"/>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
      <c r="A14" s="2888" t="s">
        <v>2755</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10" t="s">
        <v>540</v>
      </c>
      <c r="Q14" s="1572" t="str">
        <f t="shared" si="6"/>
        <v>交通便捷度</v>
      </c>
      <c r="R14" s="1573" t="s">
        <v>8</v>
      </c>
      <c r="S14" s="1574">
        <f t="shared" si="0"/>
        <v>100</v>
      </c>
      <c r="T14" s="1573" t="s">
        <v>8</v>
      </c>
      <c r="U14" s="1574">
        <f t="shared" si="1"/>
        <v>100</v>
      </c>
      <c r="V14" s="1573" t="s">
        <v>8</v>
      </c>
      <c r="W14" s="1574">
        <f t="shared" si="2"/>
        <v>100</v>
      </c>
      <c r="X14" s="1567"/>
      <c r="Y14" s="3410"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11"/>
      <c r="Q15" s="1572"/>
      <c r="R15" s="1573"/>
      <c r="S15" s="1574"/>
      <c r="T15" s="1573"/>
      <c r="U15" s="1574"/>
      <c r="V15" s="1573"/>
      <c r="W15" s="1574"/>
      <c r="X15" s="1567"/>
      <c r="Y15" s="3411"/>
      <c r="Z15" s="1575"/>
      <c r="AA15" s="1576">
        <v>1</v>
      </c>
      <c r="AB15" s="1576">
        <v>1</v>
      </c>
      <c r="AC15" s="1576">
        <v>1</v>
      </c>
    </row>
    <row r="16" spans="1:29" ht="15">
      <c r="A16" s="532"/>
      <c r="B16" s="2582" t="s">
        <v>2547</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11"/>
      <c r="Q17" s="1572"/>
      <c r="R17" s="1573"/>
      <c r="S17" s="1574"/>
      <c r="T17" s="1573"/>
      <c r="U17" s="1574"/>
      <c r="V17" s="1573"/>
      <c r="W17" s="1574"/>
      <c r="X17" s="1567"/>
      <c r="Y17" s="3411"/>
      <c r="Z17" s="1575"/>
      <c r="AA17" s="1576">
        <v>1</v>
      </c>
      <c r="AB17" s="1576">
        <v>1</v>
      </c>
      <c r="AC17" s="1576">
        <v>1</v>
      </c>
    </row>
    <row r="18" spans="1:29" ht="15">
      <c r="A18" s="532"/>
      <c r="B18" s="2570" t="s">
        <v>2559</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1"/>
      <c r="Q18" s="2558" t="str">
        <f>B18</f>
        <v>基础设施水平</v>
      </c>
      <c r="R18" s="1573" t="s">
        <v>8</v>
      </c>
      <c r="S18" s="1574">
        <f>F18</f>
        <v>100</v>
      </c>
      <c r="T18" s="1573" t="s">
        <v>8</v>
      </c>
      <c r="U18" s="1574">
        <f>H18</f>
        <v>100</v>
      </c>
      <c r="V18" s="1573" t="s">
        <v>8</v>
      </c>
      <c r="W18" s="1574">
        <f>J18</f>
        <v>100</v>
      </c>
      <c r="X18" s="2560"/>
      <c r="Y18" s="3411"/>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11"/>
      <c r="Q19" s="2558"/>
      <c r="R19" s="1573"/>
      <c r="S19" s="1574"/>
      <c r="T19" s="1573"/>
      <c r="U19" s="1574"/>
      <c r="V19" s="1573"/>
      <c r="W19" s="1574"/>
      <c r="X19" s="2560"/>
      <c r="Y19" s="3411"/>
      <c r="Z19" s="2559"/>
      <c r="AA19" s="1576">
        <v>1</v>
      </c>
      <c r="AB19" s="1576">
        <v>1</v>
      </c>
      <c r="AC19" s="1576">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11"/>
      <c r="Q21" s="1572"/>
      <c r="R21" s="1573"/>
      <c r="S21" s="1574"/>
      <c r="T21" s="1573"/>
      <c r="U21" s="1574"/>
      <c r="V21" s="1573"/>
      <c r="W21" s="1574"/>
      <c r="X21" s="1567"/>
      <c r="Y21" s="3411"/>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1"/>
      <c r="Q24" s="1572">
        <f t="shared" ref="Q24:Q34"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1"/>
      <c r="Q25" s="1151">
        <f t="shared" si="11"/>
        <v>111</v>
      </c>
      <c r="R25" s="1568" t="s">
        <v>8</v>
      </c>
      <c r="S25" s="1569">
        <f>F25</f>
        <v>100</v>
      </c>
      <c r="T25" s="1568" t="s">
        <v>8</v>
      </c>
      <c r="U25" s="1569">
        <f>H25</f>
        <v>100</v>
      </c>
      <c r="V25" s="1568" t="s">
        <v>8</v>
      </c>
      <c r="W25" s="1569">
        <f>J25</f>
        <v>100</v>
      </c>
      <c r="X25" s="1570"/>
      <c r="Y25" s="3411"/>
      <c r="Z25" s="1150">
        <f>Q25</f>
        <v>111</v>
      </c>
      <c r="AA25" s="1576">
        <f>D25/F25</f>
        <v>1</v>
      </c>
      <c r="AB25" s="1576">
        <f>D25/H25</f>
        <v>1</v>
      </c>
      <c r="AC25" s="1576">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2"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3"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3"/>
      <c r="Q27" s="1605" t="str">
        <f t="shared" si="11"/>
        <v>成新率</v>
      </c>
      <c r="R27" s="1577" t="s">
        <v>8</v>
      </c>
      <c r="S27" s="1578" t="e">
        <f t="shared" si="12"/>
        <v>#N/A</v>
      </c>
      <c r="T27" s="1577" t="s">
        <v>8</v>
      </c>
      <c r="U27" s="1578" t="e">
        <f t="shared" si="13"/>
        <v>#N/A</v>
      </c>
      <c r="V27" s="1577" t="s">
        <v>8</v>
      </c>
      <c r="W27" s="1578" t="e">
        <f t="shared" si="14"/>
        <v>#N/A</v>
      </c>
      <c r="X27" s="1579"/>
      <c r="Y27" s="3413"/>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3"/>
      <c r="Q28" s="1572" t="str">
        <f t="shared" si="11"/>
        <v>物业等级</v>
      </c>
      <c r="R28" s="1573" t="s">
        <v>8</v>
      </c>
      <c r="S28" s="1574">
        <f t="shared" si="12"/>
        <v>100</v>
      </c>
      <c r="T28" s="1573" t="s">
        <v>8</v>
      </c>
      <c r="U28" s="1574">
        <f t="shared" si="13"/>
        <v>100</v>
      </c>
      <c r="V28" s="1573" t="s">
        <v>8</v>
      </c>
      <c r="W28" s="1574">
        <f t="shared" si="14"/>
        <v>100</v>
      </c>
      <c r="X28" s="1567"/>
      <c r="Y28" s="3413"/>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3"/>
      <c r="Q29" s="1572" t="str">
        <f t="shared" si="11"/>
        <v>有无电梯</v>
      </c>
      <c r="R29" s="1573" t="s">
        <v>8</v>
      </c>
      <c r="S29" s="1574">
        <f t="shared" si="12"/>
        <v>100</v>
      </c>
      <c r="T29" s="1573" t="s">
        <v>8</v>
      </c>
      <c r="U29" s="1574">
        <f t="shared" si="13"/>
        <v>100</v>
      </c>
      <c r="V29" s="1573" t="s">
        <v>8</v>
      </c>
      <c r="W29" s="1574">
        <f t="shared" si="14"/>
        <v>100</v>
      </c>
      <c r="X29" s="1567"/>
      <c r="Y29" s="3413"/>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3"/>
      <c r="Q30" s="1572" t="str">
        <f t="shared" si="11"/>
        <v>建筑面积</v>
      </c>
      <c r="R30" s="1573" t="s">
        <v>8</v>
      </c>
      <c r="S30" s="1574" t="e">
        <f t="shared" si="12"/>
        <v>#N/A</v>
      </c>
      <c r="T30" s="1573" t="s">
        <v>8</v>
      </c>
      <c r="U30" s="1574" t="e">
        <f t="shared" si="13"/>
        <v>#N/A</v>
      </c>
      <c r="V30" s="1573" t="s">
        <v>8</v>
      </c>
      <c r="W30" s="1574" t="e">
        <f t="shared" si="14"/>
        <v>#N/A</v>
      </c>
      <c r="X30" s="1567"/>
      <c r="Y30" s="3413"/>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3"/>
      <c r="Q31" s="1151" t="str">
        <f t="shared" si="11"/>
        <v>是否封闭</v>
      </c>
      <c r="R31" s="1568" t="s">
        <v>8</v>
      </c>
      <c r="S31" s="1569">
        <f t="shared" si="12"/>
        <v>100</v>
      </c>
      <c r="T31" s="1568" t="s">
        <v>8</v>
      </c>
      <c r="U31" s="1569">
        <f t="shared" si="13"/>
        <v>100</v>
      </c>
      <c r="V31" s="1568" t="s">
        <v>8</v>
      </c>
      <c r="W31" s="1569">
        <f t="shared" si="14"/>
        <v>100</v>
      </c>
      <c r="X31" s="1570"/>
      <c r="Y31" s="341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3" t="s">
        <v>550</v>
      </c>
      <c r="Q32" s="1572">
        <f t="shared" si="11"/>
        <v>111</v>
      </c>
      <c r="R32" s="1573" t="s">
        <v>8</v>
      </c>
      <c r="S32" s="1574">
        <f t="shared" si="12"/>
        <v>100</v>
      </c>
      <c r="T32" s="1573" t="s">
        <v>8</v>
      </c>
      <c r="U32" s="1574">
        <f t="shared" si="13"/>
        <v>100</v>
      </c>
      <c r="V32" s="1573" t="s">
        <v>8</v>
      </c>
      <c r="W32" s="1574">
        <f t="shared" si="14"/>
        <v>100</v>
      </c>
      <c r="X32" s="1567"/>
      <c r="Y32" s="3413"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3"/>
      <c r="Q33" s="1572">
        <f t="shared" si="11"/>
        <v>111</v>
      </c>
      <c r="R33" s="1573" t="s">
        <v>8</v>
      </c>
      <c r="S33" s="1574">
        <f t="shared" si="12"/>
        <v>100</v>
      </c>
      <c r="T33" s="1573" t="s">
        <v>8</v>
      </c>
      <c r="U33" s="1574">
        <f t="shared" si="13"/>
        <v>100</v>
      </c>
      <c r="V33" s="1573" t="s">
        <v>8</v>
      </c>
      <c r="W33" s="1574">
        <f t="shared" si="14"/>
        <v>100</v>
      </c>
      <c r="X33" s="1567"/>
      <c r="Y33" s="341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376" t="str">
        <f>A35</f>
        <v>成交单价（元/平方米）</v>
      </c>
      <c r="Q35" s="3376"/>
      <c r="R35" s="3490">
        <f>E35</f>
        <v>0</v>
      </c>
      <c r="S35" s="3490"/>
      <c r="T35" s="3490">
        <f>G35</f>
        <v>0</v>
      </c>
      <c r="U35" s="3490"/>
      <c r="V35" s="3490">
        <f>I35</f>
        <v>0</v>
      </c>
      <c r="W35" s="3490"/>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376" t="str">
        <f>A36</f>
        <v>比较价格（元/平方米）</v>
      </c>
      <c r="Q36" s="3376"/>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9"/>
      <c r="Y36" s="1559"/>
      <c r="Z36" s="1559"/>
      <c r="AA36" s="1559"/>
      <c r="AB36" s="1559"/>
      <c r="AC36" s="1559"/>
    </row>
    <row r="37" spans="1:29" ht="15.75" thickBot="1">
      <c r="A37" s="621" t="s">
        <v>2929</v>
      </c>
      <c r="B37" s="622"/>
      <c r="C37" s="2615" t="e">
        <f>R37</f>
        <v>#DIV/0!</v>
      </c>
      <c r="D37" s="2615"/>
      <c r="E37" s="2615"/>
      <c r="F37" s="2615"/>
      <c r="G37" s="2615"/>
      <c r="H37" s="2615"/>
      <c r="I37" s="2615"/>
      <c r="J37" s="2615"/>
      <c r="K37" s="1613"/>
      <c r="L37" s="2144"/>
      <c r="M37" s="2145"/>
      <c r="N37" s="2145"/>
      <c r="O37" s="2145"/>
      <c r="P37" s="3373" t="str">
        <f>A37</f>
        <v>估价对象XX用房的比较价格（楼面单价，元/平方米）</v>
      </c>
      <c r="Q37" s="3374"/>
      <c r="R37" s="3489" t="e">
        <f>IF(F1="售价",ROUND(AVERAGE(R36:V36),0),ROUND(AVERAGE(R36:V36),1))</f>
        <v>#DIV/0!</v>
      </c>
      <c r="S37" s="3489"/>
      <c r="T37" s="3489"/>
      <c r="U37" s="3489"/>
      <c r="V37" s="3489"/>
      <c r="W37" s="348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2019-4</v>
      </c>
      <c r="D46" s="2782">
        <f>EDATE(C46,-1)</f>
        <v>43525</v>
      </c>
      <c r="E46" s="2782">
        <f t="shared" ref="E46:O46" si="16">EDATE(D46,-1)</f>
        <v>43497</v>
      </c>
      <c r="F46" s="2782">
        <f t="shared" si="16"/>
        <v>43466</v>
      </c>
      <c r="G46" s="2782">
        <f t="shared" si="16"/>
        <v>43435</v>
      </c>
      <c r="H46" s="2782">
        <f t="shared" si="16"/>
        <v>43405</v>
      </c>
      <c r="I46" s="2782">
        <f t="shared" si="16"/>
        <v>43374</v>
      </c>
      <c r="J46" s="2782">
        <f t="shared" si="16"/>
        <v>43344</v>
      </c>
      <c r="K46" s="2782">
        <f t="shared" si="16"/>
        <v>43313</v>
      </c>
      <c r="L46" s="2782">
        <f t="shared" si="16"/>
        <v>43282</v>
      </c>
      <c r="M46" s="2782">
        <f t="shared" si="16"/>
        <v>43252</v>
      </c>
      <c r="N46" s="2782">
        <f t="shared" si="16"/>
        <v>43221</v>
      </c>
      <c r="O46" s="2782">
        <f t="shared" si="16"/>
        <v>43191</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2304</v>
      </c>
      <c r="C1" s="3499" t="s">
        <v>2305</v>
      </c>
      <c r="D1" s="3500"/>
      <c r="E1" s="3500"/>
      <c r="F1" s="3500"/>
      <c r="G1" s="3500"/>
      <c r="H1" s="3500"/>
      <c r="I1" s="3500"/>
      <c r="J1" s="3500"/>
      <c r="K1" s="3500"/>
      <c r="L1" s="3500"/>
      <c r="M1" s="3500"/>
      <c r="N1" s="3500"/>
      <c r="O1" s="3500"/>
      <c r="P1" s="3500"/>
      <c r="Q1" s="3500"/>
      <c r="R1" s="3500"/>
      <c r="S1" s="3501"/>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43557</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3</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2039</v>
      </c>
      <c r="B1" s="3209"/>
      <c r="C1" s="3209"/>
      <c r="D1" s="3209"/>
      <c r="E1" s="3209"/>
      <c r="F1" s="3209"/>
      <c r="G1" s="3209"/>
      <c r="H1" s="3209"/>
      <c r="I1" s="3209"/>
      <c r="J1" s="3209"/>
      <c r="K1" s="3209"/>
      <c r="L1" s="3209"/>
      <c r="M1" s="3209"/>
      <c r="N1" s="3209"/>
      <c r="O1" s="3209"/>
      <c r="P1" s="3209"/>
      <c r="Q1" s="3209"/>
      <c r="R1" s="3209"/>
    </row>
    <row r="2" spans="1:18">
      <c r="A2" s="1807" t="s">
        <v>2041</v>
      </c>
      <c r="B2" s="1807"/>
      <c r="C2" s="1807"/>
      <c r="D2" s="1807"/>
      <c r="E2" s="1807"/>
      <c r="F2" s="1807"/>
      <c r="G2" s="1807"/>
      <c r="H2" s="1807"/>
      <c r="I2" s="1808"/>
      <c r="J2" s="1808"/>
      <c r="K2" s="1809" t="str">
        <f>"估价期日："&amp;TEXT(项目基本情况!D3,"yyyy年m月d日;;")</f>
        <v>估价期日：2019年4月2日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10" t="s">
        <v>2030</v>
      </c>
      <c r="B3" s="3210" t="s">
        <v>2732</v>
      </c>
      <c r="C3" s="3211" t="s">
        <v>2031</v>
      </c>
      <c r="D3" s="3210" t="s">
        <v>2736</v>
      </c>
      <c r="E3" s="3213" t="s">
        <v>2032</v>
      </c>
      <c r="F3" s="3213"/>
      <c r="G3" s="3213"/>
      <c r="H3" s="3213" t="s">
        <v>2033</v>
      </c>
      <c r="I3" s="3213"/>
      <c r="J3" s="3213"/>
      <c r="K3" s="3211" t="s">
        <v>2034</v>
      </c>
      <c r="L3" s="3211" t="s">
        <v>2035</v>
      </c>
      <c r="M3" s="3210" t="s">
        <v>2733</v>
      </c>
      <c r="N3" s="3212" t="str">
        <f>"（分摊）"&amp;项目基本情况!B16&amp;"国有建设用地使用权面积/㎡"</f>
        <v>（分摊）出让国有建设用地使用权面积/㎡</v>
      </c>
      <c r="O3" s="3210" t="s">
        <v>2064</v>
      </c>
      <c r="P3" s="3211" t="s">
        <v>2044</v>
      </c>
      <c r="Q3" s="3211" t="s">
        <v>2065</v>
      </c>
      <c r="R3" s="3211" t="s">
        <v>2036</v>
      </c>
    </row>
    <row r="4" spans="1:18" ht="36.75" customHeight="1">
      <c r="A4" s="3210"/>
      <c r="B4" s="3210"/>
      <c r="C4" s="3211"/>
      <c r="D4" s="3210"/>
      <c r="E4" s="2628" t="s">
        <v>2043</v>
      </c>
      <c r="F4" s="2628" t="s">
        <v>2745</v>
      </c>
      <c r="G4" s="2628" t="s">
        <v>2037</v>
      </c>
      <c r="H4" s="2628" t="s">
        <v>2038</v>
      </c>
      <c r="I4" s="2628" t="s">
        <v>2746</v>
      </c>
      <c r="J4" s="2628" t="s">
        <v>2037</v>
      </c>
      <c r="K4" s="3211"/>
      <c r="L4" s="3211"/>
      <c r="M4" s="3210"/>
      <c r="N4" s="3212"/>
      <c r="O4" s="3210"/>
      <c r="P4" s="3211"/>
      <c r="Q4" s="3211"/>
      <c r="R4" s="3211"/>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268474.83</v>
      </c>
      <c r="O5" s="1810">
        <f>项目基本情况!C21</f>
        <v>423739</v>
      </c>
      <c r="P5" s="1810">
        <f ca="1">结果表!E42</f>
        <v>17879</v>
      </c>
      <c r="Q5" s="1810">
        <f ca="1">结果表!D42</f>
        <v>11328</v>
      </c>
      <c r="R5" s="1811">
        <f ca="1">结果表!C42</f>
        <v>480004</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2" t="str">
        <f>结果表!O39</f>
        <v>——</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2" t="str">
        <f>结果表!O40</f>
        <v>——</v>
      </c>
    </row>
    <row r="8" spans="1:18">
      <c r="A8" s="3214">
        <f>IF(项目基本情况!B9="市场价格","——",项目基本情况!E9)</f>
        <v>0</v>
      </c>
      <c r="B8" s="3215"/>
      <c r="C8" s="3215"/>
      <c r="D8" s="3215"/>
      <c r="E8" s="3215"/>
      <c r="F8" s="3215"/>
      <c r="G8" s="3215"/>
      <c r="H8" s="3215"/>
      <c r="I8" s="3215"/>
      <c r="J8" s="3215"/>
      <c r="K8" s="3215"/>
      <c r="L8" s="3215"/>
      <c r="M8" s="3215"/>
      <c r="N8" s="3215"/>
      <c r="O8" s="3215"/>
      <c r="P8" s="3215"/>
      <c r="Q8" s="3216"/>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8" t="s">
        <v>2066</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2067</v>
      </c>
      <c r="B5" s="3217"/>
      <c r="C5" s="3217"/>
      <c r="D5" s="3217"/>
    </row>
    <row r="6" spans="1:4">
      <c r="A6" s="3218" t="s">
        <v>2045</v>
      </c>
      <c r="B6" s="3218"/>
      <c r="C6" s="3218"/>
      <c r="D6" s="3218"/>
    </row>
    <row r="7" spans="1:4" ht="33" customHeight="1">
      <c r="A7" s="3218" t="s">
        <v>2576</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8"/>
      <c r="C8" s="3218"/>
      <c r="D8" s="3218"/>
    </row>
    <row r="9" spans="1:4" ht="33.75" customHeight="1">
      <c r="A9" s="3218" t="str">
        <f>IF(项目基本情况!B8="抵押","3.抵押双方在办理抵押登记手续时，应使用本公司出具的正式《土地估价报告》，特提请报告使用者注意。","——")</f>
        <v>——</v>
      </c>
      <c r="B9" s="3218"/>
      <c r="C9" s="3218"/>
      <c r="D9" s="3218"/>
    </row>
    <row r="10" spans="1:4">
      <c r="A10" s="3218" t="str">
        <f>IF(项目基本情况!B8="抵押","4.估价师所知悉的法定优先受偿款情况为：","——")</f>
        <v>——</v>
      </c>
      <c r="B10" s="3218"/>
      <c r="C10" s="3218"/>
      <c r="D10" s="3218"/>
    </row>
    <row r="11" spans="1:4" ht="37.5" customHeight="1">
      <c r="A11" s="3220" t="str">
        <f>IF(项目基本情况!B8="抵押","（1）"&amp;CONCATENATE(项目基本情况!L24,项目基本情况!L25,项目基本情况!L26),"——")</f>
        <v>——</v>
      </c>
      <c r="B11" s="3220"/>
      <c r="C11" s="3220"/>
      <c r="D11" s="3220"/>
    </row>
    <row r="12" spans="1:4" ht="168" customHeight="1">
      <c r="A12" s="3217" t="s">
        <v>2069</v>
      </c>
      <c r="B12" s="3217"/>
      <c r="C12" s="3217"/>
      <c r="D12" s="3217"/>
    </row>
    <row r="13" spans="1:4">
      <c r="A13" s="3221" t="s">
        <v>2747</v>
      </c>
      <c r="B13" s="3221"/>
      <c r="C13" s="3221"/>
      <c r="D13" s="3221"/>
    </row>
    <row r="14" spans="1:4">
      <c r="A14" s="3220" t="str">
        <f>IF(项目基本情况!B8="抵押","综上，"&amp;结果表!K47,"——")</f>
        <v>——</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2703</v>
      </c>
      <c r="B17" s="3218"/>
      <c r="C17" s="3218"/>
      <c r="D17" s="3218"/>
    </row>
    <row r="18" spans="1:4">
      <c r="A18" s="3218" t="s">
        <v>2695</v>
      </c>
      <c r="B18" s="3218"/>
      <c r="C18" s="3218"/>
      <c r="D18" s="3218"/>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218" t="s">
        <v>2700</v>
      </c>
      <c r="B23" s="3218"/>
      <c r="C23" s="3218"/>
      <c r="D23" s="3218"/>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9" t="s">
        <v>53</v>
      </c>
      <c r="B15" s="3230" t="s">
        <v>846</v>
      </c>
      <c r="C15" s="3226"/>
    </row>
    <row r="16" spans="1:7" ht="14.25">
      <c r="A16" s="3229"/>
      <c r="B16" s="3227" t="s">
        <v>54</v>
      </c>
      <c r="C16" s="1172" t="s">
        <v>53</v>
      </c>
    </row>
    <row r="17" spans="1:3" ht="14.25">
      <c r="A17" s="3229"/>
      <c r="B17" s="3227"/>
      <c r="C17" s="1172" t="s">
        <v>55</v>
      </c>
    </row>
    <row r="18" spans="1:3" ht="14.25">
      <c r="A18" s="3229"/>
      <c r="B18" s="3227"/>
      <c r="C18" s="1172" t="s">
        <v>56</v>
      </c>
    </row>
    <row r="19" spans="1:3" ht="14.25">
      <c r="A19" s="3229"/>
      <c r="B19" s="3225" t="s">
        <v>57</v>
      </c>
      <c r="C19" s="3226"/>
    </row>
    <row r="20" spans="1:3" ht="14.25">
      <c r="A20" s="1173" t="s">
        <v>58</v>
      </c>
      <c r="B20" s="1174"/>
      <c r="C20" s="1175"/>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6" t="s">
        <v>837</v>
      </c>
    </row>
    <row r="25" spans="1:3" ht="14.25">
      <c r="A25" s="3228"/>
      <c r="B25" s="3232"/>
      <c r="C25" s="1176" t="s">
        <v>838</v>
      </c>
    </row>
    <row r="26" spans="1:3" ht="14.25">
      <c r="A26" s="3228"/>
      <c r="B26" s="3232"/>
      <c r="C26" s="1176" t="s">
        <v>839</v>
      </c>
    </row>
    <row r="27" spans="1:3" ht="14.25">
      <c r="A27" s="3228"/>
      <c r="B27" s="3232"/>
      <c r="C27" s="1176" t="s">
        <v>840</v>
      </c>
    </row>
    <row r="28" spans="1:3" ht="14.25">
      <c r="A28" s="3228"/>
      <c r="B28" s="3232"/>
      <c r="C28" s="1176" t="s">
        <v>841</v>
      </c>
    </row>
    <row r="29" spans="1:3" ht="14.25">
      <c r="A29" s="3228"/>
      <c r="B29" s="3232"/>
      <c r="C29" s="1176" t="s">
        <v>842</v>
      </c>
    </row>
    <row r="30" spans="1:3" ht="14.25">
      <c r="A30" s="3228"/>
      <c r="B30" s="3232"/>
      <c r="C30" s="1176" t="s">
        <v>843</v>
      </c>
    </row>
    <row r="31" spans="1:3" ht="14.25">
      <c r="A31" s="3228"/>
      <c r="B31" s="3232"/>
      <c r="C31" s="1176" t="s">
        <v>844</v>
      </c>
    </row>
    <row r="32" spans="1:3" ht="14.25">
      <c r="A32" s="3228"/>
      <c r="B32" s="3232"/>
      <c r="C32" s="1176" t="s">
        <v>1647</v>
      </c>
    </row>
    <row r="33" spans="1:3" ht="14.25">
      <c r="A33" s="3228"/>
      <c r="B33" s="3222" t="s">
        <v>1653</v>
      </c>
      <c r="C33" s="1176" t="s">
        <v>1648</v>
      </c>
    </row>
    <row r="34" spans="1:3" ht="14.25">
      <c r="A34" s="3228"/>
      <c r="B34" s="3223"/>
      <c r="C34" s="1181" t="s">
        <v>1649</v>
      </c>
    </row>
    <row r="35" spans="1:3" ht="14.25">
      <c r="A35" s="3228"/>
      <c r="B35" s="3223"/>
      <c r="C35" s="1182" t="s">
        <v>1650</v>
      </c>
    </row>
    <row r="36" spans="1:3" ht="14.25">
      <c r="A36" s="3228"/>
      <c r="B36" s="3223"/>
      <c r="C36" s="1182" t="s">
        <v>1651</v>
      </c>
    </row>
    <row r="37" spans="1:3" ht="14.25">
      <c r="A37" s="3228"/>
      <c r="B37" s="322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43558</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2977</v>
      </c>
      <c r="B14" s="3156">
        <f ca="1">IF(C14&lt;B2,"已过期",1120040230)</f>
        <v>1120040230</v>
      </c>
      <c r="C14" s="3160">
        <v>43835</v>
      </c>
      <c r="D14" s="3161" t="s">
        <v>2978</v>
      </c>
      <c r="E14" s="3156">
        <f ca="1">IF(F14&lt;B2,"已过期",98030020)</f>
        <v>98030020</v>
      </c>
      <c r="F14" s="3159">
        <v>47118</v>
      </c>
    </row>
    <row r="15" spans="1:6" ht="20.25" customHeight="1">
      <c r="A15" s="3156" t="s">
        <v>2575</v>
      </c>
      <c r="B15" s="3156">
        <f ca="1">IF(C15&lt;B2,"已过期",1120070085)</f>
        <v>1120070085</v>
      </c>
      <c r="C15" s="3160">
        <v>43814</v>
      </c>
      <c r="D15" s="3156" t="s">
        <v>2979</v>
      </c>
      <c r="E15" s="3156">
        <f ca="1">IF(F15&lt;B2,"已过期",2004110128)</f>
        <v>2004110128</v>
      </c>
      <c r="F15" s="3162">
        <v>47118</v>
      </c>
    </row>
    <row r="16" spans="1:6" ht="20.25" customHeight="1">
      <c r="A16" s="3156" t="s">
        <v>1924</v>
      </c>
      <c r="B16" s="3156">
        <f ca="1">IF(C16&lt;B2,"已过期",1120140022)</f>
        <v>1120140022</v>
      </c>
      <c r="C16" s="3158">
        <v>44029</v>
      </c>
      <c r="D16" s="3156" t="s">
        <v>2980</v>
      </c>
      <c r="E16" s="3156">
        <f ca="1">IF(F16&lt;B2,"已过期",2008110059)</f>
        <v>2008110059</v>
      </c>
      <c r="F16" s="3159">
        <v>47177</v>
      </c>
    </row>
    <row r="17" spans="1:7" ht="20.25" customHeight="1">
      <c r="A17" s="3156"/>
      <c r="B17" s="3156"/>
      <c r="C17" s="3158"/>
      <c r="D17" s="3161" t="s">
        <v>2981</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8" t="s">
        <v>2951</v>
      </c>
      <c r="C18" s="1554"/>
    </row>
    <row r="19" spans="1:3">
      <c r="A19" s="8" t="s">
        <v>120</v>
      </c>
      <c r="B19" s="3088"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3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日，在规划利用条件下、设定土地开发程度为红线外“七通”、宗地内场地，设定用途为，剩余土地使用年限为的出让国有建设用地使用权价格。</v>
      </c>
      <c r="D53" s="1767"/>
      <c r="E53" s="1767"/>
    </row>
    <row r="54" spans="1:5">
      <c r="A54" s="323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3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3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3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土地案例</vt:lpstr>
      <vt:lpstr>比较法-住宅、综合</vt:lpstr>
      <vt:lpstr>剩余法-待开发</vt:lpstr>
      <vt:lpstr>剩余法-现房</vt:lpstr>
      <vt:lpstr>信息</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2019-04-03T03:38:42Z</dcterms:modified>
</cp:coreProperties>
</file>