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330" yWindow="0" windowWidth="8940" windowHeight="9090" tabRatio="899" firstSheet="18"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指标表" sheetId="80" r:id="rId14"/>
    <sheet name="企业提供的分摊土地数据" sheetId="81"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系统读取表!$A$1:$I$29</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9" i="80" l="1"/>
  <c r="M9" i="80"/>
  <c r="N6" i="1"/>
  <c r="M21" i="1"/>
  <c r="L21" i="1"/>
  <c r="N21" i="1"/>
  <c r="N20" i="1"/>
  <c r="N19" i="1"/>
  <c r="M20" i="1"/>
  <c r="M19" i="1"/>
  <c r="L20" i="1"/>
  <c r="L19" i="1"/>
  <c r="A3" i="3"/>
  <c r="I5" i="80" l="1"/>
  <c r="I4" i="80"/>
  <c r="M4" i="80" l="1"/>
  <c r="M5" i="80"/>
  <c r="M6" i="80"/>
  <c r="M3" i="80"/>
  <c r="D33" i="43"/>
  <c r="I7" i="80"/>
  <c r="I6" i="80"/>
  <c r="I3" i="80"/>
  <c r="M7" i="80" l="1"/>
  <c r="L7" i="80" s="1"/>
  <c r="E7" i="80"/>
  <c r="H7" i="80"/>
  <c r="H6" i="80"/>
  <c r="H5" i="80"/>
  <c r="H4" i="80"/>
  <c r="H3" i="80"/>
  <c r="R78" i="81"/>
  <c r="R75" i="81"/>
  <c r="G64" i="81"/>
  <c r="R63" i="81"/>
  <c r="Q63" i="81"/>
  <c r="P63" i="81"/>
  <c r="F62" i="81"/>
  <c r="F61" i="81"/>
  <c r="R60" i="81"/>
  <c r="Q60" i="81"/>
  <c r="P60" i="81"/>
  <c r="F59" i="81"/>
  <c r="F58" i="81"/>
  <c r="F57" i="81"/>
  <c r="F56" i="81"/>
  <c r="G56" i="81" s="1"/>
  <c r="F55" i="81"/>
  <c r="F54" i="81"/>
  <c r="F53" i="81"/>
  <c r="F60" i="81" s="1"/>
  <c r="Q52" i="81"/>
  <c r="P52" i="81"/>
  <c r="O52" i="81"/>
  <c r="F50" i="81" s="1"/>
  <c r="N52" i="81"/>
  <c r="R49" i="81"/>
  <c r="R52" i="81" s="1"/>
  <c r="F49" i="81"/>
  <c r="F47" i="81"/>
  <c r="F45" i="81"/>
  <c r="F43" i="81"/>
  <c r="F41" i="81"/>
  <c r="Q39" i="81"/>
  <c r="Q64" i="81" s="1"/>
  <c r="P39" i="81"/>
  <c r="P64" i="81" s="1"/>
  <c r="O39" i="81"/>
  <c r="F26" i="81" s="1"/>
  <c r="F25" i="81"/>
  <c r="R24" i="81"/>
  <c r="R39" i="81" s="1"/>
  <c r="R23" i="81"/>
  <c r="Q23" i="81"/>
  <c r="P23" i="81"/>
  <c r="N23" i="81"/>
  <c r="J23" i="81"/>
  <c r="I23" i="81"/>
  <c r="O16" i="81"/>
  <c r="O23" i="81" s="1"/>
  <c r="L10" i="81"/>
  <c r="K8" i="81"/>
  <c r="L8" i="81" s="1"/>
  <c r="H7" i="81"/>
  <c r="H23" i="81" s="1"/>
  <c r="K6" i="81"/>
  <c r="L6" i="81" s="1"/>
  <c r="K5" i="81"/>
  <c r="L5" i="81" s="1"/>
  <c r="R64" i="81" l="1"/>
  <c r="R76" i="81" s="1"/>
  <c r="G57" i="81"/>
  <c r="G54" i="81"/>
  <c r="G58" i="81"/>
  <c r="F7" i="81"/>
  <c r="F10" i="81"/>
  <c r="O64" i="81"/>
  <c r="F9" i="81"/>
  <c r="F8" i="81"/>
  <c r="F6" i="81"/>
  <c r="F18" i="81"/>
  <c r="G55" i="81"/>
  <c r="G59" i="81"/>
  <c r="F27" i="81"/>
  <c r="F33" i="81"/>
  <c r="G53" i="81"/>
  <c r="F28" i="81"/>
  <c r="F30" i="81"/>
  <c r="F32" i="81"/>
  <c r="F34" i="81"/>
  <c r="F36" i="81"/>
  <c r="F42" i="81"/>
  <c r="F44" i="81"/>
  <c r="F46" i="81"/>
  <c r="F48" i="81"/>
  <c r="F63" i="81"/>
  <c r="G62" i="81" s="1"/>
  <c r="F29" i="81"/>
  <c r="F37" i="81"/>
  <c r="K7" i="81"/>
  <c r="L7" i="81" s="1"/>
  <c r="L22" i="81" s="1"/>
  <c r="F31" i="81"/>
  <c r="F35" i="81"/>
  <c r="F24" i="81"/>
  <c r="D3" i="4"/>
  <c r="G46" i="81" l="1"/>
  <c r="G44" i="81"/>
  <c r="G33" i="81"/>
  <c r="F52" i="81"/>
  <c r="G42" i="81"/>
  <c r="G30" i="81"/>
  <c r="G27" i="81"/>
  <c r="F39" i="81"/>
  <c r="G24" i="81"/>
  <c r="G37" i="81"/>
  <c r="G48" i="81"/>
  <c r="G36" i="81"/>
  <c r="G28" i="81"/>
  <c r="G61" i="81"/>
  <c r="G29" i="81"/>
  <c r="G34" i="81"/>
  <c r="G31" i="81"/>
  <c r="G32" i="81"/>
  <c r="G35" i="81"/>
  <c r="F23" i="81"/>
  <c r="G22" i="81" l="1"/>
  <c r="G14" i="81"/>
  <c r="G11" i="81"/>
  <c r="G19" i="81"/>
  <c r="G16" i="81"/>
  <c r="G5" i="81"/>
  <c r="F64" i="81"/>
  <c r="G15" i="81"/>
  <c r="G21" i="81"/>
  <c r="G20" i="81"/>
  <c r="G6" i="81"/>
  <c r="G7" i="81"/>
  <c r="G38" i="81"/>
  <c r="G25" i="81"/>
  <c r="G26" i="81"/>
  <c r="G18" i="81"/>
  <c r="G9" i="81"/>
  <c r="G8" i="81"/>
  <c r="G10" i="81"/>
  <c r="G51" i="81"/>
  <c r="G43" i="81"/>
  <c r="G47" i="81"/>
  <c r="G41" i="81"/>
  <c r="G45" i="81"/>
  <c r="G50" i="81"/>
  <c r="G49" i="81"/>
  <c r="G84" i="43" l="1"/>
  <c r="G85" i="43"/>
  <c r="G86" i="43"/>
  <c r="G87" i="43"/>
  <c r="G88" i="43"/>
  <c r="G89" i="43"/>
  <c r="G90" i="43"/>
  <c r="G83" i="43"/>
  <c r="G13" i="80" l="1"/>
  <c r="Y6" i="1" l="1"/>
  <c r="B59" i="1"/>
  <c r="B21" i="1"/>
  <c r="I14" i="3"/>
  <c r="I13" i="3"/>
  <c r="C14" i="3"/>
  <c r="C15" i="3"/>
  <c r="C16" i="3"/>
  <c r="C13" i="3"/>
  <c r="F19" i="6" l="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H103" i="9"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F34" i="67"/>
  <c r="F62" i="67" s="1"/>
  <c r="M20" i="67"/>
  <c r="F34" i="15"/>
  <c r="F62" i="15" s="1"/>
  <c r="BA13"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67"/>
  <c r="F40" i="15"/>
  <c r="F43" i="15"/>
  <c r="F38" i="15"/>
  <c r="F6" i="73"/>
  <c r="J15" i="67"/>
  <c r="E2" i="69"/>
  <c r="M26" i="67"/>
  <c r="F7" i="73"/>
  <c r="B7" i="76"/>
  <c r="F37" i="15"/>
  <c r="L47" i="15"/>
  <c r="F40" i="67"/>
  <c r="F43" i="67"/>
  <c r="M24" i="15"/>
  <c r="L48" i="67"/>
  <c r="F5" i="73"/>
  <c r="J15" i="15"/>
  <c r="C76" i="67"/>
  <c r="E12" i="76"/>
  <c r="F37" i="67"/>
  <c r="F6" i="15"/>
  <c r="M23" i="15"/>
  <c r="E10" i="76"/>
  <c r="D4" i="73"/>
  <c r="AO13" i="1"/>
  <c r="M8" i="67"/>
  <c r="B10" i="76"/>
  <c r="F16" i="67"/>
  <c r="F42" i="67"/>
  <c r="M6" i="15"/>
  <c r="M29" i="67"/>
  <c r="M28" i="67"/>
  <c r="F8" i="15"/>
  <c r="F38" i="67"/>
  <c r="F7" i="15"/>
  <c r="L48" i="15"/>
  <c r="M6" i="67"/>
  <c r="E9" i="76"/>
  <c r="B11" i="76"/>
  <c r="F4" i="73"/>
  <c r="C76" i="15"/>
  <c r="F26" i="15"/>
  <c r="B13" i="76"/>
  <c r="M9" i="67"/>
  <c r="E13" i="76"/>
  <c r="M28" i="15"/>
  <c r="M22" i="67"/>
  <c r="E2" i="68"/>
  <c r="F20" i="31"/>
  <c r="D7" i="73"/>
  <c r="F13" i="15"/>
  <c r="M26" i="15"/>
  <c r="F7" i="67"/>
  <c r="F9" i="15"/>
  <c r="B12" i="76"/>
  <c r="M23" i="67"/>
  <c r="B8" i="76"/>
  <c r="F13" i="67"/>
  <c r="D3" i="73"/>
  <c r="E8" i="76"/>
  <c r="F26" i="67"/>
  <c r="E7" i="76"/>
  <c r="M29" i="15"/>
  <c r="D6" i="73"/>
  <c r="F42" i="15"/>
  <c r="F3" i="73"/>
  <c r="M9" i="15"/>
  <c r="F6" i="67"/>
  <c r="F9" i="67"/>
  <c r="F8" i="67"/>
  <c r="F16" i="15"/>
  <c r="E11" i="76"/>
  <c r="M24" i="67"/>
  <c r="M8" i="15"/>
  <c r="F36" i="67"/>
  <c r="F36" i="15"/>
  <c r="M22" i="15"/>
  <c r="D5" i="73"/>
  <c r="B9" i="76"/>
  <c r="D8" i="53" l="1"/>
  <c r="D120" i="9"/>
  <c r="D12" i="53"/>
  <c r="B28" i="72" s="1"/>
  <c r="C18" i="9"/>
  <c r="D18" i="9" s="1"/>
  <c r="BA17" i="3"/>
  <c r="BL17" i="3"/>
  <c r="H5" i="3"/>
  <c r="G20" i="3"/>
  <c r="G19" i="3"/>
  <c r="G6" i="1"/>
  <c r="I24" i="43"/>
  <c r="C24" i="43" s="1"/>
  <c r="D88" i="43"/>
  <c r="C24" i="12"/>
  <c r="D93" i="9"/>
  <c r="B41" i="1"/>
  <c r="F53" i="9" s="1"/>
  <c r="C40" i="11"/>
  <c r="C40" i="69"/>
  <c r="C21" i="68"/>
  <c r="AC5" i="3"/>
  <c r="BL18" i="3"/>
  <c r="BQ5" i="3"/>
  <c r="F28" i="6" s="1"/>
  <c r="F30" i="6" s="1"/>
  <c r="AZ17" i="3"/>
  <c r="BA18" i="3"/>
  <c r="AZ18" i="3" s="1"/>
  <c r="BL19" i="3"/>
  <c r="BA19" i="3"/>
  <c r="F29" i="6"/>
  <c r="G5" i="3"/>
  <c r="B3" i="3" s="1"/>
  <c r="E48" i="3" s="1"/>
  <c r="AZ15" i="3"/>
  <c r="BL5" i="3"/>
  <c r="G28" i="6"/>
  <c r="G30" i="6" s="1"/>
  <c r="G31" i="6" s="1"/>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F26" i="43" s="1"/>
  <c r="E29" i="6"/>
  <c r="K15" i="1" s="1"/>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D121" i="9" l="1"/>
  <c r="D7" i="52" s="1"/>
  <c r="D6" i="52"/>
  <c r="E83" i="43"/>
  <c r="B81" i="43" s="1"/>
  <c r="E26" i="43"/>
  <c r="F48" i="9"/>
  <c r="O52" i="9" s="1"/>
  <c r="F30" i="68"/>
  <c r="F52" i="9"/>
  <c r="F32" i="15"/>
  <c r="F60" i="15" s="1"/>
  <c r="F54" i="9"/>
  <c r="F30" i="11"/>
  <c r="M18" i="67"/>
  <c r="M18" i="15"/>
  <c r="F28" i="67"/>
  <c r="C28" i="67" s="1"/>
  <c r="F32" i="67"/>
  <c r="F60" i="67" s="1"/>
  <c r="F28" i="15"/>
  <c r="C28" i="15" s="1"/>
  <c r="F31" i="12"/>
  <c r="C31" i="12" s="1"/>
  <c r="F30" i="69"/>
  <c r="D68" i="9"/>
  <c r="BA5" i="3"/>
  <c r="E28" i="6"/>
  <c r="K14" i="1" s="1"/>
  <c r="H26" i="43"/>
  <c r="E246" i="3"/>
  <c r="E578" i="3"/>
  <c r="E290" i="3"/>
  <c r="E361" i="3"/>
  <c r="E304" i="3"/>
  <c r="E185" i="3"/>
  <c r="E321" i="3"/>
  <c r="V6" i="3"/>
  <c r="E523" i="3"/>
  <c r="E151" i="3"/>
  <c r="E516" i="3"/>
  <c r="E305" i="3"/>
  <c r="E319" i="3"/>
  <c r="E30" i="3"/>
  <c r="E394" i="3"/>
  <c r="AA6" i="3"/>
  <c r="E280" i="3"/>
  <c r="E353" i="3"/>
  <c r="E586" i="3"/>
  <c r="E382" i="3"/>
  <c r="E159" i="3"/>
  <c r="E91" i="3"/>
  <c r="E117" i="3"/>
  <c r="E17" i="3"/>
  <c r="E183" i="3"/>
  <c r="E415" i="3"/>
  <c r="E237" i="3"/>
  <c r="E216" i="3"/>
  <c r="E294" i="3"/>
  <c r="E338" i="3"/>
  <c r="E538" i="3"/>
  <c r="E551" i="3"/>
  <c r="S6" i="3"/>
  <c r="E270" i="3"/>
  <c r="E229" i="3"/>
  <c r="E359" i="3"/>
  <c r="E555" i="3"/>
  <c r="E239" i="3"/>
  <c r="E426" i="3"/>
  <c r="E343" i="3"/>
  <c r="E366" i="3"/>
  <c r="E53" i="3"/>
  <c r="E44" i="3"/>
  <c r="E331" i="3"/>
  <c r="E186" i="3"/>
  <c r="E27" i="3"/>
  <c r="E476" i="3"/>
  <c r="E505" i="3"/>
  <c r="E414" i="3"/>
  <c r="E515" i="3"/>
  <c r="E107" i="3"/>
  <c r="E269" i="3"/>
  <c r="E567" i="3"/>
  <c r="E318" i="3"/>
  <c r="E279" i="3"/>
  <c r="E111" i="3"/>
  <c r="E433" i="3"/>
  <c r="E571" i="3"/>
  <c r="E457" i="3"/>
  <c r="E458" i="3"/>
  <c r="E519" i="3"/>
  <c r="E228" i="3"/>
  <c r="E136" i="3"/>
  <c r="E253" i="3"/>
  <c r="E340" i="3"/>
  <c r="E372" i="3"/>
  <c r="E498" i="3"/>
  <c r="E223" i="3"/>
  <c r="E149" i="3"/>
  <c r="E244" i="3"/>
  <c r="E378" i="3"/>
  <c r="E19" i="3"/>
  <c r="E147" i="3"/>
  <c r="E105" i="3"/>
  <c r="E422" i="3"/>
  <c r="E483" i="3"/>
  <c r="E202" i="3"/>
  <c r="E60" i="3"/>
  <c r="E194" i="3"/>
  <c r="E77" i="3"/>
  <c r="E461" i="3"/>
  <c r="E314" i="3"/>
  <c r="AK6" i="3"/>
  <c r="E157" i="3"/>
  <c r="E19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421" i="3"/>
  <c r="E446" i="3"/>
  <c r="E100" i="3"/>
  <c r="E364" i="3"/>
  <c r="E493" i="3"/>
  <c r="E490" i="3"/>
  <c r="E463" i="3"/>
  <c r="E226" i="3"/>
  <c r="E540" i="3"/>
  <c r="E325" i="3"/>
  <c r="E122" i="3"/>
  <c r="E85" i="3"/>
  <c r="E545" i="3"/>
  <c r="E306" i="3"/>
  <c r="E45" i="3"/>
  <c r="E13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347" i="3"/>
  <c r="E399" i="3"/>
  <c r="E124" i="3"/>
  <c r="E518" i="3"/>
  <c r="E402" i="3"/>
  <c r="E301" i="3"/>
  <c r="E61" i="3"/>
  <c r="E221" i="3"/>
  <c r="E503" i="3"/>
  <c r="E260" i="3"/>
  <c r="E565" i="3"/>
  <c r="E261" i="3"/>
  <c r="E130" i="3"/>
  <c r="E298" i="3"/>
  <c r="E380" i="3"/>
  <c r="E407" i="3"/>
  <c r="E506" i="3"/>
  <c r="AR6" i="3"/>
  <c r="E358" i="3"/>
  <c r="E97" i="3"/>
  <c r="E337" i="3"/>
  <c r="E569" i="3"/>
  <c r="O6" i="3"/>
  <c r="E508" i="3"/>
  <c r="E282" i="3"/>
  <c r="E501" i="3"/>
  <c r="E175" i="3"/>
  <c r="E441" i="3"/>
  <c r="E384" i="3"/>
  <c r="E210" i="3"/>
  <c r="E162" i="3"/>
  <c r="E447" i="3"/>
  <c r="AS6" i="3"/>
  <c r="E477" i="3"/>
  <c r="E478" i="3"/>
  <c r="E585" i="3"/>
  <c r="E271" i="3"/>
  <c r="E549" i="3"/>
  <c r="E31" i="3"/>
  <c r="E351" i="3"/>
  <c r="E150" i="3"/>
  <c r="E72" i="3"/>
  <c r="E450" i="3"/>
  <c r="E562" i="3"/>
  <c r="E527" i="3"/>
  <c r="E573" i="3"/>
  <c r="E224" i="3"/>
  <c r="E511" i="3"/>
  <c r="E568" i="3"/>
  <c r="E38" i="3"/>
  <c r="E178" i="3"/>
  <c r="E486" i="3"/>
  <c r="E52" i="3"/>
  <c r="E57" i="3"/>
  <c r="X6" i="3"/>
  <c r="E495" i="3"/>
  <c r="E303" i="3"/>
  <c r="E134" i="3"/>
  <c r="E302" i="3"/>
  <c r="E395" i="3"/>
  <c r="E230" i="3"/>
  <c r="E439" i="3"/>
  <c r="E533" i="3"/>
  <c r="E285" i="3"/>
  <c r="E410" i="3"/>
  <c r="E328" i="3"/>
  <c r="E553" i="3"/>
  <c r="E316" i="3"/>
  <c r="E166" i="3"/>
  <c r="E88" i="3"/>
  <c r="E444" i="3"/>
  <c r="E558" i="3"/>
  <c r="P6" i="3"/>
  <c r="AG6" i="3"/>
  <c r="E164" i="3"/>
  <c r="E236" i="3"/>
  <c r="E32" i="3"/>
  <c r="E256" i="3"/>
  <c r="E73" i="3"/>
  <c r="E496" i="3"/>
  <c r="AE6" i="3"/>
  <c r="E424" i="3"/>
  <c r="E437" i="3"/>
  <c r="E313" i="3"/>
  <c r="E99" i="3"/>
  <c r="E181" i="3"/>
  <c r="E36" i="3"/>
  <c r="E346" i="3"/>
  <c r="AH6" i="3"/>
  <c r="E16" i="3"/>
  <c r="E209" i="3"/>
  <c r="E583" i="3"/>
  <c r="E336" i="3"/>
  <c r="E293" i="3"/>
  <c r="AN6" i="3"/>
  <c r="E350" i="3"/>
  <c r="E245" i="3"/>
  <c r="E254" i="3"/>
  <c r="E180" i="3"/>
  <c r="E550" i="3"/>
  <c r="E213" i="3"/>
  <c r="E528" i="3"/>
  <c r="E114" i="3"/>
  <c r="E169" i="3"/>
  <c r="E231" i="3"/>
  <c r="E320" i="3"/>
  <c r="E418" i="3"/>
  <c r="E561" i="3"/>
  <c r="E559" i="3"/>
  <c r="E390" i="3"/>
  <c r="E143" i="3"/>
  <c r="E396" i="3"/>
  <c r="E574" i="3"/>
  <c r="E388" i="3"/>
  <c r="N6" i="3"/>
  <c r="E153" i="3"/>
  <c r="E530" i="3"/>
  <c r="E125" i="3"/>
  <c r="E480" i="3"/>
  <c r="E334" i="3"/>
  <c r="E295" i="3"/>
  <c r="E121" i="3"/>
  <c r="E404" i="3"/>
  <c r="E581" i="3"/>
  <c r="E443" i="3"/>
  <c r="E448" i="3"/>
  <c r="E576" i="3"/>
  <c r="E252" i="3"/>
  <c r="I6" i="3"/>
  <c r="E580" i="3"/>
  <c r="E274" i="3"/>
  <c r="E203" i="3"/>
  <c r="E55" i="3"/>
  <c r="E429" i="3"/>
  <c r="E344" i="3"/>
  <c r="E481" i="3"/>
  <c r="Q6" i="3"/>
  <c r="E277" i="3"/>
  <c r="E352" i="3"/>
  <c r="E453" i="3"/>
  <c r="E455" i="3"/>
  <c r="E25" i="3"/>
  <c r="E543" i="3"/>
  <c r="E339" i="3"/>
  <c r="E500" i="3"/>
  <c r="P6" i="1"/>
  <c r="C13" i="12" s="1"/>
  <c r="G26" i="43"/>
  <c r="AQ6" i="3"/>
  <c r="E170" i="3"/>
  <c r="E473" i="3"/>
  <c r="L6" i="3"/>
  <c r="E276" i="3"/>
  <c r="E119" i="3"/>
  <c r="E40" i="3"/>
  <c r="E419" i="3"/>
  <c r="E376" i="3"/>
  <c r="E507" i="3"/>
  <c r="E564" i="3"/>
  <c r="E116" i="3"/>
  <c r="E329" i="3"/>
  <c r="E112" i="3"/>
  <c r="E219" i="3"/>
  <c r="E284" i="3"/>
  <c r="E138" i="3"/>
  <c r="E240" i="3"/>
  <c r="E416" i="3"/>
  <c r="N94" i="46"/>
  <c r="J26" i="43"/>
  <c r="N370" i="46"/>
  <c r="E330" i="3"/>
  <c r="E177" i="3"/>
  <c r="E120" i="3"/>
  <c r="E262" i="3"/>
  <c r="E128" i="3"/>
  <c r="E434" i="3"/>
  <c r="E238" i="3"/>
  <c r="E156" i="3"/>
  <c r="E123" i="3"/>
  <c r="E299" i="3"/>
  <c r="E79" i="3"/>
  <c r="E43" i="3"/>
  <c r="E333" i="3"/>
  <c r="E242" i="3"/>
  <c r="E108" i="3"/>
  <c r="E401" i="3"/>
  <c r="J6" i="3"/>
  <c r="E440" i="3"/>
  <c r="E427" i="3"/>
  <c r="E393" i="3"/>
  <c r="E188" i="3"/>
  <c r="E289" i="3"/>
  <c r="E392" i="3"/>
  <c r="E323" i="3"/>
  <c r="E354" i="3"/>
  <c r="E110" i="3"/>
  <c r="E520" i="3"/>
  <c r="E312" i="3"/>
  <c r="AZ19" i="3"/>
  <c r="AZ5" i="3"/>
  <c r="E3" i="6" s="1"/>
  <c r="E15" i="3"/>
  <c r="E222" i="3"/>
  <c r="E51" i="3"/>
  <c r="E250" i="3"/>
  <c r="E24" i="3"/>
  <c r="E386" i="3"/>
  <c r="E248" i="3"/>
  <c r="E65" i="3"/>
  <c r="E521" i="3"/>
  <c r="E58" i="3"/>
  <c r="E348" i="3"/>
  <c r="E155" i="3"/>
  <c r="E90" i="3"/>
  <c r="E460" i="3"/>
  <c r="E566" i="3"/>
  <c r="E398" i="3"/>
  <c r="E552" i="3"/>
  <c r="E141" i="3"/>
  <c r="E165" i="3"/>
  <c r="E234" i="3"/>
  <c r="E82" i="3"/>
  <c r="E179" i="3"/>
  <c r="Y6" i="3"/>
  <c r="E127" i="3"/>
  <c r="E66" i="3"/>
  <c r="E307" i="3"/>
  <c r="E163" i="3"/>
  <c r="E98" i="3"/>
  <c r="E462" i="3"/>
  <c r="E504" i="3"/>
  <c r="E259" i="3"/>
  <c r="E187" i="3"/>
  <c r="E39" i="3"/>
  <c r="E413" i="3"/>
  <c r="E374" i="3"/>
  <c r="E487" i="3"/>
  <c r="E542" i="3"/>
  <c r="E167" i="3"/>
  <c r="E510" i="3"/>
  <c r="E137" i="3"/>
  <c r="E373" i="3"/>
  <c r="E154" i="3"/>
  <c r="E341" i="3"/>
  <c r="E87" i="3"/>
  <c r="E584" i="3"/>
  <c r="E266" i="3"/>
  <c r="E195" i="3"/>
  <c r="E47" i="3"/>
  <c r="E488" i="3"/>
  <c r="E375" i="3"/>
  <c r="E297" i="3"/>
  <c r="E131" i="3"/>
  <c r="E436" i="3"/>
  <c r="E582" i="3"/>
  <c r="E459" i="3"/>
  <c r="E464" i="3"/>
  <c r="AD6" i="3"/>
  <c r="E539" i="3"/>
  <c r="E148" i="3"/>
  <c r="E199" i="3"/>
  <c r="E575" i="3"/>
  <c r="R6" i="3"/>
  <c r="E442" i="3"/>
  <c r="E541" i="3"/>
  <c r="E449" i="3"/>
  <c r="I3" i="6"/>
  <c r="E554" i="3"/>
  <c r="E435" i="3"/>
  <c r="E417" i="3"/>
  <c r="E56" i="3"/>
  <c r="E95" i="3"/>
  <c r="E132" i="3"/>
  <c r="E258" i="3"/>
  <c r="E292" i="3"/>
  <c r="E349" i="3"/>
  <c r="E544" i="3"/>
  <c r="E59" i="3"/>
  <c r="E484" i="3"/>
  <c r="E467" i="3"/>
  <c r="E46" i="3"/>
  <c r="E160" i="3"/>
  <c r="E200" i="3"/>
  <c r="E249" i="3"/>
  <c r="E371" i="3"/>
  <c r="E492" i="3"/>
  <c r="E84" i="3"/>
  <c r="E33" i="3"/>
  <c r="E184" i="3"/>
  <c r="E355" i="3"/>
  <c r="E50" i="3"/>
  <c r="E63" i="3"/>
  <c r="E113" i="3"/>
  <c r="E218" i="3"/>
  <c r="E283" i="3"/>
  <c r="E326" i="3"/>
  <c r="E101" i="3"/>
  <c r="E205" i="3"/>
  <c r="E140" i="3"/>
  <c r="E173" i="3"/>
  <c r="E525" i="3"/>
  <c r="T6" i="3"/>
  <c r="E456" i="3"/>
  <c r="E512" i="3"/>
  <c r="E451" i="3"/>
  <c r="E556" i="3"/>
  <c r="E13" i="3"/>
  <c r="E452" i="3"/>
  <c r="E420" i="3"/>
  <c r="E104" i="3"/>
  <c r="E115" i="3"/>
  <c r="E139" i="3"/>
  <c r="E281" i="3"/>
  <c r="E332" i="3"/>
  <c r="E356" i="3"/>
  <c r="E42" i="3"/>
  <c r="E75" i="3"/>
  <c r="E482" i="3"/>
  <c r="E18" i="3"/>
  <c r="E78" i="3"/>
  <c r="E190" i="3"/>
  <c r="E220" i="3"/>
  <c r="E235" i="3"/>
  <c r="E383" i="3"/>
  <c r="E522" i="3"/>
  <c r="E86" i="3"/>
  <c r="E49" i="3"/>
  <c r="E232" i="3"/>
  <c r="E370" i="3"/>
  <c r="E68" i="3"/>
  <c r="E80" i="3"/>
  <c r="E176" i="3"/>
  <c r="E264" i="3"/>
  <c r="E308" i="3"/>
  <c r="E524" i="3"/>
  <c r="E21" i="3"/>
  <c r="E469" i="3"/>
  <c r="E494" i="3"/>
  <c r="E26" i="3"/>
  <c r="E198" i="3"/>
  <c r="E391" i="3"/>
  <c r="E94" i="3"/>
  <c r="E536" i="3"/>
  <c r="E212" i="3"/>
  <c r="E286" i="3"/>
  <c r="E499" i="3"/>
  <c r="E502" i="3"/>
  <c r="E466" i="3"/>
  <c r="E430" i="3"/>
  <c r="E255" i="3"/>
  <c r="AP6" i="3"/>
  <c r="E517" i="3"/>
  <c r="E491" i="3"/>
  <c r="E479" i="3"/>
  <c r="E37" i="3"/>
  <c r="E152" i="3"/>
  <c r="E192" i="3"/>
  <c r="E241" i="3"/>
  <c r="E363" i="3"/>
  <c r="E389" i="3"/>
  <c r="E76" i="3"/>
  <c r="E409" i="3"/>
  <c r="E425" i="3"/>
  <c r="E64" i="3"/>
  <c r="E103" i="3"/>
  <c r="E142" i="3"/>
  <c r="E267" i="3"/>
  <c r="E300" i="3"/>
  <c r="E310" i="3"/>
  <c r="E23" i="3"/>
  <c r="E67" i="3"/>
  <c r="E144" i="3"/>
  <c r="E233" i="3"/>
  <c r="E381" i="3"/>
  <c r="E102" i="3"/>
  <c r="E62" i="3"/>
  <c r="E118" i="3"/>
  <c r="E287" i="3"/>
  <c r="E365" i="3"/>
  <c r="E513" i="3"/>
  <c r="E83" i="3"/>
  <c r="E296" i="3"/>
  <c r="E197" i="3"/>
  <c r="E369" i="3"/>
  <c r="E534" i="3"/>
  <c r="E405" i="3"/>
  <c r="E408" i="3"/>
  <c r="E360" i="3"/>
  <c r="E497" i="3"/>
  <c r="E470" i="3"/>
  <c r="E41" i="3"/>
  <c r="E243" i="3"/>
  <c r="AL6" i="3"/>
  <c r="E428" i="3"/>
  <c r="E96" i="3"/>
  <c r="E324" i="3"/>
  <c r="E206" i="3"/>
  <c r="E81" i="3"/>
  <c r="E22" i="3"/>
  <c r="E129" i="3"/>
  <c r="E342" i="3"/>
  <c r="E251" i="3"/>
  <c r="E158" i="3"/>
  <c r="E225" i="3"/>
  <c r="E174" i="3"/>
  <c r="E35" i="3"/>
  <c r="AF6" i="3"/>
  <c r="E265" i="3"/>
  <c r="E412" i="3"/>
  <c r="E275" i="3"/>
  <c r="E34" i="3"/>
  <c r="E20" i="3"/>
  <c r="E309" i="3"/>
  <c r="K16" i="1"/>
  <c r="J7" i="36"/>
  <c r="W7" i="36" s="1"/>
  <c r="H7" i="36"/>
  <c r="U7" i="36" s="1"/>
  <c r="D18" i="53"/>
  <c r="B35" i="72" s="1"/>
  <c r="J7" i="37"/>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F7" i="33"/>
  <c r="E58" i="21"/>
  <c r="AC7" i="36"/>
  <c r="V36" i="36" s="1"/>
  <c r="I36" i="36" s="1"/>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D26" i="43" l="1"/>
  <c r="C25" i="43" s="1"/>
  <c r="C48" i="11"/>
  <c r="C30" i="11"/>
  <c r="F48" i="68"/>
  <c r="C48" i="68"/>
  <c r="C30" i="68"/>
  <c r="F48" i="69"/>
  <c r="C30" i="69"/>
  <c r="C48" i="69"/>
  <c r="AY6" i="3"/>
  <c r="AY59" i="3" s="1"/>
  <c r="H6" i="3"/>
  <c r="AC6" i="3"/>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297" i="3"/>
  <c r="AY335" i="3"/>
  <c r="AY428" i="3"/>
  <c r="AY217" i="3"/>
  <c r="AY358" i="3"/>
  <c r="AY553" i="3"/>
  <c r="AY60" i="3"/>
  <c r="AY118" i="3"/>
  <c r="AY219" i="3"/>
  <c r="BH6" i="3"/>
  <c r="AY177" i="3"/>
  <c r="AY491" i="3"/>
  <c r="AY446" i="3"/>
  <c r="AY411" i="3"/>
  <c r="AY18" i="3"/>
  <c r="AY526" i="3"/>
  <c r="AY447" i="3"/>
  <c r="AY68" i="3"/>
  <c r="AY117" i="3"/>
  <c r="AY239" i="3"/>
  <c r="AY150" i="3"/>
  <c r="AY393" i="3"/>
  <c r="AY308" i="3"/>
  <c r="AY532" i="3"/>
  <c r="AY523" i="3"/>
  <c r="AY147" i="3"/>
  <c r="AY412" i="3"/>
  <c r="AY343" i="3"/>
  <c r="AY478" i="3"/>
  <c r="AY100" i="3"/>
  <c r="AY193" i="3"/>
  <c r="AY173" i="3"/>
  <c r="AY368" i="3"/>
  <c r="AY507" i="3"/>
  <c r="AY121" i="3"/>
  <c r="AY483" i="3"/>
  <c r="AY419" i="3"/>
  <c r="AY572" i="3"/>
  <c r="AY96" i="3"/>
  <c r="AY80" i="3"/>
  <c r="AY37" i="3"/>
  <c r="AY266" i="3"/>
  <c r="AY369" i="3"/>
  <c r="AY328" i="3"/>
  <c r="AY453" i="3"/>
  <c r="AY407" i="3"/>
  <c r="AY499" i="3"/>
  <c r="AY531" i="3"/>
  <c r="BA6" i="3"/>
  <c r="AY46" i="3"/>
  <c r="AY280" i="3"/>
  <c r="AY264" i="3"/>
  <c r="AY362" i="3"/>
  <c r="AY469" i="3"/>
  <c r="AY558" i="3"/>
  <c r="AY517" i="3"/>
  <c r="AY70" i="3"/>
  <c r="AY184" i="3"/>
  <c r="AY148" i="3"/>
  <c r="AY256" i="3"/>
  <c r="AY224" i="3"/>
  <c r="AY338" i="3"/>
  <c r="AY416" i="3"/>
  <c r="BC6" i="3"/>
  <c r="AY498" i="3"/>
  <c r="AY218" i="3"/>
  <c r="AY385" i="3"/>
  <c r="AY336" i="3"/>
  <c r="AY431" i="3"/>
  <c r="AY575" i="3"/>
  <c r="AY548" i="3"/>
  <c r="AY203" i="3"/>
  <c r="AY383" i="3"/>
  <c r="AY330" i="3"/>
  <c r="AY102" i="3"/>
  <c r="AY39" i="3"/>
  <c r="AY136" i="3"/>
  <c r="AY474" i="3"/>
  <c r="AY15" i="3"/>
  <c r="AY174" i="3"/>
  <c r="AY113" i="3"/>
  <c r="AY361" i="3"/>
  <c r="AY305" i="3"/>
  <c r="AY434" i="3"/>
  <c r="AY505" i="3"/>
  <c r="AY538" i="3"/>
  <c r="BP6" i="3"/>
  <c r="AY79" i="3"/>
  <c r="AY151" i="3"/>
  <c r="AY394" i="3"/>
  <c r="AY315" i="3"/>
  <c r="AY408" i="3"/>
  <c r="AY71" i="3"/>
  <c r="AY200" i="3"/>
  <c r="AY164" i="3"/>
  <c r="AY386" i="3"/>
  <c r="AY477" i="3"/>
  <c r="AY521"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BT6" i="3" l="1"/>
  <c r="AY240" i="3"/>
  <c r="AY500" i="3"/>
  <c r="AY301" i="3"/>
  <c r="AY545" i="3"/>
  <c r="AY479" i="3"/>
  <c r="AY153" i="3"/>
  <c r="AY375" i="3"/>
  <c r="AY440" i="3"/>
  <c r="AY30" i="3"/>
  <c r="AY418" i="3"/>
  <c r="AY32" i="3"/>
  <c r="AY490" i="3"/>
  <c r="AY241" i="3"/>
  <c r="AY587" i="3"/>
  <c r="AY314" i="3"/>
  <c r="AY156" i="3"/>
  <c r="D3" i="6"/>
  <c r="AY468" i="3"/>
  <c r="AY129" i="3"/>
  <c r="AY543" i="3"/>
  <c r="AY215" i="3"/>
  <c r="AY238" i="3"/>
  <c r="AY539" i="3"/>
  <c r="AY220" i="3"/>
  <c r="AY525" i="3"/>
  <c r="AY211" i="3"/>
  <c r="BO6" i="3"/>
  <c r="AY16" i="3"/>
  <c r="AY114" i="3"/>
  <c r="AY299" i="3"/>
  <c r="AY541" i="3"/>
  <c r="AY123" i="3"/>
  <c r="B14" i="74"/>
  <c r="B1" i="74" s="1"/>
  <c r="AY443" i="3"/>
  <c r="AY257" i="3"/>
  <c r="AY568" i="3"/>
  <c r="AY359" i="3"/>
  <c r="AY19" i="3"/>
  <c r="AY522" i="3"/>
  <c r="AY445" i="3"/>
  <c r="AY396" i="3"/>
  <c r="AY583" i="3"/>
  <c r="AY272" i="3"/>
  <c r="AY576" i="3"/>
  <c r="AY296" i="3"/>
  <c r="AY530" i="3"/>
  <c r="AY492" i="3"/>
  <c r="AY142" i="3"/>
  <c r="BD6" i="3"/>
  <c r="AY354" i="3"/>
  <c r="AY128" i="3"/>
  <c r="AY91" i="3"/>
  <c r="AY437" i="3"/>
  <c r="AY378" i="3"/>
  <c r="AY35" i="3"/>
  <c r="AY509" i="3"/>
  <c r="AY442" i="3"/>
  <c r="AY329" i="3"/>
  <c r="AY137" i="3"/>
  <c r="AY584" i="3"/>
  <c r="AY480" i="3"/>
  <c r="AY161" i="3"/>
  <c r="AY291" i="3"/>
  <c r="AY105" i="3"/>
  <c r="AY229" i="3"/>
  <c r="AY112" i="3"/>
  <c r="AY403" i="3"/>
  <c r="AY186" i="3"/>
  <c r="AY25" i="3"/>
  <c r="AY390" i="3"/>
  <c r="AY510" i="3"/>
  <c r="AY377" i="3"/>
  <c r="AY357" i="3"/>
  <c r="AY201" i="3"/>
  <c r="AY463" i="3"/>
  <c r="AY470" i="3"/>
  <c r="AY131" i="3"/>
  <c r="AY566" i="3"/>
  <c r="AY307" i="3"/>
  <c r="AY143" i="3"/>
  <c r="AY107" i="3"/>
  <c r="AY451" i="3"/>
  <c r="AY265" i="3"/>
  <c r="AY62" i="3"/>
  <c r="AY551" i="3"/>
  <c r="AY402" i="3"/>
  <c r="AY320" i="3"/>
  <c r="AY250" i="3"/>
  <c r="AY567" i="3"/>
  <c r="AY322" i="3"/>
  <c r="AY175" i="3"/>
  <c r="AY421" i="3"/>
  <c r="AY233" i="3"/>
  <c r="AY47" i="3"/>
  <c r="AY17" i="3"/>
  <c r="AY304" i="3"/>
  <c r="AY298" i="3"/>
  <c r="AY511" i="3"/>
  <c r="AY448" i="3"/>
  <c r="AY367" i="3"/>
  <c r="AY119" i="3"/>
  <c r="AY38" i="3"/>
  <c r="BL6" i="3"/>
  <c r="AY456" i="3"/>
  <c r="AY376" i="3"/>
  <c r="AY127" i="3"/>
  <c r="AY99" i="3"/>
  <c r="AY565" i="3"/>
  <c r="AY423" i="3"/>
  <c r="AY312" i="3"/>
  <c r="AY223" i="3"/>
  <c r="AY169" i="3"/>
  <c r="AY582" i="3"/>
  <c r="AY580" i="3"/>
  <c r="AY341" i="3"/>
  <c r="AY88" i="3"/>
  <c r="AY270" i="3"/>
  <c r="AY20" i="3"/>
  <c r="AY417" i="3"/>
  <c r="AY497" i="3"/>
  <c r="AY132" i="3"/>
  <c r="AY518" i="3"/>
  <c r="AY325" i="3"/>
  <c r="BI6" i="3"/>
  <c r="AY182" i="3"/>
  <c r="AY535" i="3"/>
  <c r="AY486" i="3"/>
  <c r="BM6" i="3"/>
  <c r="AY333" i="3"/>
  <c r="AY202" i="3"/>
  <c r="AY231" i="3"/>
  <c r="AY33" i="3"/>
  <c r="AY513" i="3"/>
  <c r="AY529" i="3"/>
  <c r="AY139" i="3"/>
  <c r="AY87" i="3"/>
  <c r="AY23" i="3"/>
  <c r="AY58" i="3"/>
  <c r="AY67" i="3"/>
  <c r="AY319" i="3"/>
  <c r="AY180" i="3"/>
  <c r="AY342" i="3"/>
  <c r="AY544" i="3"/>
  <c r="AY45" i="3"/>
  <c r="AY170" i="3"/>
  <c r="AY278" i="3"/>
  <c r="AY381" i="3"/>
  <c r="AY41" i="3"/>
  <c r="AY259" i="3"/>
  <c r="AY332" i="3"/>
  <c r="AY414" i="3"/>
  <c r="AY571" i="3"/>
  <c r="AY163" i="3"/>
  <c r="AY269" i="3"/>
  <c r="AY404" i="3"/>
  <c r="AY85" i="3"/>
  <c r="AY157" i="3"/>
  <c r="AY254" i="3"/>
  <c r="AY93" i="3"/>
  <c r="AY226" i="3"/>
  <c r="AY464" i="3"/>
  <c r="AY516" i="3"/>
  <c r="AY496" i="3"/>
  <c r="AY191" i="3"/>
  <c r="AY350" i="3"/>
  <c r="AY116" i="3"/>
  <c r="AY326" i="3"/>
  <c r="AY573" i="3"/>
  <c r="AY84" i="3"/>
  <c r="AY162" i="3"/>
  <c r="AY286" i="3"/>
  <c r="AY373" i="3"/>
  <c r="AY72" i="3"/>
  <c r="AY275" i="3"/>
  <c r="AY324" i="3"/>
  <c r="AY406" i="3"/>
  <c r="AY536" i="3"/>
  <c r="AY514" i="3"/>
  <c r="AY65" i="3"/>
  <c r="AY189" i="3"/>
  <c r="AY282" i="3"/>
  <c r="AY380" i="3"/>
  <c r="AY313" i="3"/>
  <c r="AY484" i="3"/>
  <c r="AY426" i="3"/>
  <c r="AY579" i="3"/>
  <c r="AY502" i="3"/>
  <c r="AY570" i="3"/>
  <c r="AY94" i="3"/>
  <c r="AY187" i="3"/>
  <c r="AY285"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400" i="3"/>
  <c r="AY351" i="3"/>
  <c r="AY293" i="3"/>
  <c r="AY54" i="3"/>
  <c r="AY547" i="3"/>
  <c r="AY485" i="3"/>
  <c r="AY248" i="3"/>
  <c r="AY172" i="3"/>
  <c r="AY493" i="3"/>
  <c r="AY515" i="3"/>
  <c r="AY415" i="3"/>
  <c r="AY476" i="3"/>
  <c r="AY337" i="3"/>
  <c r="AY267" i="3"/>
  <c r="AY21" i="3"/>
  <c r="AY432" i="3"/>
  <c r="AY208" i="3"/>
  <c r="AY195" i="3"/>
  <c r="AY13" i="3"/>
  <c r="AY347" i="3"/>
  <c r="AY120" i="3"/>
  <c r="AY563" i="3"/>
  <c r="AY564" i="3"/>
  <c r="AY450" i="3"/>
  <c r="AY352" i="3"/>
  <c r="AY122" i="3"/>
  <c r="AY586" i="3"/>
  <c r="AY429" i="3"/>
  <c r="AY306" i="3"/>
  <c r="AY391" i="3"/>
  <c r="AY277" i="3"/>
  <c r="AY179" i="3"/>
  <c r="AY55" i="3"/>
  <c r="AY560" i="3"/>
  <c r="AY424" i="3"/>
  <c r="AY346" i="3"/>
  <c r="AY232" i="3"/>
  <c r="AY167" i="3"/>
  <c r="AY78" i="3"/>
  <c r="BR6" i="3"/>
  <c r="AY14" i="3"/>
  <c r="AY410" i="3"/>
  <c r="AY487" i="3"/>
  <c r="AY345" i="3"/>
  <c r="AY251" i="3"/>
  <c r="AY194" i="3"/>
  <c r="AY519" i="3"/>
  <c r="AY552" i="3"/>
  <c r="AY438" i="3"/>
  <c r="AY370" i="3"/>
  <c r="AY29" i="3"/>
  <c r="AY227" i="3"/>
  <c r="AY134" i="3"/>
  <c r="AY52" i="3"/>
  <c r="AY557" i="3"/>
  <c r="AY212" i="3"/>
  <c r="AY455" i="3"/>
  <c r="AY82" i="3"/>
  <c r="AY559" i="3"/>
  <c r="AY454" i="3"/>
  <c r="AY130" i="3"/>
  <c r="AY365" i="3"/>
  <c r="AY126" i="3"/>
  <c r="AY555" i="3"/>
  <c r="AY355" i="3"/>
  <c r="AY237" i="3"/>
  <c r="AY561" i="3"/>
  <c r="AY472" i="3"/>
  <c r="AY210" i="3"/>
  <c r="AY104" i="3"/>
  <c r="AY246" i="3"/>
  <c r="AY165" i="3"/>
  <c r="AY92" i="3"/>
  <c r="AY433" i="3"/>
  <c r="AY245" i="3"/>
  <c r="AY284" i="3"/>
  <c r="AY225" i="3"/>
  <c r="AY124"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1" i="3"/>
  <c r="AY556" i="3"/>
  <c r="AY527" i="3"/>
  <c r="AY422" i="3"/>
  <c r="AY340" i="3"/>
  <c r="AY243" i="3"/>
  <c r="AY57" i="3"/>
  <c r="AY389" i="3"/>
  <c r="AY271" i="3"/>
  <c r="AY178" i="3"/>
  <c r="AY53" i="3"/>
  <c r="AY574" i="3"/>
  <c r="AY311" i="3"/>
  <c r="AY199" i="3"/>
  <c r="AY334" i="3"/>
  <c r="AY171" i="3"/>
  <c r="BG6" i="3"/>
  <c r="BF6" i="3"/>
  <c r="AY581" i="3"/>
  <c r="AY430" i="3"/>
  <c r="AY488" i="3"/>
  <c r="AY317" i="3"/>
  <c r="AY388" i="3"/>
  <c r="AY290" i="3"/>
  <c r="AY197" i="3"/>
  <c r="AY73" i="3"/>
  <c r="AY554" i="3"/>
  <c r="AY392" i="3"/>
  <c r="AY262" i="3"/>
  <c r="AY294" i="3"/>
  <c r="AY149" i="3"/>
  <c r="AY185" i="3"/>
  <c r="AY28" i="3"/>
  <c r="AY77" i="3"/>
  <c r="BE6" i="3"/>
  <c r="BK6" i="3"/>
  <c r="AY452" i="3"/>
  <c r="AY327" i="3"/>
  <c r="AY228" i="3"/>
  <c r="AY106" i="3"/>
  <c r="AY460" i="3"/>
  <c r="AY209" i="3"/>
  <c r="AY289" i="3"/>
  <c r="AY103" i="3"/>
  <c r="AY236" i="3"/>
  <c r="AY281" i="3"/>
  <c r="AY115" i="3"/>
  <c r="AY66" i="3"/>
  <c r="AY444" i="3"/>
  <c r="AY75" i="3"/>
  <c r="AY98" i="3"/>
  <c r="AY546" i="3"/>
  <c r="AY585" i="3"/>
  <c r="AY427" i="3"/>
  <c r="AY457" i="3"/>
  <c r="AY316" i="3"/>
  <c r="AY349" i="3"/>
  <c r="AY274" i="3"/>
  <c r="AY145" i="3"/>
  <c r="AY24" i="3"/>
  <c r="BJ6" i="3"/>
  <c r="AY374" i="3"/>
  <c r="AY214" i="3"/>
  <c r="AY263" i="3"/>
  <c r="AY125" i="3"/>
  <c r="AY138" i="3"/>
  <c r="AY206" i="3"/>
  <c r="AY76" i="3"/>
  <c r="AY108" i="3"/>
  <c r="AY569" i="3"/>
  <c r="AY401" i="3"/>
  <c r="AY465" i="3"/>
  <c r="AY395" i="3"/>
  <c r="AY300" i="3"/>
  <c r="AY409" i="3"/>
  <c r="AY318" i="3"/>
  <c r="AY261" i="3"/>
  <c r="AY160" i="3"/>
  <c r="AY371" i="3"/>
  <c r="AY168" i="3"/>
  <c r="AY188" i="3"/>
  <c r="AY176"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52" i="3"/>
  <c r="AY183" i="3"/>
  <c r="AY50" i="3"/>
  <c r="AY366" i="3"/>
  <c r="AY268" i="3"/>
  <c r="AY276" i="3"/>
  <c r="AY42" i="3"/>
  <c r="AY155" i="3"/>
  <c r="AY51" i="3"/>
  <c r="AY207" i="3"/>
  <c r="AY83" i="3"/>
  <c r="AY363" i="3"/>
  <c r="AY204" i="3"/>
  <c r="AY74" i="3"/>
  <c r="AY196" i="3"/>
  <c r="AY303" i="3"/>
  <c r="AY382" i="3"/>
  <c r="AY253" i="3"/>
  <c r="AY111" i="3"/>
  <c r="AY152" i="3"/>
  <c r="AY95" i="3"/>
  <c r="AY144" i="3"/>
  <c r="AY34" i="3"/>
  <c r="E6" i="3"/>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4" i="67"/>
  <c r="C17" i="15"/>
  <c r="C17" i="67"/>
  <c r="C14" i="74" l="1"/>
  <c r="B2" i="74" s="1"/>
  <c r="H24" i="6"/>
  <c r="R24" i="6" s="1"/>
  <c r="R11" i="1" s="1"/>
  <c r="C25" i="11"/>
  <c r="C22" i="11" s="1"/>
  <c r="C31" i="11" s="1"/>
  <c r="H22" i="6"/>
  <c r="R22" i="6" s="1"/>
  <c r="R9" i="1" s="1"/>
  <c r="D30" i="6"/>
  <c r="H25" i="6"/>
  <c r="R25" i="6" s="1"/>
  <c r="R12" i="1"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R21" i="6"/>
  <c r="R8" i="1" s="1"/>
  <c r="C10" i="69"/>
  <c r="C8" i="69" s="1"/>
  <c r="C5" i="69" s="1"/>
  <c r="D19" i="69"/>
  <c r="F50" i="69"/>
  <c r="F50" i="11"/>
  <c r="F50" i="68"/>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D8" i="74" l="1"/>
  <c r="D7" i="74"/>
  <c r="C18" i="12"/>
  <c r="B3" i="43"/>
  <c r="C6" i="68"/>
  <c r="D31" i="6"/>
  <c r="I5" i="6"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B2" i="76"/>
  <c r="I69" i="39"/>
  <c r="J67" i="39"/>
  <c r="D9" i="71"/>
  <c r="I63" i="40"/>
  <c r="H65" i="40"/>
  <c r="I58" i="21"/>
  <c r="J58" i="21" s="1"/>
  <c r="K58" i="21" s="1"/>
  <c r="L58" i="21" s="1"/>
  <c r="M58" i="21" s="1"/>
  <c r="N58" i="21" s="1"/>
  <c r="O58" i="21" s="1"/>
  <c r="H7" i="21" s="1"/>
  <c r="J48" i="35"/>
  <c r="C21" i="12" l="1"/>
  <c r="C22" i="12" s="1"/>
  <c r="C7" i="68"/>
  <c r="C5" i="68" s="1"/>
  <c r="I6" i="6"/>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0" i="12"/>
  <c r="C28" i="12" s="1"/>
  <c r="C23" i="68"/>
  <c r="C20" i="68"/>
  <c r="C28" i="68" s="1"/>
  <c r="C27" i="68" s="1"/>
  <c r="W7" i="2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F35" i="15"/>
  <c r="M21" i="15"/>
  <c r="M21" i="67"/>
  <c r="C32" i="12" l="1"/>
  <c r="B2" i="12" s="1"/>
  <c r="B3" i="12" s="1"/>
  <c r="C25" i="68"/>
  <c r="C22" i="68" s="1"/>
  <c r="C31" i="68" s="1"/>
  <c r="E48" i="21"/>
  <c r="E53" i="21" s="1"/>
  <c r="F53" i="21"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G43" i="35"/>
  <c r="H43" i="35" s="1"/>
  <c r="I53" i="21"/>
  <c r="J53" i="21" s="1"/>
  <c r="K65" i="40"/>
  <c r="L63" i="40"/>
  <c r="I42" i="35"/>
  <c r="J42" i="35" s="1"/>
  <c r="C52" i="68" l="1"/>
  <c r="B2"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C57" i="68" l="1"/>
  <c r="C56" i="68" s="1"/>
  <c r="C21" i="9"/>
  <c r="C102" i="9"/>
  <c r="B3" i="68"/>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L51" i="67"/>
  <c r="D35" i="9"/>
  <c r="C20" i="9"/>
  <c r="D2" i="33"/>
  <c r="C103" i="9" l="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5"/>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0" i="1"/>
  <c r="AO9" i="1"/>
  <c r="AO8" i="1"/>
  <c r="AO12"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D118" i="9"/>
  <c r="H118" i="9"/>
  <c r="D4" i="52" l="1"/>
  <c r="B47" i="72" s="1"/>
  <c r="K118" i="9"/>
  <c r="H119" i="9"/>
  <c r="H5" i="52" s="1"/>
  <c r="D14" i="74"/>
  <c r="G14" i="74" s="1"/>
  <c r="D119" i="9"/>
  <c r="D5" i="52" s="1"/>
  <c r="B49" i="72" s="1"/>
  <c r="C104" i="9"/>
  <c r="I118" i="9"/>
  <c r="H101" i="9"/>
  <c r="G118" i="9"/>
  <c r="G4" i="52" s="1"/>
  <c r="B52" i="72" s="1"/>
  <c r="H4" i="52"/>
  <c r="F119" i="9"/>
  <c r="F5" i="52" s="1"/>
  <c r="B53" i="72" s="1"/>
  <c r="E14" i="74" l="1"/>
  <c r="F14" i="74"/>
  <c r="M48" i="9"/>
  <c r="D45" i="9"/>
  <c r="H107" i="9"/>
  <c r="D5" i="53"/>
  <c r="E118" i="9"/>
  <c r="E4" i="52" s="1"/>
  <c r="B48" i="72" s="1"/>
  <c r="I4" i="52"/>
  <c r="H102" i="9"/>
  <c r="C105" i="9"/>
  <c r="D6" i="53" l="1"/>
  <c r="B22" i="72" s="1"/>
  <c r="B20" i="72"/>
  <c r="D7" i="53"/>
  <c r="B21" i="72" s="1"/>
  <c r="D122" i="9"/>
  <c r="D13" i="53"/>
  <c r="H108" i="9"/>
  <c r="M49" i="9"/>
  <c r="D53" i="9"/>
  <c r="C78" i="9"/>
  <c r="C73" i="9" s="1"/>
  <c r="D55" i="9"/>
  <c r="M53" i="9" s="1"/>
  <c r="C72" i="9"/>
  <c r="C64" i="9"/>
  <c r="C63" i="9" s="1"/>
  <c r="C67" i="9" s="1"/>
  <c r="D52" i="9"/>
  <c r="C85" i="9"/>
  <c r="C93" i="9"/>
  <c r="C86" i="9" s="1"/>
  <c r="C95" i="9" l="1"/>
  <c r="C96" i="9" s="1"/>
  <c r="E96" i="9" s="1"/>
  <c r="E97" i="9" s="1"/>
  <c r="D14" i="53"/>
  <c r="B32" i="72" s="1"/>
  <c r="B30" i="72"/>
  <c r="C79" i="9"/>
  <c r="L64" i="9"/>
  <c r="M64" i="9" s="1"/>
  <c r="L68" i="9"/>
  <c r="M68" i="9" s="1"/>
  <c r="L63" i="9"/>
  <c r="M63" i="9" s="1"/>
  <c r="L65" i="9"/>
  <c r="M65" i="9" s="1"/>
  <c r="L67" i="9"/>
  <c r="M67" i="9" s="1"/>
  <c r="L66" i="9"/>
  <c r="M66" i="9" s="1"/>
  <c r="D15" i="53"/>
  <c r="B31" i="72" s="1"/>
  <c r="D59" i="9"/>
  <c r="M55" i="9" s="1"/>
  <c r="C68" i="9"/>
  <c r="D54" i="9" s="1"/>
  <c r="D123" i="9"/>
  <c r="D9" i="52" s="1"/>
  <c r="D8" i="52"/>
  <c r="M69" i="9" l="1"/>
  <c r="N69" i="9" s="1"/>
  <c r="C80" i="9"/>
  <c r="E80" i="9" s="1"/>
  <c r="E81" i="9" s="1"/>
  <c r="C97" i="9"/>
  <c r="D58" i="9" s="1"/>
  <c r="D56" i="9" s="1"/>
  <c r="M54" i="9" s="1"/>
  <c r="N57" i="9" s="1"/>
  <c r="C81" i="9" l="1"/>
  <c r="N58" i="9"/>
  <c r="P57" i="9"/>
  <c r="N59" i="9"/>
  <c r="N61" i="9" l="1"/>
  <c r="N60" i="9"/>
  <c r="E15" i="74" l="1"/>
  <c r="F15" i="74"/>
  <c r="B5" i="74"/>
  <c r="B6" i="74"/>
  <c r="D6" i="74" l="1"/>
  <c r="C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guolin(郭林)</author>
    <author>shixue(史雪)</author>
  </authors>
  <commentList>
    <comment ref="H5" authorId="0">
      <text>
        <r>
          <rPr>
            <b/>
            <sz val="9"/>
            <color indexed="81"/>
            <rFont val="宋体"/>
            <family val="3"/>
            <charset val="134"/>
          </rPr>
          <t>guolin(郭林)20201111:</t>
        </r>
        <r>
          <rPr>
            <sz val="9"/>
            <color indexed="81"/>
            <rFont val="宋体"/>
            <family val="3"/>
            <charset val="134"/>
          </rPr>
          <t xml:space="preserve">
拆除T2库新建G1,此次调减面积61427.65平米</t>
        </r>
      </text>
    </comment>
    <comment ref="H6" authorId="0">
      <text>
        <r>
          <rPr>
            <b/>
            <sz val="9"/>
            <color indexed="81"/>
            <rFont val="宋体"/>
            <family val="3"/>
            <charset val="134"/>
          </rPr>
          <t>guolin(郭林):</t>
        </r>
        <r>
          <rPr>
            <sz val="9"/>
            <color indexed="81"/>
            <rFont val="宋体"/>
            <family val="3"/>
            <charset val="134"/>
          </rPr>
          <t xml:space="preserve">
从国航临时库中分离出来拆除重建</t>
        </r>
      </text>
    </comment>
    <comment ref="O6" authorId="1">
      <text>
        <r>
          <rPr>
            <b/>
            <sz val="9"/>
            <color indexed="81"/>
            <rFont val="宋体"/>
            <family val="3"/>
            <charset val="134"/>
          </rPr>
          <t>shixue(史雪):</t>
        </r>
        <r>
          <rPr>
            <sz val="9"/>
            <color indexed="81"/>
            <rFont val="宋体"/>
            <family val="3"/>
            <charset val="134"/>
          </rPr>
          <t xml:space="preserve">
建设工程规划许可证“2020规自（顺）建字0042号”</t>
        </r>
      </text>
    </comment>
    <comment ref="R6" authorId="1">
      <text>
        <r>
          <rPr>
            <b/>
            <sz val="9"/>
            <color indexed="81"/>
            <rFont val="宋体"/>
            <family val="3"/>
            <charset val="134"/>
          </rPr>
          <t>shixue(史雪):</t>
        </r>
        <r>
          <rPr>
            <sz val="9"/>
            <color indexed="81"/>
            <rFont val="宋体"/>
            <family val="3"/>
            <charset val="134"/>
          </rPr>
          <t xml:space="preserve">
含附属设备价值，其中，建筑物价值：100088302.55，附属设备价值4913618.39</t>
        </r>
      </text>
    </comment>
    <comment ref="H7" authorId="0">
      <text>
        <r>
          <rPr>
            <b/>
            <sz val="9"/>
            <color indexed="81"/>
            <rFont val="宋体"/>
            <family val="3"/>
            <charset val="134"/>
          </rPr>
          <t>guolin(郭林)20201111:</t>
        </r>
        <r>
          <rPr>
            <sz val="9"/>
            <color indexed="81"/>
            <rFont val="宋体"/>
            <family val="3"/>
            <charset val="134"/>
          </rPr>
          <t xml:space="preserve">
该部分地块有新建项目，占地面积划分更新</t>
        </r>
      </text>
    </comment>
    <comment ref="H8" authorId="0">
      <text>
        <r>
          <rPr>
            <b/>
            <sz val="9"/>
            <color indexed="81"/>
            <rFont val="宋体"/>
            <family val="3"/>
            <charset val="134"/>
          </rPr>
          <t>guolin(郭林）
G6占地面积包含G9及门卫</t>
        </r>
      </text>
    </comment>
    <comment ref="O10" authorId="1">
      <text>
        <r>
          <rPr>
            <b/>
            <sz val="9"/>
            <color indexed="81"/>
            <rFont val="宋体"/>
            <family val="3"/>
            <charset val="134"/>
          </rPr>
          <t>shixue(史雪):</t>
        </r>
        <r>
          <rPr>
            <sz val="9"/>
            <color indexed="81"/>
            <rFont val="宋体"/>
            <family val="3"/>
            <charset val="134"/>
          </rPr>
          <t xml:space="preserve">
取自房屋登记表</t>
        </r>
      </text>
    </comment>
    <comment ref="O18" authorId="1">
      <text>
        <r>
          <rPr>
            <b/>
            <sz val="9"/>
            <color indexed="81"/>
            <rFont val="宋体"/>
            <family val="3"/>
            <charset val="134"/>
          </rPr>
          <t>shixue(史雪):</t>
        </r>
        <r>
          <rPr>
            <sz val="9"/>
            <color indexed="81"/>
            <rFont val="宋体"/>
            <family val="3"/>
            <charset val="134"/>
          </rPr>
          <t xml:space="preserve">
取自建设工程规划许可证“2008规（顺）建字0152号</t>
        </r>
      </text>
    </comment>
    <comment ref="N19" authorId="1">
      <text>
        <r>
          <rPr>
            <b/>
            <sz val="9"/>
            <color indexed="81"/>
            <rFont val="宋体"/>
            <family val="3"/>
            <charset val="134"/>
          </rPr>
          <t>shixue(史雪):</t>
        </r>
        <r>
          <rPr>
            <sz val="9"/>
            <color indexed="81"/>
            <rFont val="宋体"/>
            <family val="3"/>
            <charset val="134"/>
          </rPr>
          <t xml:space="preserve">
建设工程规划许可证“2020规自（顺）建字0042号”（倒算金额，总规划面积减去G1及临时库剩余面积</t>
        </r>
      </text>
    </comment>
    <comment ref="O19" authorId="1">
      <text>
        <r>
          <rPr>
            <b/>
            <sz val="9"/>
            <color indexed="81"/>
            <rFont val="宋体"/>
            <family val="3"/>
            <charset val="134"/>
          </rPr>
          <t>shixue(史雪):</t>
        </r>
        <r>
          <rPr>
            <sz val="9"/>
            <color indexed="81"/>
            <rFont val="宋体"/>
            <family val="3"/>
            <charset val="134"/>
          </rPr>
          <t xml:space="preserve">
建设工程规划许可证“2020规自（顺）建字0042号”（倒算金额，总规划面积减去G1及临时库剩余面积</t>
        </r>
      </text>
    </comment>
    <comment ref="O35" authorId="1">
      <text>
        <r>
          <rPr>
            <b/>
            <sz val="9"/>
            <color indexed="81"/>
            <rFont val="宋体"/>
            <family val="3"/>
            <charset val="134"/>
          </rPr>
          <t>shixue(史雪):</t>
        </r>
        <r>
          <rPr>
            <sz val="9"/>
            <color indexed="81"/>
            <rFont val="宋体"/>
            <family val="3"/>
            <charset val="134"/>
          </rPr>
          <t xml:space="preserve">
建设工程规划许可证“2008规（顺）建字0128号</t>
        </r>
      </text>
    </comment>
    <comment ref="O36" authorId="1">
      <text>
        <r>
          <rPr>
            <b/>
            <sz val="9"/>
            <color indexed="81"/>
            <rFont val="宋体"/>
            <family val="3"/>
            <charset val="134"/>
          </rPr>
          <t>shixue(史雪):</t>
        </r>
        <r>
          <rPr>
            <sz val="9"/>
            <color indexed="81"/>
            <rFont val="宋体"/>
            <family val="3"/>
            <charset val="134"/>
          </rPr>
          <t xml:space="preserve">
建设工程规划许可证“2008规（顺）建字0128号</t>
        </r>
      </text>
    </comment>
    <comment ref="O37" authorId="1">
      <text>
        <r>
          <rPr>
            <b/>
            <sz val="9"/>
            <color indexed="81"/>
            <rFont val="宋体"/>
            <family val="3"/>
            <charset val="134"/>
          </rPr>
          <t>shixue(史雪):</t>
        </r>
        <r>
          <rPr>
            <sz val="9"/>
            <color indexed="81"/>
            <rFont val="宋体"/>
            <family val="3"/>
            <charset val="134"/>
          </rPr>
          <t xml:space="preserve">
建设工程规划许可证“2008规（顺）建字0128号</t>
        </r>
      </text>
    </comment>
    <comment ref="F38" authorId="1">
      <text>
        <r>
          <rPr>
            <b/>
            <sz val="9"/>
            <color indexed="81"/>
            <rFont val="宋体"/>
            <family val="3"/>
            <charset val="134"/>
          </rPr>
          <t>shixue(史雪):</t>
        </r>
        <r>
          <rPr>
            <sz val="9"/>
            <color indexed="81"/>
            <rFont val="宋体"/>
            <family val="3"/>
            <charset val="134"/>
          </rPr>
          <t xml:space="preserve">
依据测绘报告，修改未开发面积</t>
        </r>
      </text>
    </comment>
    <comment ref="R49" authorId="1">
      <text>
        <r>
          <rPr>
            <b/>
            <sz val="9"/>
            <color indexed="81"/>
            <rFont val="宋体"/>
            <family val="3"/>
            <charset val="134"/>
          </rPr>
          <t>shixue(史雪):</t>
        </r>
        <r>
          <rPr>
            <sz val="9"/>
            <color indexed="81"/>
            <rFont val="宋体"/>
            <family val="3"/>
            <charset val="134"/>
          </rPr>
          <t xml:space="preserve">
含附属设备费用</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<sst xmlns="http://schemas.openxmlformats.org/spreadsheetml/2006/main" count="8097" uniqueCount="3656">
  <si>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</si>
  <si>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</si>
  <si>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</si>
  <si>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</si>
  <si>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</si>
  <si>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</si>
  <si>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</si>
  <si>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</si>
  <si>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</si>
  <si>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</si>
  <si>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</si>
  <si>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</si>
  <si>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</si>
  <si>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</si>
  <si>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</si>
  <si>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</si>
  <si>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</si>
  <si>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</si>
  <si>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</si>
  <si>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</si>
  <si>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</si>
  <si>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</si>
  <si>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</si>
  <si>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</si>
  <si>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</si>
  <si>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</si>
  <si>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</si>
  <si>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</si>
  <si>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</si>
  <si>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</si>
  <si>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</si>
  <si>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</si>
  <si>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</si>
  <si>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</si>
  <si>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</si>
  <si>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</si>
  <si>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</si>
  <si>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</si>
  <si>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</si>
  <si>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</si>
  <si>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</si>
  <si>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</si>
  <si>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</si>
  <si>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</si>
  <si>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</si>
  <si>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</si>
  <si>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</si>
  <si>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</si>
  <si>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</si>
  <si>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</si>
  <si>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</si>
  <si>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</si>
  <si>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</si>
  <si>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</si>
  <si>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</si>
  <si>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</si>
  <si>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</si>
  <si>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</si>
  <si>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</si>
  <si>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</si>
  <si>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</si>
  <si>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</si>
  <si>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</si>
  <si>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</si>
  <si>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</si>
  <si>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</si>
  <si>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</si>
  <si>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</si>
  <si>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</si>
  <si>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</si>
  <si>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</si>
  <si>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</si>
  <si>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</si>
  <si>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</si>
  <si>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</si>
  <si>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</si>
  <si>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</si>
  <si>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</si>
  <si>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</si>
  <si>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</si>
  <si>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</si>
  <si>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</si>
  <si>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</si>
  <si>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</si>
  <si>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</si>
  <si>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</si>
  <si>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</si>
  <si>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</si>
  <si>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</si>
  <si>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</si>
  <si>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</si>
  <si>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</si>
  <si>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</si>
  <si>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</si>
  <si>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</si>
  <si>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</si>
  <si>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</si>
  <si>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</si>
  <si>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</si>
  <si>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</si>
  <si>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</si>
  <si>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</si>
  <si>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</si>
  <si>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</si>
  <si>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</si>
  <si>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</si>
  <si>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</si>
  <si>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</si>
  <si>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</si>
  <si>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</si>
  <si>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</si>
  <si>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</si>
  <si>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</si>
  <si>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</si>
  <si>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</si>
  <si>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</si>
  <si>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</si>
  <si>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</si>
  <si>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</si>
  <si>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</si>
  <si>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</si>
  <si>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</si>
  <si>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</si>
  <si>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</si>
  <si>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</si>
  <si>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</si>
  <si>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</si>
  <si>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</si>
  <si>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</si>
  <si>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</si>
  <si>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</si>
  <si>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</si>
  <si>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</si>
  <si>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</si>
  <si>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</si>
  <si>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</si>
  <si>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</si>
  <si>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</si>
  <si>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</si>
  <si>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</si>
  <si>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</si>
  <si>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</si>
  <si>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</si>
  <si>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</si>
  <si>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</si>
  <si>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</si>
  <si>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</si>
  <si>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</si>
  <si>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</si>
  <si>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</si>
  <si>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</si>
  <si>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</si>
  <si>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</si>
  <si>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</si>
  <si>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</si>
  <si>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</si>
  <si>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</si>
  <si>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</si>
  <si>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</si>
  <si>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</si>
  <si>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</si>
  <si>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</si>
  <si>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</si>
  <si>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</si>
  <si>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</si>
  <si>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</si>
  <si>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</si>
  <si>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</si>
  <si>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</si>
  <si>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</si>
  <si>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</si>
  <si>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</si>
  <si>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</si>
  <si>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</si>
  <si>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</si>
  <si>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</si>
  <si>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</si>
  <si>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</si>
  <si>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</si>
  <si>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</si>
  <si>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</si>
  <si>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</si>
  <si>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</si>
  <si>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</si>
  <si>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</si>
  <si>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</si>
  <si>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</si>
  <si>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</si>
  <si>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</si>
  <si>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</si>
  <si>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</si>
  <si>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</si>
  <si>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</si>
  <si>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</si>
  <si>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</si>
  <si>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</si>
  <si>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</si>
  <si>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</si>
  <si>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</si>
  <si>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</si>
  <si>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</si>
  <si>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</si>
  <si>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</si>
  <si>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</si>
  <si>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</si>
  <si>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</si>
  <si>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</si>
  <si>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</si>
  <si>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</si>
  <si>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</si>
  <si>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</si>
  <si>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</si>
  <si>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</si>
  <si>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</si>
  <si>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</si>
  <si>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</si>
  <si>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</si>
  <si>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</si>
  <si>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</si>
  <si>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</si>
  <si>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</si>
  <si>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</si>
  <si>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</si>
  <si>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</si>
  <si>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</si>
  <si>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</si>
  <si>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</si>
  <si>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</si>
  <si>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</si>
  <si>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</si>
  <si>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</si>
  <si>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</si>
  <si>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</si>
  <si>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</si>
  <si>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</si>
  <si>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</si>
  <si>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</si>
  <si>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</si>
  <si>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</si>
  <si>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</si>
  <si>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</si>
  <si>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</si>
  <si>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</si>
  <si>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</si>
  <si>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</si>
  <si>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</si>
  <si>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</si>
  <si>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</si>
  <si>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</si>
  <si>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</si>
  <si>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</si>
  <si>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</si>
  <si>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</si>
  <si>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</si>
  <si>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</si>
  <si>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</si>
  <si>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</si>
  <si>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</si>
  <si>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</si>
  <si>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</si>
  <si>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</si>
  <si>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</si>
  <si>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</si>
  <si>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</si>
  <si>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</si>
  <si>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</si>
  <si>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</si>
  <si>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</si>
  <si>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</si>
  <si>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</si>
  <si>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</si>
  <si>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</si>
  <si>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</si>
  <si>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</si>
  <si>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</si>
  <si>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</si>
  <si>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</si>
  <si>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</si>
  <si>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</si>
  <si>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</si>
  <si>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</si>
  <si>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</si>
  <si>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</si>
  <si>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</si>
  <si>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</si>
  <si>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</si>
  <si>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</si>
  <si>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</si>
  <si>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</si>
  <si>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</si>
  <si>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</si>
  <si>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</si>
  <si>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</si>
  <si>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</si>
  <si>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</si>
  <si>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</si>
  <si>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</si>
  <si>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</si>
  <si>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</si>
  <si>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</si>
  <si>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</si>
  <si>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</si>
  <si>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</si>
  <si>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</si>
  <si>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</si>
  <si>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</si>
  <si>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</si>
  <si>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</si>
  <si>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</si>
  <si>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</si>
  <si>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</si>
  <si>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</si>
  <si>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</si>
  <si>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</si>
  <si>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</si>
  <si>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</si>
  <si>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</si>
  <si>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</si>
  <si>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</si>
  <si>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</si>
  <si>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</si>
  <si>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</si>
  <si>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</si>
  <si>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</si>
  <si>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</si>
  <si>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</si>
  <si>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</si>
  <si>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</si>
  <si>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</si>
  <si>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</si>
  <si>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</si>
  <si>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</si>
  <si>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</si>
  <si>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</si>
  <si>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</si>
  <si>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</si>
  <si>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</si>
  <si>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</si>
  <si>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</si>
  <si>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</si>
  <si>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</si>
  <si>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</si>
  <si>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</si>
  <si>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</si>
  <si>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</si>
  <si>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</si>
  <si>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</si>
  <si>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</si>
  <si>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</si>
  <si>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</si>
  <si>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</si>
  <si>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</si>
  <si>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</si>
  <si>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</si>
  <si>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</si>
  <si>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</si>
  <si>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</si>
  <si>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</si>
  <si>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</si>
  <si>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</si>
  <si>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</si>
  <si>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</si>
  <si>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</si>
  <si>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</si>
  <si>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</si>
  <si>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</si>
  <si>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</si>
  <si>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</si>
  <si>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</si>
  <si>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</si>
  <si>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</si>
  <si>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</si>
  <si>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</si>
  <si>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</si>
  <si>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</si>
  <si>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</si>
  <si>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</si>
  <si>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</si>
  <si>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</si>
  <si>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</si>
  <si>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</si>
  <si>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</si>
  <si>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</si>
  <si>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</si>
  <si>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</si>
  <si>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</si>
  <si>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</si>
  <si>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</si>
  <si>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</si>
  <si>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</si>
  <si>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</si>
  <si>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</si>
  <si>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</si>
  <si>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</si>
  <si>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</si>
  <si>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</si>
  <si>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</si>
  <si>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</si>
  <si>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</si>
  <si>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</si>
  <si>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</si>
  <si>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</si>
  <si>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</si>
  <si>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</si>
  <si>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</si>
  <si>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</si>
  <si>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</si>
  <si>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</si>
  <si>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</si>
  <si>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</si>
  <si>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</si>
  <si>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</si>
  <si>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</si>
  <si>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</si>
  <si>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</si>
  <si>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</si>
  <si>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</si>
  <si>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</si>
  <si>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</si>
  <si>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</si>
  <si>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</si>
  <si>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</si>
  <si>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</si>
  <si>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</si>
  <si>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</si>
  <si>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</si>
  <si>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</si>
  <si>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</si>
  <si>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</si>
  <si>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</si>
  <si>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</si>
  <si>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</si>
  <si>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</si>
  <si>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</si>
  <si>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</si>
  <si>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</si>
  <si>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</si>
  <si>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</si>
  <si>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</si>
  <si>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</si>
  <si>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</si>
  <si>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</si>
  <si>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</si>
  <si>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</si>
  <si>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</si>
  <si>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</si>
  <si>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</si>
  <si>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</si>
  <si>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</si>
  <si>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</si>
  <si>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</si>
  <si>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</si>
  <si>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</si>
  <si>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</si>
  <si>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</si>
  <si>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</si>
  <si>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</si>
  <si>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</si>
  <si>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</si>
  <si>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</si>
  <si>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</si>
  <si>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</si>
  <si>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</si>
  <si>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</si>
  <si>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</si>
  <si>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</si>
  <si>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</si>
  <si>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</si>
  <si>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</si>
  <si>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</si>
  <si>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</si>
  <si>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</si>
  <si>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</si>
  <si>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</si>
  <si>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</si>
  <si>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</si>
  <si>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</si>
  <si>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</si>
  <si>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</si>
  <si>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</si>
  <si>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</si>
  <si>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</si>
  <si>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</si>
  <si>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</si>
  <si>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</si>
  <si>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</si>
  <si>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</si>
  <si>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</si>
  <si>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</si>
  <si>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</si>
  <si>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</si>
  <si>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</si>
  <si>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</si>
  <si>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</si>
  <si>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</si>
  <si>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</si>
  <si>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</si>
  <si>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</si>
  <si>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</si>
  <si>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</si>
  <si>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</si>
  <si>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</si>
  <si>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</si>
  <si>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</si>
  <si>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</si>
  <si>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</si>
  <si>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</si>
  <si>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</si>
  <si>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</si>
  <si>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</si>
  <si>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</si>
  <si>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</si>
  <si>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</si>
  <si>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</si>
  <si>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</si>
  <si>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</si>
  <si>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</si>
  <si>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</si>
  <si>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</si>
  <si>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</si>
  <si>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</si>
  <si>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</si>
  <si>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</si>
  <si>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</si>
  <si>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</si>
  <si>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</si>
  <si>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</si>
  <si>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</si>
  <si>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</si>
  <si>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</si>
  <si>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</si>
  <si>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</si>
  <si>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</si>
  <si>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</si>
  <si>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</si>
  <si>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</si>
  <si>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</si>
  <si>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</si>
  <si>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</si>
  <si>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</si>
  <si>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</si>
  <si>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</si>
  <si>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</si>
  <si>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</si>
  <si>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</si>
  <si>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</si>
  <si>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</si>
  <si>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</si>
  <si>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</si>
  <si>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</si>
  <si>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</si>
  <si>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</si>
  <si>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</si>
  <si>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</si>
  <si>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</si>
  <si>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</si>
  <si>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</si>
  <si>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</si>
  <si>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</si>
  <si>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</si>
  <si>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</si>
  <si>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</si>
  <si>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</si>
  <si>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</si>
  <si>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</si>
  <si>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</si>
  <si>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</si>
  <si>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</si>
  <si>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</si>
  <si>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</si>
  <si>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</si>
  <si>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</si>
  <si>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</si>
  <si>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</si>
  <si>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</si>
  <si>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</si>
  <si>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</si>
  <si>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</si>
  <si>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</si>
  <si>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</si>
  <si>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</si>
  <si>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</si>
  <si>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</si>
  <si>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</si>
  <si>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</si>
  <si>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</si>
  <si>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</si>
  <si>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</si>
  <si>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</si>
  <si>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</si>
  <si>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</si>
  <si>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</si>
  <si>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</si>
  <si>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</si>
  <si>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</si>
  <si>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</si>
  <si>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</si>
  <si>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</si>
  <si>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</si>
  <si>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</si>
  <si>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</si>
  <si>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</si>
  <si>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</si>
  <si>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</si>
  <si>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</si>
  <si>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</si>
  <si>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</si>
  <si>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</si>
  <si>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</si>
  <si>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</si>
  <si>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</si>
  <si>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</si>
  <si>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</si>
  <si>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</si>
  <si>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</si>
  <si>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</si>
  <si>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</si>
  <si>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</si>
  <si>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</si>
  <si>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</si>
  <si>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</si>
  <si>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</si>
  <si>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</si>
  <si>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</si>
  <si>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</si>
  <si>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</si>
  <si>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</si>
  <si>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</si>
  <si>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</si>
  <si>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</si>
  <si>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</si>
  <si>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</si>
  <si>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</si>
  <si>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</si>
  <si>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</si>
  <si>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</si>
  <si>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</si>
  <si>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</si>
  <si>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</si>
  <si>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</si>
  <si>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</si>
  <si>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</si>
  <si>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</si>
  <si>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</si>
  <si>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</si>
  <si>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</si>
  <si>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</si>
  <si>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</si>
  <si>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</si>
  <si>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</si>
  <si>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</si>
  <si>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</si>
  <si>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</si>
  <si>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</si>
  <si>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</si>
  <si>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</si>
  <si>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</si>
  <si>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</si>
  <si>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</si>
  <si>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</si>
  <si>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</si>
  <si>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</si>
  <si>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</si>
  <si>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</si>
  <si>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</si>
  <si>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</si>
  <si>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</si>
  <si>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</si>
  <si>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</si>
  <si>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</si>
  <si>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</si>
  <si>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</si>
  <si>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</si>
  <si>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</si>
  <si>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</si>
  <si>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</si>
  <si>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</si>
  <si>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</si>
  <si>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</si>
  <si>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</si>
  <si>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</si>
  <si>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</si>
  <si>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</si>
  <si>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</si>
  <si>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</si>
  <si>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</si>
  <si>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</si>
  <si>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</si>
  <si>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</si>
  <si>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</si>
  <si>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</si>
  <si>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</si>
  <si>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</si>
  <si>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</si>
  <si>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</si>
  <si>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</si>
  <si>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</si>
  <si>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</si>
  <si>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</si>
  <si>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</si>
  <si>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</si>
  <si>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</si>
  <si>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</si>
  <si>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</si>
  <si>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</si>
  <si>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</si>
  <si>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</si>
  <si>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</si>
  <si>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</si>
  <si>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</si>
  <si>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</si>
  <si>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</si>
  <si>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</si>
  <si>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</si>
  <si>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</si>
  <si>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</si>
  <si>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</si>
  <si>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</si>
  <si>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</si>
  <si>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</si>
  <si>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</si>
  <si>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</si>
  <si>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</si>
  <si>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</si>
  <si>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</si>
  <si>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</si>
  <si>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</si>
  <si>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</si>
  <si>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</si>
  <si>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</si>
  <si>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</si>
  <si>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</si>
  <si>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</si>
  <si>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</si>
  <si>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</si>
  <si>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</si>
  <si>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</si>
  <si>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</si>
  <si>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</si>
  <si>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</si>
  <si>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</si>
  <si>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</si>
  <si>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</si>
  <si>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</si>
  <si>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</si>
  <si>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</si>
  <si>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</si>
  <si>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</si>
  <si>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</si>
  <si>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</si>
  <si>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</si>
  <si>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</si>
  <si>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</si>
  <si>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</si>
  <si>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</si>
  <si>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</si>
  <si>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</si>
  <si>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</si>
  <si>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</si>
  <si>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</si>
  <si>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</si>
  <si>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</si>
  <si>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</si>
  <si>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</si>
  <si>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</si>
  <si>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</si>
  <si>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</si>
  <si>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</si>
  <si>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</si>
  <si>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</si>
  <si>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</si>
  <si>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</si>
  <si>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</si>
  <si>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</si>
  <si>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</si>
  <si>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</si>
  <si>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</si>
  <si>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</si>
  <si>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</si>
  <si>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</si>
  <si>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</si>
  <si>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</si>
  <si>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</si>
  <si>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</si>
  <si>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</si>
  <si>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</si>
  <si>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</si>
  <si>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</si>
  <si>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</si>
  <si>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</si>
  <si>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</si>
  <si>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</si>
  <si>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</si>
  <si>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</si>
  <si>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</si>
  <si>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</si>
  <si>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</si>
  <si>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</si>
  <si>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</si>
  <si>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</si>
  <si>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</si>
  <si>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</si>
  <si>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</si>
  <si>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</si>
  <si>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</si>
  <si>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</si>
  <si>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</si>
  <si>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</si>
  <si>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</si>
  <si>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</si>
  <si>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</si>
  <si>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</si>
  <si>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</si>
  <si>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</si>
  <si>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</si>
  <si>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</si>
  <si>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</si>
  <si>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</si>
  <si>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</si>
  <si>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</si>
  <si>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</si>
  <si>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</si>
  <si>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</si>
  <si>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</si>
  <si>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</si>
  <si>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</si>
  <si>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</si>
  <si>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</si>
  <si>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</si>
  <si>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</si>
  <si>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</si>
  <si>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</si>
  <si>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</si>
  <si>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</si>
  <si>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</si>
  <si>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</si>
  <si>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</si>
  <si>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</si>
  <si>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</si>
  <si>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</si>
  <si>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</si>
  <si>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</si>
  <si>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</si>
  <si>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</si>
  <si>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</si>
  <si>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</si>
  <si>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</si>
  <si>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</si>
  <si>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</si>
  <si>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</si>
  <si>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</si>
  <si>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</si>
  <si>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</si>
  <si>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</si>
  <si>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</si>
  <si>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</si>
  <si>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</si>
  <si>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</si>
  <si>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</si>
  <si>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</si>
  <si>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</si>
  <si>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</si>
  <si>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</si>
  <si>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</si>
  <si>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</si>
  <si>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</si>
  <si>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</si>
  <si>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</si>
  <si>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</si>
  <si>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</si>
  <si>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</si>
  <si>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</si>
  <si>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</si>
  <si>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</si>
  <si>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</si>
  <si>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</si>
  <si>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</si>
  <si>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</si>
  <si>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</si>
  <si>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</si>
  <si>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</si>
  <si>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</si>
  <si>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</si>
  <si>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</si>
  <si>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</si>
  <si>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</si>
  <si>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</si>
  <si>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</si>
  <si>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</si>
  <si>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</si>
  <si>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</si>
  <si>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</si>
  <si>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</si>
  <si>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</si>
  <si>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</si>
  <si>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</si>
  <si>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</si>
  <si>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</si>
  <si>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</si>
  <si>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</si>
  <si>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</si>
  <si>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</si>
  <si>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</si>
  <si>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</si>
  <si>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</si>
  <si>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</si>
  <si>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</si>
  <si>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</si>
  <si>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</si>
  <si>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</si>
  <si>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</si>
  <si>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</si>
  <si>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</si>
  <si>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</si>
  <si>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</si>
  <si>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</si>
  <si>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</si>
  <si>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</si>
  <si>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</si>
  <si>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</si>
  <si>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</si>
  <si>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</si>
  <si>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</si>
  <si>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</si>
  <si>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</si>
  <si>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</si>
  <si>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</si>
  <si>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</si>
  <si>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</si>
  <si>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</si>
  <si>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</si>
  <si>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</si>
  <si>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</si>
  <si>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</si>
  <si>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</si>
  <si>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</si>
  <si>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</si>
  <si>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</si>
  <si>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</si>
  <si>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</si>
  <si>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</si>
  <si>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</si>
  <si>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</si>
  <si>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</si>
  <si>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</si>
  <si>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</si>
  <si>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</si>
  <si>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</si>
  <si>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</si>
  <si>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</si>
  <si>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</si>
  <si>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</si>
  <si>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</si>
  <si>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</si>
  <si>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</si>
  <si>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</si>
  <si>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</si>
  <si>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</si>
  <si>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</si>
  <si>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</si>
  <si>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</si>
  <si>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</si>
  <si>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</si>
  <si>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</si>
  <si>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</si>
  <si>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</si>
  <si>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</si>
  <si>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</si>
  <si>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</si>
  <si>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</si>
  <si>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</si>
  <si>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</si>
  <si>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</si>
  <si>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</si>
  <si>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</si>
  <si>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</si>
  <si>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</si>
  <si>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</si>
  <si>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</si>
  <si>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</si>
  <si>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</si>
  <si>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</si>
  <si>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</si>
  <si>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</si>
  <si>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</si>
  <si>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</si>
  <si>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</si>
  <si>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</si>
  <si>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</si>
  <si>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</si>
  <si>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</si>
  <si>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</si>
  <si>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</si>
  <si>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</si>
  <si>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</si>
  <si>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</si>
  <si>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</si>
  <si>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</si>
  <si>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</si>
  <si>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</si>
  <si>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</si>
  <si>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</si>
  <si>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</si>
  <si>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</si>
  <si>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</si>
  <si>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</si>
  <si>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</si>
  <si>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</si>
  <si>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</si>
  <si>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</si>
  <si>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</si>
  <si>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</si>
  <si>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</si>
  <si>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</si>
  <si>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</si>
  <si>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</si>
  <si>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</si>
  <si>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</si>
  <si>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</si>
  <si>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</si>
  <si>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</si>
  <si>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</si>
  <si>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</si>
  <si>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</si>
  <si>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</si>
  <si>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</si>
  <si>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</si>
  <si>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</si>
  <si>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</si>
  <si>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</si>
  <si>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</si>
  <si>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</si>
  <si>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</si>
  <si>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</si>
  <si>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</si>
  <si>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</si>
  <si>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</si>
  <si>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</si>
  <si>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</si>
  <si>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</si>
  <si>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</si>
  <si>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</si>
  <si>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</si>
  <si>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</si>
  <si>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</si>
  <si>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</si>
  <si>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</si>
  <si>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</si>
  <si>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</si>
  <si>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</si>
  <si>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</si>
  <si>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</si>
  <si>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</si>
  <si>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</si>
  <si>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</si>
  <si>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</si>
  <si>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</si>
  <si>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</si>
  <si>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</si>
  <si>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</si>
  <si>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</si>
  <si>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</si>
  <si>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</si>
  <si>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</si>
  <si>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</si>
  <si>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</si>
  <si>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</si>
  <si>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</si>
  <si>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</si>
  <si>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</si>
  <si>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</si>
  <si>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</si>
  <si>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</si>
  <si>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</si>
  <si>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</si>
  <si>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</si>
  <si>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</si>
  <si>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</si>
  <si>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</si>
  <si>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</si>
  <si>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</si>
  <si>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</si>
  <si>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</si>
  <si>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</si>
  <si>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</si>
  <si>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</si>
  <si>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</si>
  <si>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</si>
  <si>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</si>
  <si>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</si>
  <si>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</si>
  <si>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</si>
  <si>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</si>
  <si>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</si>
  <si>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</si>
  <si>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</si>
  <si>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</si>
  <si>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</si>
  <si>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</si>
  <si>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</si>
  <si>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</si>
  <si>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</si>
  <si>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</si>
  <si>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</si>
  <si>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</si>
  <si>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</si>
  <si>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</si>
  <si>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</si>
  <si>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</si>
  <si>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</si>
  <si>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</si>
  <si>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</si>
  <si>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</si>
  <si>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</si>
  <si>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</si>
  <si>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</si>
  <si>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</si>
  <si>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</si>
  <si>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</si>
  <si>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</si>
  <si>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</si>
  <si>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</si>
  <si>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</si>
  <si>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</si>
  <si>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</si>
  <si>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</si>
  <si>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</si>
  <si>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</si>
  <si>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</si>
  <si>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</si>
  <si>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</si>
  <si>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</si>
  <si>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</si>
  <si>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</si>
  <si>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</si>
  <si>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</si>
  <si>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</si>
  <si>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</si>
  <si>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</si>
  <si>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</si>
  <si>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</si>
  <si>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</si>
  <si>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</si>
  <si>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</si>
  <si>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</si>
  <si>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</si>
  <si>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</si>
  <si>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</si>
  <si>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</si>
  <si>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</si>
  <si>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</si>
  <si>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</si>
  <si>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</si>
  <si>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</si>
  <si>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</si>
  <si>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</si>
  <si>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</si>
  <si>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</si>
  <si>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</si>
  <si>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</si>
  <si>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</si>
  <si>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</si>
  <si>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</si>
  <si>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</si>
  <si>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</si>
  <si>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</si>
  <si>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</si>
  <si>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</si>
  <si>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</si>
  <si>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</si>
  <si>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</si>
  <si>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</si>
  <si>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</si>
  <si>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</si>
  <si>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</si>
  <si>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</si>
  <si>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</si>
  <si>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</si>
  <si>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</si>
  <si>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</si>
  <si>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</si>
  <si>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</si>
  <si>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</si>
  <si>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</si>
  <si>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</si>
  <si>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</si>
  <si>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</si>
  <si>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</si>
  <si>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</si>
  <si>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</si>
  <si>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</si>
  <si>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</si>
  <si>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</si>
  <si>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</si>
  <si>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</si>
  <si>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</si>
  <si>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</si>
  <si>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</si>
  <si>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</si>
  <si>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</si>
  <si>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</si>
  <si>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</si>
  <si>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</si>
  <si>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</si>
  <si>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</si>
  <si>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</si>
  <si>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</si>
  <si>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</si>
  <si>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</si>
  <si>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</si>
  <si>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</si>
  <si>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</si>
  <si>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</si>
  <si>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</si>
  <si>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</si>
  <si>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</si>
  <si>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</si>
  <si>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</si>
  <si>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</si>
  <si>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</si>
  <si>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</si>
  <si>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</si>
  <si>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</si>
  <si>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</si>
  <si>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</si>
  <si>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</si>
  <si>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</si>
  <si>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</si>
  <si>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</si>
  <si>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</si>
  <si>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</si>
  <si>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</si>
  <si>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</si>
  <si>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</si>
  <si>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</si>
  <si>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</si>
  <si>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</si>
  <si>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</si>
  <si>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</si>
  <si>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</si>
  <si>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</si>
  <si>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</si>
  <si>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</si>
  <si>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</si>
  <si>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</si>
  <si>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</si>
  <si>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</si>
  <si>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</si>
  <si>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</si>
  <si>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</si>
  <si>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</si>
  <si>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</si>
  <si>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</si>
  <si>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</si>
  <si>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</si>
  <si>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</si>
  <si>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</si>
  <si>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</si>
  <si>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</si>
  <si>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</si>
  <si>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</si>
  <si>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</si>
  <si>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</si>
  <si>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</si>
  <si>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</si>
  <si>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</si>
  <si>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</si>
  <si>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</si>
  <si>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</si>
  <si>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</si>
  <si>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</si>
  <si>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</si>
  <si>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</si>
  <si>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</si>
  <si>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</si>
  <si>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</si>
  <si>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</si>
  <si>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</si>
  <si>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</si>
  <si>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</si>
  <si>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</si>
  <si>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</si>
  <si>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</si>
  <si>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</si>
  <si>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</si>
  <si>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</si>
  <si>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</si>
  <si>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</si>
  <si>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</si>
  <si>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</si>
  <si>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</si>
  <si>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</si>
  <si>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</si>
  <si>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</si>
  <si>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</si>
  <si>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</si>
  <si>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</si>
  <si>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</si>
  <si>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</si>
  <si>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</si>
  <si>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</si>
  <si>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</si>
  <si>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</si>
  <si>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</si>
  <si>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</si>
  <si>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</si>
  <si>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</si>
  <si>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</si>
  <si>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</si>
  <si>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</si>
  <si>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</si>
  <si>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</si>
  <si>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</si>
  <si>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</si>
  <si>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</si>
  <si>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</si>
  <si>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</si>
  <si>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</si>
  <si>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</si>
  <si>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</si>
  <si>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</si>
  <si>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</si>
  <si>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</si>
  <si>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</si>
  <si>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</si>
  <si>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</si>
  <si>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</si>
  <si>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</si>
  <si>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</si>
  <si>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</si>
  <si>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</si>
  <si>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</si>
  <si>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</si>
  <si>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</si>
  <si>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</si>
  <si>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</si>
  <si>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</si>
  <si>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</si>
  <si>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</si>
  <si>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</si>
  <si>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</si>
  <si>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</si>
  <si>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</si>
  <si>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</si>
  <si>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</si>
  <si>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</si>
  <si>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</si>
  <si>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</si>
  <si>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</si>
  <si>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</si>
  <si>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</si>
  <si>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</si>
  <si>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</si>
  <si>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</si>
  <si>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</si>
  <si>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</si>
  <si>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</si>
  <si>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</si>
  <si>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</si>
  <si>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</si>
  <si>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</si>
  <si>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</si>
  <si>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</si>
  <si>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</si>
  <si>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</si>
  <si>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</si>
  <si>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</si>
  <si>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</si>
  <si>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</si>
  <si>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</si>
  <si>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</si>
  <si>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</si>
  <si>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</si>
  <si>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</si>
  <si>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</si>
  <si>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</si>
  <si>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</si>
  <si>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</si>
  <si>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</si>
  <si>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</si>
  <si>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</si>
  <si>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</si>
  <si>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</si>
  <si>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</si>
  <si>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</si>
  <si>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</si>
  <si>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</si>
  <si>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</si>
  <si>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</si>
  <si>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</si>
  <si>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</si>
  <si>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</si>
  <si>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</si>
  <si>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</si>
  <si>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</si>
  <si>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</si>
  <si>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</si>
  <si>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</si>
  <si>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</si>
  <si>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</si>
  <si>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</si>
  <si>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</si>
  <si>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</si>
  <si>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</si>
  <si>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</si>
  <si>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</si>
  <si>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</si>
  <si>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</si>
  <si>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</si>
  <si>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</si>
  <si>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</si>
  <si>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</si>
  <si>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</si>
  <si>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</si>
  <si>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</si>
  <si>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</si>
  <si>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</si>
  <si>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</si>
  <si>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</si>
  <si>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</si>
  <si>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</si>
  <si>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</si>
  <si>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</si>
  <si>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</si>
  <si>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</si>
  <si>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</si>
  <si>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</si>
  <si>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</si>
  <si>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</si>
  <si>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</si>
  <si>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</si>
  <si>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</si>
  <si>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</si>
  <si>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</si>
  <si>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</si>
  <si>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</si>
  <si>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</si>
  <si>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</si>
  <si>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</si>
  <si>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</si>
  <si>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</si>
  <si>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</si>
  <si>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</si>
  <si>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</si>
  <si>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</si>
  <si>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</si>
  <si>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</si>
  <si>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</si>
  <si>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</si>
  <si>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</si>
  <si>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</si>
  <si>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</si>
  <si>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</si>
  <si>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</si>
  <si>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</si>
  <si>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</si>
  <si>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</si>
  <si>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</si>
  <si>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</si>
  <si>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</si>
  <si>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</si>
  <si>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</si>
  <si>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</si>
  <si>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</si>
  <si>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</si>
  <si>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</si>
  <si>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</si>
  <si>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</si>
  <si>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</si>
  <si>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</si>
  <si>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</si>
  <si>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</si>
  <si>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</si>
  <si>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</si>
  <si>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</si>
  <si>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</si>
  <si>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</si>
  <si>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</si>
  <si>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</si>
  <si>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</si>
  <si>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</si>
  <si>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</si>
  <si>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</si>
  <si>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</si>
  <si>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</si>
  <si>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</si>
  <si>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</si>
  <si>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</si>
  <si>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</si>
  <si>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</si>
  <si>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</si>
  <si>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</si>
  <si>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</si>
  <si>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</si>
  <si>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</si>
  <si>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</si>
  <si>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</si>
  <si>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</si>
  <si>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</si>
  <si>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</si>
  <si>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</si>
  <si>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</si>
  <si>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</si>
  <si>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</si>
  <si>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</si>
  <si>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</si>
  <si>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</si>
  <si>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</si>
  <si>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</si>
  <si>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</si>
  <si>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</si>
  <si>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</si>
  <si>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</si>
  <si>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</si>
  <si>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</si>
  <si>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</si>
  <si>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</si>
  <si>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</si>
  <si>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</si>
  <si>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</si>
  <si>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</si>
  <si>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</si>
  <si>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</si>
  <si>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</si>
  <si>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</si>
  <si>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</si>
  <si>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</si>
  <si>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</si>
  <si>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</si>
  <si>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</si>
  <si>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</si>
  <si>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</si>
  <si>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</si>
  <si>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</si>
  <si>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</si>
  <si>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</si>
  <si>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</si>
  <si>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</si>
  <si>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</si>
  <si>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</si>
  <si>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</si>
  <si>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</si>
  <si>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</si>
  <si>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</si>
  <si>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</si>
  <si>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</si>
  <si>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</si>
  <si>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</si>
  <si>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</si>
  <si>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</si>
  <si>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</si>
  <si>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</si>
  <si>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</si>
  <si>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</si>
  <si>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</si>
  <si>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</si>
  <si>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</si>
  <si>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</si>
  <si>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</si>
  <si>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</si>
  <si>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</si>
  <si>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</si>
  <si>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</si>
  <si>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</si>
  <si>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</si>
  <si>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</si>
  <si>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</si>
  <si>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</si>
  <si>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</si>
  <si>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</si>
  <si>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</si>
  <si>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</si>
  <si>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</si>
  <si>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</si>
  <si>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</si>
  <si>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</si>
  <si>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</si>
  <si>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</si>
  <si>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</si>
  <si>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</si>
  <si>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</si>
  <si>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</si>
  <si>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</si>
  <si>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</si>
  <si>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</si>
  <si>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</si>
  <si>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</si>
  <si>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</si>
  <si>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</si>
  <si>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</si>
  <si>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</si>
  <si>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</si>
  <si>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</si>
  <si>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</si>
  <si>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</si>
  <si>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</si>
  <si>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</si>
  <si>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</si>
  <si>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</si>
  <si>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</si>
  <si>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</si>
  <si>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</si>
  <si>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</si>
  <si>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</si>
  <si>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</si>
  <si>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</si>
  <si>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</si>
  <si>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</si>
  <si>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</si>
  <si>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</si>
  <si>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</si>
  <si>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</si>
  <si>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</si>
  <si>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</si>
  <si>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</si>
  <si>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</si>
  <si>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</si>
  <si>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</si>
  <si>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</si>
  <si>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</si>
  <si>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</si>
  <si>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</si>
  <si>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</si>
  <si>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</si>
  <si>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</si>
  <si>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</si>
  <si>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</si>
  <si>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</si>
  <si>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</si>
  <si>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</si>
  <si>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</si>
  <si>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</si>
  <si>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</si>
  <si>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</si>
  <si>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</si>
  <si>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</si>
  <si>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</si>
  <si>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</si>
  <si>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</si>
  <si>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</si>
  <si>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</si>
  <si>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</si>
  <si>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</si>
  <si>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</si>
  <si>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</si>
  <si>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</si>
  <si>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</si>
  <si>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</si>
  <si>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</si>
  <si>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</si>
  <si>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</si>
  <si>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</si>
  <si>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</si>
  <si>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</si>
  <si>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</si>
  <si>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</si>
  <si>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</si>
  <si>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</si>
  <si>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</si>
  <si>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</si>
  <si>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</si>
  <si>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</si>
  <si>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</si>
  <si>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</si>
  <si>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</si>
  <si>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</si>
  <si>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</si>
  <si>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</si>
  <si>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</si>
  <si>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</si>
  <si>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</si>
  <si>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</si>
  <si>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</si>
  <si>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</si>
  <si>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</si>
  <si>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</si>
  <si>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</si>
  <si>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</si>
  <si>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</si>
  <si>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</si>
  <si>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</si>
  <si>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</si>
  <si>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</si>
  <si>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</si>
  <si>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</si>
  <si>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</si>
  <si>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</si>
  <si>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</si>
  <si>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</si>
  <si>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</si>
  <si>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</si>
  <si>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</si>
  <si>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</si>
  <si>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</si>
  <si>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</si>
  <si>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</si>
  <si>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</si>
  <si>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</si>
  <si>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</si>
  <si>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</si>
  <si>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</si>
  <si>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</si>
  <si>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</si>
  <si>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</si>
  <si>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</si>
  <si>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</si>
  <si>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</si>
  <si>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</si>
  <si>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</si>
  <si>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</si>
  <si>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</si>
  <si>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</si>
  <si>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</si>
  <si>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</si>
  <si>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</si>
  <si>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</si>
  <si>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</si>
  <si>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</si>
  <si>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</si>
  <si>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</si>
  <si>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</si>
  <si>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</si>
  <si>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</si>
  <si>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</si>
  <si>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</si>
  <si>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</si>
  <si>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</si>
  <si>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</si>
  <si>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</si>
  <si>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</si>
  <si>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</si>
  <si>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</si>
  <si>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</si>
  <si>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</si>
  <si>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</si>
  <si>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</si>
  <si>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</si>
  <si>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</si>
  <si>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</si>
  <si>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</si>
  <si>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</si>
  <si>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</si>
  <si>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</si>
  <si>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</si>
  <si>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</si>
  <si>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</si>
  <si>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</si>
  <si>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</si>
  <si>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</si>
  <si>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</si>
  <si>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</si>
  <si>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</si>
  <si>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</si>
  <si>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</si>
  <si>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</si>
  <si>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</si>
  <si>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</si>
  <si>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</si>
  <si>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</si>
  <si>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</si>
  <si>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</si>
  <si>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</si>
  <si>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</si>
  <si>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</si>
  <si>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</si>
  <si>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</si>
  <si>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</si>
  <si>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</si>
  <si>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</si>
  <si>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</si>
  <si>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</si>
  <si>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</si>
  <si>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</si>
  <si>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</si>
  <si>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</si>
  <si>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</si>
  <si>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</si>
  <si>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</si>
  <si>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</si>
  <si>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</si>
  <si>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</si>
  <si>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</si>
  <si>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</si>
  <si>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</si>
  <si>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</si>
  <si>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</si>
  <si>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</si>
  <si>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</si>
  <si>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</si>
  <si>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</si>
  <si>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</si>
  <si>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</si>
  <si>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</si>
  <si>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</si>
  <si>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</si>
  <si>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</si>
  <si>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</si>
  <si>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</si>
  <si>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</si>
  <si>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</si>
  <si>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</si>
  <si>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</si>
  <si>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</si>
  <si>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</si>
  <si>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</si>
  <si>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</si>
  <si>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</si>
  <si>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</si>
  <si>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</si>
  <si>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</si>
  <si>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</si>
  <si>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</si>
  <si>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</si>
  <si>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</si>
  <si>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</si>
  <si>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</si>
  <si>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</si>
  <si>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</si>
  <si>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</si>
  <si>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</si>
  <si>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</si>
  <si>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</si>
  <si>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</si>
  <si>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</si>
  <si>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</si>
  <si>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</si>
  <si>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</si>
  <si>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</si>
  <si>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</si>
  <si>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</si>
  <si>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</si>
  <si>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</si>
  <si>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</si>
  <si>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</si>
  <si>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</si>
  <si>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</si>
  <si>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</si>
  <si>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</si>
  <si>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</si>
  <si>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</si>
  <si>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</si>
  <si>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</si>
  <si>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</si>
  <si>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</si>
  <si>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</si>
  <si>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</si>
  <si>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</si>
  <si>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</si>
  <si>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</si>
  <si>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</si>
  <si>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</si>
  <si>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</si>
  <si>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</si>
  <si>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</si>
  <si>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</si>
  <si>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</si>
  <si>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</si>
  <si>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</si>
  <si>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</si>
  <si>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</si>
  <si>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</si>
  <si>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</si>
  <si>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</si>
  <si>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</si>
  <si>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</si>
  <si>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</si>
  <si>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</si>
  <si>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</si>
  <si>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</si>
  <si>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</si>
  <si>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</si>
  <si>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</si>
  <si>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</si>
  <si>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</si>
  <si>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</si>
  <si>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</si>
  <si>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</si>
  <si>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</si>
  <si>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</si>
  <si>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</si>
  <si>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</si>
  <si>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</si>
  <si>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</si>
  <si>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</si>
  <si>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</si>
  <si>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</si>
  <si>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</si>
  <si>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</si>
  <si>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</si>
  <si>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</si>
  <si>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</si>
  <si>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</si>
  <si>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</si>
  <si>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</si>
  <si>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</si>
  <si>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</si>
  <si>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</si>
  <si>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</si>
  <si>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</si>
  <si>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</si>
  <si>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</si>
  <si>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</si>
  <si>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</si>
  <si>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</si>
  <si>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</si>
  <si>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</si>
  <si>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</si>
  <si>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</si>
  <si>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</si>
  <si>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</si>
  <si>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</si>
  <si>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</si>
  <si>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</si>
  <si>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</si>
  <si>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</si>
  <si>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</si>
  <si>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</si>
  <si>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</si>
  <si>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</si>
  <si>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</si>
  <si>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</si>
  <si>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</si>
  <si>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</si>
  <si>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</si>
  <si>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</si>
  <si>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</si>
  <si>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</si>
  <si>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</si>
  <si>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</si>
  <si>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</si>
  <si>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</si>
  <si>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</si>
  <si>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</si>
  <si>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</si>
  <si>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</si>
  <si>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</si>
  <si>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</si>
  <si>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</si>
  <si>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</si>
  <si>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</si>
  <si>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</si>
  <si>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</si>
  <si>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</si>
  <si>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</si>
  <si>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</si>
  <si>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</si>
  <si>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</si>
  <si>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</si>
  <si>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</si>
  <si>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</si>
  <si>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</si>
  <si>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</si>
  <si>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</si>
  <si>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</si>
  <si>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</si>
  <si>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</si>
  <si>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</si>
  <si>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</si>
  <si>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</si>
  <si>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</si>
  <si>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</si>
  <si>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</si>
  <si>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</si>
  <si>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</si>
  <si>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</si>
  <si>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</si>
  <si>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</si>
  <si>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</si>
  <si>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</si>
  <si>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</si>
  <si>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</si>
  <si>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</si>
  <si>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</si>
  <si>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</si>
  <si>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</si>
  <si>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</si>
  <si>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</si>
  <si>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</si>
  <si>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</si>
  <si>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</si>
  <si>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</si>
  <si>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</si>
  <si>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</si>
  <si>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</si>
  <si>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</si>
  <si>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</si>
  <si>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</si>
  <si>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</si>
  <si>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</si>
  <si>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</si>
  <si>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</si>
  <si>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</si>
  <si>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</si>
  <si>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</si>
  <si>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</si>
  <si>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</si>
  <si>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</si>
  <si>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</si>
  <si>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</si>
  <si>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</si>
  <si>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</si>
  <si>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</si>
  <si>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</si>
  <si>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</si>
  <si>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</si>
  <si>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</si>
  <si>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</si>
  <si>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</si>
  <si>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</si>
  <si>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</si>
  <si>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</si>
  <si>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</si>
  <si>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</si>
  <si>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</si>
  <si>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</si>
  <si>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</si>
  <si>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</si>
  <si>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</si>
  <si>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</si>
  <si>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</si>
  <si>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</si>
  <si>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</si>
  <si>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</si>
  <si>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</si>
  <si>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</si>
  <si>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</si>
  <si>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</si>
  <si>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</si>
  <si>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</si>
  <si>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</si>
  <si>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</si>
  <si>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</si>
  <si>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</si>
  <si>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</si>
  <si>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</si>
  <si>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</si>
  <si>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</si>
  <si>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</si>
  <si>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</si>
  <si>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</si>
  <si>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</si>
  <si>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</si>
  <si>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</si>
  <si>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</si>
  <si>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</si>
  <si>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</si>
  <si>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</si>
  <si>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</si>
  <si>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</si>
  <si>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</si>
  <si>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</si>
  <si>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</si>
  <si>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</si>
  <si>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</si>
  <si>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</si>
  <si>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</si>
  <si>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</si>
  <si>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</si>
  <si>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</si>
  <si>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</si>
  <si>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</si>
  <si>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</si>
  <si>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</si>
  <si>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</si>
  <si>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</si>
  <si>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</si>
  <si>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</si>
  <si>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</si>
  <si>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</si>
  <si>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</si>
  <si>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</si>
  <si>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</si>
  <si>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</si>
  <si>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</si>
  <si>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</si>
  <si>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</si>
  <si>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</si>
  <si>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</si>
  <si>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</si>
  <si>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</si>
  <si>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</si>
  <si>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</si>
  <si>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</si>
  <si>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</si>
  <si>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</si>
  <si>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</si>
  <si>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</si>
  <si>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</si>
  <si>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</si>
  <si>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</si>
  <si>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</si>
  <si>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</si>
  <si>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</si>
  <si>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</si>
  <si>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</si>
  <si>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</si>
  <si>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</si>
  <si>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</si>
  <si>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</si>
  <si>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</si>
  <si>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</si>
  <si>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</si>
  <si>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</si>
  <si>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</si>
  <si>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</si>
  <si>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</si>
  <si>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</si>
  <si>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</si>
  <si>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</si>
  <si>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</si>
  <si>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</si>
  <si>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</si>
  <si>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</si>
  <si>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</si>
  <si>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</si>
  <si>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</si>
  <si>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</si>
  <si>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</si>
  <si>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</si>
  <si>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</si>
  <si>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</si>
  <si>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</si>
  <si>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</si>
  <si>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</si>
  <si>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</si>
  <si>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</si>
  <si>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</si>
  <si>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</si>
  <si>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</si>
  <si>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</si>
  <si>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</si>
  <si>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</si>
  <si>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</si>
  <si>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</si>
  <si>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</si>
  <si>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</si>
  <si>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</si>
  <si>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</si>
  <si>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</si>
  <si>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</si>
  <si>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</si>
  <si>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</si>
  <si>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</si>
  <si>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</si>
  <si>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</si>
  <si>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</si>
  <si>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</si>
  <si>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</si>
  <si>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</si>
  <si>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</si>
  <si>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</si>
  <si>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</si>
  <si>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</si>
  <si>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</si>
  <si>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</si>
  <si>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</si>
  <si>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</si>
  <si>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</si>
  <si>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</si>
  <si>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</si>
  <si>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</si>
  <si>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</si>
  <si>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</si>
  <si>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</si>
  <si>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</si>
  <si>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</si>
  <si>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</si>
  <si>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</si>
  <si>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</si>
  <si>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</si>
  <si>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</si>
  <si>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</si>
  <si>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</si>
  <si>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</si>
  <si>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</si>
  <si>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</si>
  <si>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</si>
  <si>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</si>
  <si>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</si>
  <si>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</si>
  <si>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</si>
  <si>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</si>
  <si>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</si>
  <si>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</si>
  <si>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</si>
  <si>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</si>
  <si>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</si>
  <si>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</si>
  <si>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</si>
  <si>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</si>
  <si>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</si>
  <si>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</si>
  <si>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</si>
  <si>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</si>
  <si>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</si>
  <si>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</si>
  <si>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</si>
  <si>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</si>
  <si>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</si>
  <si>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</si>
  <si>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</si>
  <si>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</si>
  <si>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</si>
  <si>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</si>
  <si>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</si>
  <si>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</si>
  <si>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</si>
  <si>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</si>
  <si>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</si>
  <si>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</si>
  <si>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</si>
  <si>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</si>
  <si>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</si>
  <si>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</si>
  <si>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</si>
  <si>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</si>
  <si>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</si>
  <si>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</si>
  <si>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</si>
  <si>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</si>
  <si>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</si>
  <si>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</si>
  <si>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</si>
  <si>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</si>
  <si>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</si>
  <si>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</si>
  <si>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</si>
  <si>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</si>
  <si>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</si>
  <si>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</si>
  <si>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</si>
  <si>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</si>
  <si>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</si>
  <si>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</si>
  <si>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</si>
  <si>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</si>
  <si>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</si>
  <si>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</si>
  <si>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</si>
  <si>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</si>
  <si>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</si>
  <si>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</si>
  <si>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</si>
  <si>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</si>
  <si>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</si>
  <si>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</si>
  <si>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</si>
  <si>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</si>
  <si>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</si>
  <si>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</si>
  <si>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</si>
  <si>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</si>
  <si>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</si>
  <si>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</si>
  <si>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</si>
  <si>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</si>
  <si>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</si>
  <si>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</si>
  <si>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</si>
  <si>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</si>
  <si>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</si>
  <si>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</si>
  <si>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</si>
  <si>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</si>
  <si>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</si>
  <si>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</si>
  <si>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</si>
  <si>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</si>
  <si>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</si>
  <si>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</si>
  <si>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</si>
  <si>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</si>
  <si>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</si>
  <si>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</si>
  <si>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</si>
  <si>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</si>
  <si>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</si>
  <si>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</si>
  <si>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</si>
  <si>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</si>
  <si>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</si>
  <si>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</si>
  <si>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</si>
  <si>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</si>
  <si>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</si>
  <si>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</si>
  <si>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</si>
  <si>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</si>
  <si>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</si>
  <si>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</si>
  <si>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</si>
  <si>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</si>
  <si>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</si>
  <si>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</si>
  <si>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</si>
  <si>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</si>
  <si>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</si>
  <si>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</si>
  <si>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</si>
  <si>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</si>
  <si>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</si>
  <si>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</si>
  <si>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</si>
  <si>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</si>
  <si>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</si>
  <si>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</si>
  <si>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</si>
  <si>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</si>
  <si>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</si>
  <si>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</si>
  <si>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</si>
  <si>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</si>
  <si>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</si>
  <si>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</si>
  <si>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</si>
  <si>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</si>
  <si>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</si>
  <si>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</si>
  <si>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</si>
  <si>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</si>
  <si>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</si>
  <si>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</si>
  <si>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</si>
  <si>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</si>
  <si>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</si>
  <si>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</si>
  <si>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</si>
  <si>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</si>
  <si>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</si>
  <si>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</si>
  <si>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</si>
  <si>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</si>
  <si>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</si>
  <si>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</si>
  <si>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</si>
  <si>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</si>
  <si>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</si>
  <si>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</si>
  <si>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</si>
  <si>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</si>
  <si>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</si>
  <si>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</si>
  <si>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</si>
  <si>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</si>
  <si>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</si>
  <si>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</si>
  <si>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</si>
  <si>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</si>
  <si>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</si>
  <si>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</si>
  <si>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</si>
  <si>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</si>
  <si>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</si>
  <si>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</si>
  <si>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</si>
  <si>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</si>
  <si>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</si>
  <si>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</si>
  <si>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</si>
  <si>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</si>
  <si>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</si>
  <si>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</si>
  <si>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</si>
  <si>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</si>
  <si>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</si>
  <si>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</si>
  <si>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</si>
  <si>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</si>
  <si>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</si>
  <si>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</si>
  <si>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</si>
  <si>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</si>
  <si>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</si>
  <si>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</si>
  <si>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</si>
  <si>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</si>
  <si>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</si>
  <si>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</si>
  <si>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</si>
  <si>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</si>
  <si>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</si>
  <si>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</si>
  <si>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</si>
  <si>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</si>
  <si>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</si>
  <si>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</si>
  <si>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</si>
  <si>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</si>
  <si>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</si>
  <si>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</si>
  <si>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</si>
  <si>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</si>
  <si>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</si>
  <si>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</si>
  <si>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</si>
  <si>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</si>
  <si>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</si>
  <si>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</si>
  <si>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</si>
  <si>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</si>
  <si>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</si>
  <si>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</si>
  <si>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</si>
  <si>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</si>
  <si>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</si>
  <si>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</si>
  <si>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</si>
  <si>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</si>
  <si>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</si>
  <si>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</si>
  <si>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</si>
  <si>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</si>
  <si>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</si>
  <si>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</si>
  <si>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</si>
  <si>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</si>
  <si>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</si>
  <si>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</si>
  <si>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</si>
  <si>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</si>
  <si>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</si>
  <si>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</si>
  <si>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</si>
  <si>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</si>
  <si>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</si>
  <si>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</si>
  <si>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</si>
  <si>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</si>
  <si>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</si>
  <si>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</si>
  <si>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</si>
  <si>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</si>
  <si>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</si>
  <si>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</si>
  <si>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</si>
  <si>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</si>
  <si>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</si>
  <si>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</si>
  <si>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</si>
  <si>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</si>
  <si>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</si>
  <si>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</si>
  <si>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</si>
  <si>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</si>
  <si>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</si>
  <si>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</si>
  <si>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</si>
  <si>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</si>
  <si>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</si>
  <si>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</si>
  <si>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</si>
  <si>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</si>
  <si>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</si>
  <si>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</si>
  <si>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</si>
  <si>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</si>
  <si>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</si>
  <si>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</si>
  <si>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</si>
  <si>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</si>
  <si>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</si>
  <si>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</si>
  <si>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</si>
  <si>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</si>
  <si>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</si>
  <si>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</si>
  <si>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</si>
  <si>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</si>
  <si>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</si>
  <si>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</si>
  <si>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</si>
  <si>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</si>
  <si>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</si>
  <si>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</si>
  <si>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</si>
  <si>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</si>
  <si>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</si>
  <si>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</si>
  <si>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</si>
  <si>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</si>
  <si>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</si>
  <si>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</si>
  <si>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</si>
  <si>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</si>
  <si>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</si>
  <si>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</si>
  <si>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</si>
  <si>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</si>
  <si>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</si>
  <si>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</si>
  <si>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</si>
  <si>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</si>
  <si>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</si>
  <si>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</si>
  <si>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</si>
  <si>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</si>
  <si>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</si>
  <si>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</si>
  <si>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</si>
  <si>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</si>
  <si>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</si>
  <si>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</si>
  <si>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</si>
  <si>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</si>
  <si>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</si>
  <si>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</si>
  <si>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</si>
  <si>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</si>
  <si>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</si>
  <si>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</si>
  <si>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</si>
  <si>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</si>
  <si>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</si>
  <si>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</si>
  <si>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</si>
  <si>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</si>
  <si>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</si>
  <si>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</si>
  <si>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</si>
  <si>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</si>
  <si>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</si>
  <si>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</si>
  <si>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</si>
  <si>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</si>
  <si>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</si>
  <si>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</si>
  <si>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</si>
  <si>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</si>
  <si>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</si>
  <si>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</si>
  <si>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</si>
  <si>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</si>
  <si>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</si>
  <si>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</si>
  <si>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</si>
  <si>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</si>
  <si>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</si>
  <si>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</si>
  <si>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</si>
  <si>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</si>
  <si>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</si>
  <si>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</si>
  <si>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</si>
  <si>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</si>
  <si>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</si>
  <si>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</si>
  <si>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</si>
  <si>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</si>
  <si>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</si>
  <si>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</si>
  <si>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</si>
  <si>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</si>
  <si>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</si>
  <si>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</si>
  <si>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</si>
  <si>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</si>
  <si>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</si>
  <si>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</si>
  <si>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</si>
  <si>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</si>
  <si>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</si>
  <si>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</si>
  <si>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</si>
  <si>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</si>
  <si>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</si>
  <si>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</si>
  <si>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</si>
  <si>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</si>
  <si>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</si>
  <si>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</si>
  <si>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</si>
  <si>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</si>
  <si>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</si>
  <si>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</si>
  <si>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</si>
  <si>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</si>
  <si>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</si>
  <si>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</si>
  <si>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</si>
  <si>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</si>
  <si>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</si>
  <si>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</si>
  <si>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</si>
  <si>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</si>
  <si>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</si>
  <si>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</si>
  <si>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</si>
  <si>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</si>
  <si>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</si>
  <si>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</si>
  <si>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</si>
  <si>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</si>
  <si>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</si>
  <si>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</si>
  <si>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</si>
  <si>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</si>
  <si>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</si>
  <si>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</si>
  <si>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</si>
  <si>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</si>
  <si>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</si>
  <si>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</si>
  <si>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</si>
  <si>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</si>
  <si>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</si>
  <si>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</si>
  <si>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</si>
  <si>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</si>
  <si>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</si>
  <si>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</si>
  <si>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</si>
  <si>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</si>
  <si>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</si>
  <si>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</si>
  <si>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</si>
  <si>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</si>
  <si>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</si>
  <si>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</si>
  <si>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</si>
  <si>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</si>
  <si>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</si>
  <si>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</si>
  <si>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</si>
  <si>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</si>
  <si>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</si>
  <si>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</si>
  <si>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</si>
  <si>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</si>
  <si>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</si>
  <si>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</si>
  <si>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</si>
  <si>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</si>
  <si>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</si>
  <si>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</si>
  <si>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</si>
  <si>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</si>
  <si>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</si>
  <si>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</si>
  <si>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</si>
  <si>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</si>
  <si>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</si>
  <si>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</si>
  <si>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</si>
  <si>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</si>
  <si>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</si>
  <si>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</si>
  <si>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</si>
  <si>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</si>
  <si>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</si>
  <si>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</si>
  <si>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</si>
  <si>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</si>
  <si>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</si>
  <si>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</si>
  <si>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</si>
  <si>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</si>
  <si>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</si>
  <si>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</si>
  <si>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</si>
  <si>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</si>
  <si>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</si>
  <si>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</si>
  <si>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</si>
  <si>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</si>
  <si>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</si>
  <si>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</si>
  <si>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</si>
  <si>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</si>
  <si>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</si>
  <si>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</si>
  <si>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</si>
  <si>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</si>
  <si>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</si>
  <si>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</si>
  <si>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</si>
  <si>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</si>
  <si>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</si>
  <si>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</si>
  <si>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</si>
  <si>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</si>
  <si>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</si>
  <si>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</si>
  <si>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</si>
  <si>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</si>
  <si>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</si>
  <si>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</si>
  <si>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</si>
  <si>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</si>
  <si>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</si>
  <si>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</si>
  <si>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</si>
  <si>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</si>
  <si>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</si>
  <si>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</si>
  <si>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</si>
  <si>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</si>
  <si>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</si>
  <si>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</si>
  <si>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</si>
  <si>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</si>
  <si>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</si>
  <si>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</si>
  <si>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</si>
  <si>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</si>
  <si>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</si>
  <si>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</si>
  <si>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</si>
  <si>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</si>
  <si>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</si>
  <si>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</si>
  <si>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</si>
  <si>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</si>
  <si>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</si>
  <si>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</si>
  <si>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</si>
  <si>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</si>
  <si>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</si>
  <si>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</si>
  <si>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</si>
  <si>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</si>
  <si>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</si>
  <si>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</si>
  <si>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</si>
  <si>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</si>
  <si>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</si>
  <si>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</si>
  <si>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</si>
  <si>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</si>
  <si>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</si>
  <si>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</si>
  <si>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</si>
  <si>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</si>
  <si>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</si>
  <si>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</si>
  <si>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</si>
  <si>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</si>
  <si>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</si>
  <si>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</si>
  <si>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</si>
  <si>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</si>
  <si>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</si>
  <si>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</si>
  <si>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</si>
  <si>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</si>
  <si>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</si>
  <si>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</si>
  <si>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</si>
  <si>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</si>
  <si>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</si>
  <si>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</si>
  <si>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</si>
  <si>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</si>
  <si>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</si>
  <si>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</si>
  <si>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</si>
  <si>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</si>
  <si>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</si>
  <si>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</si>
  <si>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</si>
  <si>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</si>
  <si>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</si>
  <si>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</si>
  <si>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</si>
  <si>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</si>
  <si>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</si>
  <si>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</si>
  <si>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</si>
  <si>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</si>
  <si>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</si>
  <si>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</si>
  <si>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</si>
  <si>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</si>
  <si>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</si>
  <si>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</si>
  <si>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</si>
  <si>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</si>
  <si>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</si>
  <si>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</si>
  <si>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</si>
  <si>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</si>
  <si>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</si>
  <si>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</si>
  <si>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</si>
  <si>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</si>
  <si>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</si>
  <si>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</si>
  <si>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</si>
  <si>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</si>
  <si>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</si>
  <si>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</si>
  <si>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</si>
  <si>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</si>
  <si>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</si>
  <si>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</si>
  <si>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</si>
  <si>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</si>
  <si>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</si>
  <si>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</si>
  <si>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</si>
  <si>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</si>
  <si>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</si>
  <si>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</si>
  <si>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</si>
  <si>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</si>
  <si>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</si>
  <si>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</si>
  <si>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</si>
  <si>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</si>
  <si>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</si>
  <si>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</si>
  <si>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</si>
  <si>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</si>
  <si>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</si>
  <si>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</si>
  <si>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</si>
  <si>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</si>
  <si>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</si>
  <si>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</si>
  <si>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</si>
  <si>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</si>
  <si>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</si>
  <si>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</si>
  <si>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</si>
  <si>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</si>
  <si>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</si>
  <si>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</si>
  <si>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</si>
  <si>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</si>
  <si>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</si>
  <si>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</si>
  <si>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</si>
  <si>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</si>
  <si>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</si>
  <si>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</si>
  <si>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</si>
  <si>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</si>
  <si>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</si>
  <si>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</si>
  <si>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</si>
  <si>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</si>
  <si>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</si>
  <si>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</si>
  <si>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</si>
  <si>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</si>
  <si>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</si>
  <si>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</si>
  <si>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</si>
  <si>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</si>
  <si>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</si>
  <si>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</si>
  <si>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</si>
  <si>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</si>
  <si>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</si>
  <si>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</si>
  <si>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</si>
  <si>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</si>
  <si>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</si>
  <si>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</si>
  <si>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</si>
  <si>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</si>
  <si>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</si>
  <si>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</si>
  <si>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</si>
  <si>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</si>
  <si>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</si>
  <si>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</si>
  <si>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</si>
  <si>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</si>
  <si>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</si>
  <si>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</si>
  <si>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</si>
  <si>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</si>
  <si>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</si>
  <si>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</si>
  <si>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</si>
  <si>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</si>
  <si>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</si>
  <si>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</si>
  <si>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</si>
  <si>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</si>
  <si>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</si>
  <si>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</si>
  <si>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</si>
  <si>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</si>
  <si>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</si>
  <si>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</si>
  <si>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</si>
  <si>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</si>
  <si>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</si>
  <si>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</si>
  <si>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</si>
  <si>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</si>
  <si>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</si>
  <si>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</si>
  <si>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</si>
  <si>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</si>
  <si>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</si>
  <si>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</si>
  <si>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</si>
  <si>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</si>
  <si>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</si>
  <si>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</si>
  <si>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</si>
  <si>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</si>
  <si>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</si>
  <si>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</si>
  <si>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</si>
  <si>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</si>
  <si>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</si>
  <si>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</si>
  <si>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</si>
  <si>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</si>
  <si>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</si>
  <si>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</si>
  <si>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</si>
  <si>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</si>
  <si>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</si>
  <si>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</si>
  <si>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</si>
  <si>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</si>
  <si>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</si>
  <si>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</si>
  <si>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</si>
  <si>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</si>
  <si>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</si>
  <si>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</si>
  <si>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</si>
  <si>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</si>
  <si>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</si>
  <si>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</si>
  <si>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</si>
  <si>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</si>
  <si>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</si>
  <si>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</si>
  <si>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</si>
  <si>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</si>
  <si>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</si>
  <si>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</si>
  <si>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</si>
  <si>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</si>
  <si>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</si>
  <si>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</si>
  <si>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</si>
  <si>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</si>
  <si>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</si>
  <si>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</si>
  <si>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</si>
  <si>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</si>
  <si>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</si>
  <si>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</si>
  <si>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</si>
  <si>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</si>
  <si>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</si>
  <si>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</si>
  <si>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</si>
  <si>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</si>
  <si>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</si>
  <si>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</si>
  <si>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</si>
  <si>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</si>
  <si>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</si>
  <si>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</si>
  <si>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</si>
  <si>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</si>
  <si>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</si>
  <si>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</si>
  <si>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</si>
  <si>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</si>
  <si>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</si>
  <si>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</si>
  <si>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</si>
  <si>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</si>
  <si>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</si>
  <si>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</si>
  <si>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</si>
  <si>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</si>
  <si>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</si>
  <si>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</si>
  <si>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</si>
  <si>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</si>
  <si>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</si>
  <si>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</si>
  <si>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</si>
  <si>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</si>
  <si>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</si>
  <si>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</si>
  <si>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</si>
  <si>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</si>
  <si>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</si>
  <si>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</si>
  <si>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</si>
  <si>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</si>
  <si>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</si>
  <si>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</si>
  <si>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</si>
  <si>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</si>
  <si>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</si>
  <si>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</si>
  <si>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</si>
  <si>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</si>
  <si>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</si>
  <si>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</si>
  <si>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</si>
  <si>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</si>
  <si>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</si>
  <si>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</si>
  <si>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</si>
  <si>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</si>
  <si>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</si>
  <si>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</si>
  <si>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</si>
  <si>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</si>
  <si>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</si>
  <si>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</si>
  <si>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</si>
  <si>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</si>
  <si>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</si>
  <si>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</si>
  <si>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</si>
  <si>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</si>
  <si>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</si>
  <si>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</si>
  <si>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</si>
  <si>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</si>
  <si>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</si>
  <si>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</si>
  <si>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</si>
  <si>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</si>
  <si>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</si>
  <si>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</si>
  <si>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</si>
  <si>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</si>
  <si>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</si>
  <si>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</si>
  <si>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</si>
  <si>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</si>
  <si>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</si>
  <si>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</si>
  <si>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</si>
  <si>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</si>
  <si>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</si>
  <si>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</si>
  <si>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</si>
  <si>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</si>
  <si>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</si>
  <si>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</si>
  <si>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</si>
  <si>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</si>
  <si>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</si>
  <si>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</si>
  <si>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</si>
  <si>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</si>
  <si>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</si>
  <si>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</si>
  <si>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</si>
  <si>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</si>
  <si>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</si>
  <si>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</si>
  <si>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</si>
  <si>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</si>
  <si>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</si>
  <si>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</si>
  <si>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</si>
  <si>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</si>
  <si>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</si>
  <si>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</si>
  <si>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</si>
  <si>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</si>
  <si>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</si>
  <si>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</si>
  <si>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</si>
  <si>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</si>
  <si>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</si>
  <si>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</si>
  <si>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</si>
  <si>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</si>
  <si>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</si>
  <si>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</si>
  <si>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</si>
  <si>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</si>
  <si>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</si>
  <si>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</si>
  <si>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</si>
  <si>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</si>
  <si>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</si>
  <si>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</si>
  <si>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</si>
  <si>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</si>
  <si>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</si>
  <si>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</si>
  <si>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</si>
  <si>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</si>
  <si>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</si>
  <si>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</si>
  <si>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</si>
  <si>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</si>
  <si>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</si>
  <si>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</si>
  <si>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</si>
  <si>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</si>
  <si>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</si>
  <si>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</si>
  <si>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</si>
  <si>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</si>
  <si>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</si>
  <si>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</si>
  <si>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</si>
  <si>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</si>
  <si>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</si>
  <si>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</si>
  <si>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</si>
  <si>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</si>
  <si>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</si>
  <si>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</si>
  <si>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</si>
  <si>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</si>
  <si>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</si>
  <si>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</si>
  <si>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</si>
  <si>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</si>
  <si>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</si>
  <si>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</si>
  <si>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</si>
  <si>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</si>
  <si>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</si>
  <si>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</si>
  <si>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</si>
  <si>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</si>
  <si>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</si>
  <si>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</si>
  <si>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</si>
  <si>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</si>
  <si>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</si>
  <si>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</si>
  <si>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</si>
  <si>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</si>
  <si>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</si>
  <si>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</si>
  <si>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</si>
  <si>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</si>
  <si>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</si>
  <si>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</si>
  <si>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</si>
  <si>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</si>
  <si>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</si>
  <si>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</si>
  <si>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</si>
  <si>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</si>
  <si>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</si>
  <si>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</si>
  <si>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</si>
  <si>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</si>
  <si>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</si>
  <si>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</si>
  <si>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</si>
  <si>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</si>
  <si>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</si>
  <si>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</si>
  <si>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</si>
  <si>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</si>
  <si>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</si>
  <si>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</si>
  <si>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</si>
  <si>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</si>
  <si>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</si>
  <si>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</si>
  <si>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</si>
  <si>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</si>
  <si>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</si>
  <si>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</si>
  <si>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</si>
  <si>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</si>
  <si>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</si>
  <si>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</si>
  <si>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</si>
  <si>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</si>
  <si>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</si>
  <si>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</si>
  <si>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</si>
  <si>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</si>
  <si>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</si>
  <si>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</si>
  <si>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</si>
  <si>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</si>
  <si>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</si>
  <si>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</si>
  <si>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</si>
  <si>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</si>
  <si>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</si>
  <si>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</si>
  <si>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</si>
  <si>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</si>
  <si>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</si>
  <si>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</si>
  <si>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</si>
  <si>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</si>
  <si>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</si>
  <si>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</si>
  <si>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</si>
  <si>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</si>
  <si>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</si>
  <si>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</si>
  <si>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</si>
  <si>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</si>
  <si>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</si>
  <si>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</si>
  <si>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</si>
  <si>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</si>
  <si>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</si>
  <si>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</si>
  <si>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</si>
  <si>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</si>
  <si>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</si>
  <si>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</si>
  <si>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</si>
  <si>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</si>
  <si>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</si>
  <si>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</si>
  <si>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</si>
  <si>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</si>
  <si>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</si>
  <si>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</si>
  <si>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</si>
  <si>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</si>
  <si>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</si>
  <si>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</si>
  <si>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</si>
  <si>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</si>
  <si>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</si>
  <si>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</si>
  <si>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</si>
  <si>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</si>
  <si>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</si>
  <si>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</si>
  <si>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</si>
  <si>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</si>
  <si>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</si>
  <si>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</si>
  <si>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</si>
  <si>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</si>
  <si>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</si>
  <si>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</si>
  <si>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</si>
  <si>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</si>
  <si>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</si>
  <si>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</si>
  <si>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</si>
  <si>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</si>
  <si>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</si>
  <si>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</si>
  <si>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</si>
  <si>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</si>
  <si>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</si>
  <si>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</si>
  <si>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</si>
  <si>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</si>
  <si>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</si>
  <si>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</si>
  <si>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</si>
  <si>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</si>
  <si>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</si>
  <si>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</si>
  <si>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</si>
  <si>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</si>
  <si>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</si>
  <si>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</si>
  <si>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</si>
  <si>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</si>
  <si>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</si>
  <si>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</si>
  <si>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</si>
  <si>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</si>
  <si>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</si>
  <si>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</si>
  <si>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</si>
  <si>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</si>
  <si>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</si>
  <si>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</si>
  <si>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</si>
  <si>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</si>
  <si>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</si>
  <si>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</si>
  <si>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</si>
  <si>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</si>
  <si>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</si>
  <si>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</si>
  <si>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</si>
  <si>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</si>
  <si>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</si>
  <si>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</si>
  <si>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</si>
  <si>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</si>
  <si>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</si>
  <si>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</si>
  <si>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</si>
  <si>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</si>
  <si>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</si>
  <si>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</si>
  <si>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</si>
  <si>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</si>
  <si>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</si>
  <si>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</si>
  <si>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</si>
  <si>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</si>
  <si>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</si>
  <si>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</si>
  <si>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</si>
  <si>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</si>
  <si>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</si>
  <si>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</si>
  <si>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</si>
  <si>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</si>
  <si>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</si>
  <si>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</si>
  <si>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</si>
  <si>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</si>
  <si>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</si>
  <si>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</si>
  <si>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</si>
  <si>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</si>
  <si>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</si>
  <si>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</si>
  <si>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</si>
  <si>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</si>
  <si>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</si>
  <si>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</si>
  <si>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</si>
  <si>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</si>
  <si>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</si>
  <si>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</si>
  <si>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</si>
  <si>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</si>
  <si>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</si>
  <si>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</si>
  <si>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</si>
  <si>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</si>
  <si>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</si>
  <si>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</si>
  <si>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</si>
  <si>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</si>
  <si>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</si>
  <si>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</si>
  <si>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</si>
  <si>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</si>
  <si>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</si>
  <si>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</si>
  <si>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</si>
  <si>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</si>
  <si>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</si>
  <si>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</si>
  <si>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</si>
  <si>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</si>
  <si>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</si>
  <si>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</si>
  <si>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</si>
  <si>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</si>
  <si>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</si>
  <si>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</si>
  <si>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</si>
  <si>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</si>
  <si>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</si>
  <si>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</si>
  <si>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</si>
  <si>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</si>
  <si>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</si>
  <si>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</si>
  <si>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</si>
  <si>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</si>
  <si>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</si>
  <si>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</si>
  <si>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</si>
  <si>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</si>
  <si>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</si>
  <si>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</si>
  <si>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</si>
  <si>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</si>
  <si>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</si>
  <si>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</si>
  <si>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</si>
  <si>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</si>
  <si>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</si>
  <si>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</si>
  <si>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</si>
  <si>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</si>
  <si>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</si>
  <si>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</si>
  <si>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</si>
  <si>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土地面积</t>
    <phoneticPr fontId="134" type="noConversion"/>
  </si>
  <si>
    <t>建筑面积</t>
    <phoneticPr fontId="134" type="noConversion"/>
  </si>
  <si>
    <t>坐落</t>
    <phoneticPr fontId="134" type="noConversion"/>
  </si>
  <si>
    <r>
      <t>保汇五街7</t>
    </r>
    <r>
      <rPr>
        <sz val="11"/>
        <color theme="1"/>
        <rFont val="宋体"/>
        <family val="3"/>
        <charset val="134"/>
        <scheme val="minor"/>
      </rPr>
      <t>6号院1幢等2幢</t>
    </r>
    <phoneticPr fontId="134" type="noConversion"/>
  </si>
  <si>
    <r>
      <t>X京房权证顺字第</t>
    </r>
    <r>
      <rPr>
        <sz val="11"/>
        <color theme="1"/>
        <rFont val="宋体"/>
        <family val="3"/>
        <charset val="134"/>
        <scheme val="minor"/>
      </rPr>
      <t>277215号</t>
    </r>
    <phoneticPr fontId="134" type="noConversion"/>
  </si>
  <si>
    <t>序号</t>
    <phoneticPr fontId="134" type="noConversion"/>
  </si>
  <si>
    <r>
      <t>B</t>
    </r>
    <r>
      <rPr>
        <sz val="11"/>
        <color theme="1"/>
        <rFont val="宋体"/>
        <family val="3"/>
        <charset val="134"/>
        <scheme val="minor"/>
      </rPr>
      <t>GS</t>
    </r>
    <phoneticPr fontId="134" type="noConversion"/>
  </si>
  <si>
    <t>功能</t>
    <phoneticPr fontId="134" type="noConversion"/>
  </si>
  <si>
    <t>快件中心</t>
    <phoneticPr fontId="134" type="noConversion"/>
  </si>
  <si>
    <t>X京房权证顺字第295007号</t>
    <phoneticPr fontId="134" type="noConversion"/>
  </si>
  <si>
    <r>
      <t>金岸西路8号院</t>
    </r>
    <r>
      <rPr>
        <sz val="11"/>
        <color theme="1"/>
        <rFont val="宋体"/>
        <family val="3"/>
        <charset val="134"/>
        <scheme val="minor"/>
      </rPr>
      <t>1幢等2幢</t>
    </r>
    <phoneticPr fontId="134" type="noConversion"/>
  </si>
  <si>
    <t>G1</t>
    <phoneticPr fontId="134" type="noConversion"/>
  </si>
  <si>
    <t>京（2022）顺不动产权第0022535号</t>
    <phoneticPr fontId="134" type="noConversion"/>
  </si>
  <si>
    <t>G3G6</t>
    <phoneticPr fontId="134" type="noConversion"/>
  </si>
  <si>
    <t>京（2019）顺不动产权第0012553号</t>
    <phoneticPr fontId="134" type="noConversion"/>
  </si>
  <si>
    <t>G4货运站</t>
    <phoneticPr fontId="134" type="noConversion"/>
  </si>
  <si>
    <t>不动产权证号/规证</t>
    <phoneticPr fontId="134" type="noConversion"/>
  </si>
  <si>
    <t>金岸西路10号院</t>
    <phoneticPr fontId="134" type="noConversion"/>
  </si>
  <si>
    <t>G5货运站</t>
  </si>
  <si>
    <t>2023规自（顺）建字0017号</t>
    <phoneticPr fontId="134" type="noConversion"/>
  </si>
  <si>
    <t>9A号道口</t>
    <phoneticPr fontId="134" type="noConversion"/>
  </si>
  <si>
    <t>2023规自（顺）建字0018号</t>
    <phoneticPr fontId="134" type="noConversion"/>
  </si>
  <si>
    <t>A202库房</t>
    <phoneticPr fontId="134" type="noConversion"/>
  </si>
  <si>
    <t>Ⅵ-天竺保税区北Ⅱ</t>
  </si>
  <si>
    <t>现房</t>
    <phoneticPr fontId="3" type="noConversion"/>
  </si>
  <si>
    <t>是</t>
  </si>
  <si>
    <t>地上</t>
  </si>
  <si>
    <t>仓储</t>
    <phoneticPr fontId="7" type="noConversion"/>
  </si>
  <si>
    <t>成新度</t>
  </si>
  <si>
    <t>收益法</t>
  </si>
  <si>
    <t>押一</t>
  </si>
  <si>
    <t>钢混</t>
  </si>
  <si>
    <t>非生产用房</t>
  </si>
  <si>
    <t>自定义容积率</t>
  </si>
  <si>
    <t>与级别开发程度不一致</t>
  </si>
  <si>
    <t>通路</t>
  </si>
  <si>
    <t>通电</t>
  </si>
  <si>
    <t>通讯</t>
  </si>
  <si>
    <t>通上水</t>
  </si>
  <si>
    <t>通下水</t>
  </si>
  <si>
    <t>平整</t>
  </si>
  <si>
    <t>较好</t>
  </si>
  <si>
    <t>一般</t>
  </si>
  <si>
    <t>较差</t>
  </si>
  <si>
    <t>好</t>
  </si>
  <si>
    <t>成本法</t>
  </si>
  <si>
    <t>计容面积</t>
    <phoneticPr fontId="134" type="noConversion"/>
  </si>
  <si>
    <r>
      <t>功能区土地面积</t>
    </r>
    <r>
      <rPr>
        <sz val="10.5"/>
        <color indexed="56"/>
        <rFont val="Arial Unicode MS"/>
        <family val="2"/>
        <charset val="134"/>
      </rPr>
      <t>=</t>
    </r>
    <r>
      <rPr>
        <sz val="10.5"/>
        <color indexed="56"/>
        <rFont val="微软雅黑"/>
        <family val="2"/>
        <charset val="134"/>
      </rPr>
      <t>地块土地总面积×（功能区产权面积÷地块总建筑面积）</t>
    </r>
    <phoneticPr fontId="3" type="noConversion"/>
  </si>
  <si>
    <t>土地、房产最新情况统计</t>
    <phoneticPr fontId="3" type="noConversion"/>
  </si>
  <si>
    <t>2022年之前历史数据</t>
    <phoneticPr fontId="3" type="noConversion"/>
  </si>
  <si>
    <t>单位：平米</t>
    <phoneticPr fontId="3" type="noConversion"/>
  </si>
  <si>
    <t>地块信息</t>
    <phoneticPr fontId="3" type="noConversion"/>
  </si>
  <si>
    <t>土地证面积（M2）</t>
    <phoneticPr fontId="3" type="noConversion"/>
  </si>
  <si>
    <t>功能区</t>
    <phoneticPr fontId="3" type="noConversion"/>
  </si>
  <si>
    <t>建筑物编号</t>
    <phoneticPr fontId="3" type="noConversion"/>
  </si>
  <si>
    <t>建筑物名称</t>
    <phoneticPr fontId="3" type="noConversion"/>
  </si>
  <si>
    <t>2023年11月23日更新</t>
    <phoneticPr fontId="3" type="noConversion"/>
  </si>
  <si>
    <t>土 地 信 息</t>
    <phoneticPr fontId="3" type="noConversion"/>
  </si>
  <si>
    <t>建筑物信息</t>
    <phoneticPr fontId="3" type="noConversion"/>
  </si>
  <si>
    <t>说明</t>
    <phoneticPr fontId="3" type="noConversion"/>
  </si>
  <si>
    <t>土地面积分摊</t>
    <phoneticPr fontId="3" type="noConversion"/>
  </si>
  <si>
    <t>土地价值（元）</t>
    <phoneticPr fontId="3" type="noConversion"/>
  </si>
  <si>
    <t>已开发土地面积（平米）</t>
    <phoneticPr fontId="3" type="noConversion"/>
  </si>
  <si>
    <t>待开发土地面积（平米）</t>
    <phoneticPr fontId="3" type="noConversion"/>
  </si>
  <si>
    <t>争议面积
（平米）</t>
    <phoneticPr fontId="3" type="noConversion"/>
  </si>
  <si>
    <t>合计（平米）</t>
    <phoneticPr fontId="3" type="noConversion"/>
  </si>
  <si>
    <t>土地价值（元）</t>
    <phoneticPr fontId="3" type="noConversion"/>
  </si>
  <si>
    <t>土地抵押情况</t>
    <phoneticPr fontId="3" type="noConversion"/>
  </si>
  <si>
    <t>转固面积
（平米）</t>
    <phoneticPr fontId="3" type="noConversion"/>
  </si>
  <si>
    <t>权证面积
（平米）</t>
    <phoneticPr fontId="3" type="noConversion"/>
  </si>
  <si>
    <t>GFA(SQM)</t>
  </si>
  <si>
    <t>NLA(SQM)</t>
  </si>
  <si>
    <t>账面最新价值</t>
    <phoneticPr fontId="3" type="noConversion"/>
  </si>
  <si>
    <t>产权证号</t>
    <phoneticPr fontId="3" type="noConversion"/>
  </si>
  <si>
    <t>房产抵押情况</t>
    <phoneticPr fontId="3" type="noConversion"/>
  </si>
  <si>
    <r>
      <rPr>
        <b/>
        <sz val="14"/>
        <color indexed="8"/>
        <rFont val="宋体"/>
        <family val="3"/>
        <charset val="134"/>
      </rPr>
      <t>场内地</t>
    </r>
    <r>
      <rPr>
        <sz val="10"/>
        <color indexed="8"/>
        <rFont val="宋体"/>
        <family val="3"/>
        <charset val="134"/>
      </rPr>
      <t xml:space="preserve">
京顺国用（2009出）字第00091号
2009年7月9日</t>
    </r>
    <phoneticPr fontId="3" type="noConversion"/>
  </si>
  <si>
    <t>03BEI01028/ACL201302</t>
  </si>
  <si>
    <t>国航临时库（含G4/5)</t>
    <phoneticPr fontId="3" type="noConversion"/>
  </si>
  <si>
    <t>未抵押</t>
    <phoneticPr fontId="247" type="noConversion"/>
  </si>
  <si>
    <t>未抵押</t>
    <phoneticPr fontId="3" type="noConversion"/>
  </si>
  <si>
    <r>
      <t>临时建筑，无权证；拆除原T</t>
    </r>
    <r>
      <rPr>
        <sz val="10"/>
        <color indexed="8"/>
        <rFont val="宋体"/>
        <family val="3"/>
        <charset val="134"/>
      </rPr>
      <t>2库新建G1库，资产减值，占地面积相应减少</t>
    </r>
    <phoneticPr fontId="3" type="noConversion"/>
  </si>
  <si>
    <t>22011B0038</t>
    <phoneticPr fontId="3" type="noConversion"/>
  </si>
  <si>
    <t>京（2022）顺不动产权第0022535号</t>
    <phoneticPr fontId="247" type="noConversion"/>
  </si>
  <si>
    <t>拆除原T2库新建G1库，所用土地为原国航临时库减少的土地面积；建筑面积暂用规证所载数：25989.48平米</t>
    <phoneticPr fontId="3" type="noConversion"/>
  </si>
  <si>
    <t>03BEI01030</t>
  </si>
  <si>
    <t>G3</t>
    <phoneticPr fontId="3" type="noConversion"/>
  </si>
  <si>
    <t>京（2019）顺不动产权第0012553号</t>
    <phoneticPr fontId="247" type="noConversion"/>
  </si>
  <si>
    <t>未抵押</t>
    <phoneticPr fontId="3" type="noConversion"/>
  </si>
  <si>
    <t>2018年12月转固</t>
  </si>
  <si>
    <t>03BEI01031</t>
  </si>
  <si>
    <t>G6</t>
    <phoneticPr fontId="3" type="noConversion"/>
  </si>
  <si>
    <t>非出租建筑物</t>
    <phoneticPr fontId="3" type="noConversion"/>
  </si>
  <si>
    <t>门卫</t>
    <phoneticPr fontId="3" type="noConversion"/>
  </si>
  <si>
    <t>理论上还有G9（动力中心）需要办理相应产权证，但目前因场内地国航占用问题无法完成土地出让补充协议的签订，尚无法办理。</t>
    <phoneticPr fontId="3" type="noConversion"/>
  </si>
  <si>
    <t>G9动力中心</t>
    <phoneticPr fontId="3" type="noConversion"/>
  </si>
  <si>
    <t>目前土地上有临时建筑</t>
    <phoneticPr fontId="3" type="noConversion"/>
  </si>
  <si>
    <t>BGS</t>
  </si>
  <si>
    <t xml:space="preserve">03BEI01011
</t>
    <phoneticPr fontId="3" type="noConversion"/>
  </si>
  <si>
    <t>A103</t>
  </si>
  <si>
    <t>该宗土地125301.33平方米在中国银行首都机场支行设立抵押，期限自2022年6月23日至2042年9月30日。</t>
    <phoneticPr fontId="3" type="noConversion"/>
  </si>
  <si>
    <t>X京房产证顺字第277215号</t>
  </si>
  <si>
    <t>中行</t>
    <phoneticPr fontId="3" type="noConversion"/>
  </si>
  <si>
    <t xml:space="preserve">03BEI01012
</t>
    <phoneticPr fontId="3" type="noConversion"/>
  </si>
  <si>
    <t>A104</t>
  </si>
  <si>
    <t xml:space="preserve">03BEI01014
</t>
    <phoneticPr fontId="3" type="noConversion"/>
  </si>
  <si>
    <t>办公楼</t>
  </si>
  <si>
    <t xml:space="preserve">03BEI01013
</t>
    <phoneticPr fontId="3" type="noConversion"/>
  </si>
  <si>
    <t>A105</t>
  </si>
  <si>
    <t>快件中心</t>
  </si>
  <si>
    <t>03BEI01015</t>
  </si>
  <si>
    <t>1#快件中心（A203）</t>
  </si>
  <si>
    <t>该宗土地111551.34平方米在中国银行首都机场支行设立抵押，期限自2022年6月23日至2042年9月30日。</t>
    <phoneticPr fontId="247" type="noConversion"/>
  </si>
  <si>
    <t>X京房产证顺字第295007号</t>
  </si>
  <si>
    <t>中行</t>
    <phoneticPr fontId="3" type="noConversion"/>
  </si>
  <si>
    <t>03BEI01016</t>
  </si>
  <si>
    <t>2#快件中心及综合办公楼（A204）</t>
    <phoneticPr fontId="3" type="noConversion"/>
  </si>
  <si>
    <t>部分建筑物（7948.04平米）及对应土地转让给综保区，因目前国家政策不受理部分分割转让，故无法办理过户</t>
    <phoneticPr fontId="3" type="noConversion"/>
  </si>
  <si>
    <t>快件中心卡口值班室</t>
    <phoneticPr fontId="3" type="noConversion"/>
  </si>
  <si>
    <t>未抵押</t>
    <phoneticPr fontId="247" type="noConversion"/>
  </si>
  <si>
    <t>待开发</t>
  </si>
  <si>
    <t>待开发（不含G4/5)</t>
    <phoneticPr fontId="247" type="noConversion"/>
  </si>
  <si>
    <t>待处置</t>
    <phoneticPr fontId="247" type="noConversion"/>
  </si>
  <si>
    <t>新华航</t>
    <phoneticPr fontId="247" type="noConversion"/>
  </si>
  <si>
    <t>集控坪</t>
    <phoneticPr fontId="247" type="noConversion"/>
  </si>
  <si>
    <t>国航占用土地</t>
    <phoneticPr fontId="3" type="noConversion"/>
  </si>
  <si>
    <t>国航的建筑占用航港的土地</t>
    <phoneticPr fontId="3" type="noConversion"/>
  </si>
  <si>
    <t>小计</t>
    <phoneticPr fontId="3" type="noConversion"/>
  </si>
  <si>
    <r>
      <rPr>
        <b/>
        <sz val="14"/>
        <color indexed="8"/>
        <rFont val="宋体"/>
        <family val="3"/>
        <charset val="134"/>
      </rPr>
      <t>地块一</t>
    </r>
    <r>
      <rPr>
        <sz val="10"/>
        <color indexed="8"/>
        <rFont val="宋体"/>
        <family val="3"/>
        <charset val="134"/>
      </rPr>
      <t xml:space="preserve">
京（2018）顺不动产权第0000081号
2018年12月25日</t>
    </r>
    <phoneticPr fontId="3" type="noConversion"/>
  </si>
  <si>
    <t>保税B型</t>
    <phoneticPr fontId="3" type="noConversion"/>
  </si>
  <si>
    <t>03BEI01001</t>
  </si>
  <si>
    <t>F01(办公楼)</t>
  </si>
  <si>
    <t>该宗土地113858.40平方米在中国工商银行顺义支行设立抵押，期限自2022年12月16日至2043年12月15日</t>
    <phoneticPr fontId="3" type="noConversion"/>
  </si>
  <si>
    <t>X京房产证顺字第278737号</t>
  </si>
  <si>
    <t>工行</t>
    <phoneticPr fontId="3" type="noConversion"/>
  </si>
  <si>
    <t>03BEI01002</t>
  </si>
  <si>
    <t>F02(D01)</t>
  </si>
  <si>
    <t>03BEI01003</t>
  </si>
  <si>
    <t>F03(D02)</t>
  </si>
  <si>
    <t>海关使用3,026.8平米，2013年一次性支付航港前期建设补偿200万元，此金额无法覆盖年租金。</t>
    <phoneticPr fontId="3" type="noConversion"/>
  </si>
  <si>
    <t>03BEI01004</t>
  </si>
  <si>
    <t>F04/F06(D03)</t>
  </si>
  <si>
    <t>03BEI01005</t>
  </si>
  <si>
    <t>F05/F07(D04)</t>
  </si>
  <si>
    <t>03BEI01027</t>
  </si>
  <si>
    <t>D08</t>
    <phoneticPr fontId="3" type="noConversion"/>
  </si>
  <si>
    <t>该宗土地26396.53平方米在在中国工商银行顺义支行设立抵押，期限自2022年12月16日至2043年12月15日</t>
    <phoneticPr fontId="247" type="noConversion"/>
  </si>
  <si>
    <t>X京房产顺字第339100号</t>
    <phoneticPr fontId="247" type="noConversion"/>
  </si>
  <si>
    <r>
      <t>2</t>
    </r>
    <r>
      <rPr>
        <sz val="10"/>
        <color indexed="8"/>
        <rFont val="宋体"/>
        <family val="3"/>
        <charset val="134"/>
      </rPr>
      <t>015年1月转固</t>
    </r>
    <phoneticPr fontId="3" type="noConversion"/>
  </si>
  <si>
    <t>03BEI01032</t>
  </si>
  <si>
    <t>D05</t>
    <phoneticPr fontId="3" type="noConversion"/>
  </si>
  <si>
    <t>未抵押</t>
    <phoneticPr fontId="247" type="noConversion"/>
  </si>
  <si>
    <t>京（2020）顺不动产权第0024095号</t>
    <phoneticPr fontId="3" type="noConversion"/>
  </si>
  <si>
    <t>2018年12月转固</t>
    <phoneticPr fontId="3" type="noConversion"/>
  </si>
  <si>
    <t>03BEI01033</t>
  </si>
  <si>
    <t>D06</t>
    <phoneticPr fontId="3" type="noConversion"/>
  </si>
  <si>
    <t>京（2022）顺不动产权第0025816号</t>
    <phoneticPr fontId="247" type="noConversion"/>
  </si>
  <si>
    <t>2019年10月转固</t>
  </si>
  <si>
    <t>03BEI01034</t>
  </si>
  <si>
    <t>D07</t>
    <phoneticPr fontId="3" type="noConversion"/>
  </si>
  <si>
    <t>京（2020）顺不动产权第0024095号</t>
    <phoneticPr fontId="3" type="noConversion"/>
  </si>
  <si>
    <t>03BEI01035</t>
  </si>
  <si>
    <t>D09</t>
    <phoneticPr fontId="3" type="noConversion"/>
  </si>
  <si>
    <t>03BEI01036</t>
  </si>
  <si>
    <t>D10</t>
    <phoneticPr fontId="3" type="noConversion"/>
  </si>
  <si>
    <t>非出租建筑物</t>
    <phoneticPr fontId="3" type="noConversion"/>
  </si>
  <si>
    <t>保税B卡口</t>
    <phoneticPr fontId="3" type="noConversion"/>
  </si>
  <si>
    <t>1#设备用房</t>
  </si>
  <si>
    <t>价值已计入D05库群</t>
    <phoneticPr fontId="3" type="noConversion"/>
  </si>
  <si>
    <t>2#设备用房</t>
  </si>
  <si>
    <t>待开发(大三角）</t>
    <phoneticPr fontId="3" type="noConversion"/>
  </si>
  <si>
    <t>小计</t>
    <phoneticPr fontId="3" type="noConversion"/>
  </si>
  <si>
    <r>
      <rPr>
        <b/>
        <sz val="14"/>
        <color indexed="8"/>
        <rFont val="宋体"/>
        <family val="3"/>
        <charset val="134"/>
      </rPr>
      <t>地块二</t>
    </r>
    <r>
      <rPr>
        <sz val="10"/>
        <color indexed="8"/>
        <rFont val="宋体"/>
        <family val="3"/>
        <charset val="134"/>
      </rPr>
      <t xml:space="preserve">
京顺国用（2011出）字第00193号
2011年12月21日</t>
    </r>
    <phoneticPr fontId="3" type="noConversion"/>
  </si>
  <si>
    <t>二级库</t>
  </si>
  <si>
    <t>转让综保区</t>
  </si>
  <si>
    <t>海关查验中心</t>
  </si>
  <si>
    <t>未抵押</t>
    <phoneticPr fontId="3" type="noConversion"/>
  </si>
  <si>
    <t>已和建筑物转让给综保区，未过户</t>
  </si>
  <si>
    <t>03BEI01006</t>
  </si>
  <si>
    <t>B02</t>
  </si>
  <si>
    <t>X京房产证顺字第297113号</t>
  </si>
  <si>
    <t>03BEI01007</t>
  </si>
  <si>
    <t>B03</t>
  </si>
  <si>
    <t>03BEI01008</t>
  </si>
  <si>
    <t>C03</t>
  </si>
  <si>
    <t>03BEI01009</t>
  </si>
  <si>
    <t>C04</t>
  </si>
  <si>
    <t>03BEI01010</t>
  </si>
  <si>
    <t>C05</t>
  </si>
  <si>
    <t>无证，不转让</t>
    <phoneticPr fontId="3" type="noConversion"/>
  </si>
  <si>
    <t>叉车充电间</t>
    <phoneticPr fontId="3" type="noConversion"/>
  </si>
  <si>
    <t>京（2019）顺不动产权第0009559号</t>
    <phoneticPr fontId="247" type="noConversion"/>
  </si>
  <si>
    <t>宏远自建，航港未出资，产权证办在航港名下</t>
    <phoneticPr fontId="3" type="noConversion"/>
  </si>
  <si>
    <t>宏远自建库房</t>
    <phoneticPr fontId="3" type="noConversion"/>
  </si>
  <si>
    <t>X京房权证顺字第331108号</t>
  </si>
  <si>
    <t>宏远自建拼装办公室</t>
    <phoneticPr fontId="3" type="noConversion"/>
  </si>
  <si>
    <t>22011B0037</t>
  </si>
  <si>
    <t>非保转运中心</t>
    <phoneticPr fontId="3" type="noConversion"/>
  </si>
  <si>
    <t>京（2022）顺不动产权第0008056号</t>
    <phoneticPr fontId="247" type="noConversion"/>
  </si>
  <si>
    <t>已于2021年5月暂估转固</t>
    <phoneticPr fontId="3" type="noConversion"/>
  </si>
  <si>
    <t>待总部分配？？</t>
    <phoneticPr fontId="3" type="noConversion"/>
  </si>
  <si>
    <t>国际货运区配套设施项目</t>
    <phoneticPr fontId="3" type="noConversion"/>
  </si>
  <si>
    <t>待开发</t>
    <phoneticPr fontId="3" type="noConversion"/>
  </si>
  <si>
    <r>
      <rPr>
        <b/>
        <sz val="14"/>
        <color indexed="8"/>
        <rFont val="宋体"/>
        <family val="3"/>
        <charset val="134"/>
      </rPr>
      <t>地块三</t>
    </r>
    <r>
      <rPr>
        <sz val="10"/>
        <color indexed="8"/>
        <rFont val="宋体"/>
        <family val="3"/>
        <charset val="134"/>
      </rPr>
      <t xml:space="preserve">
京顺国用（2015出）字第00093号
2015年8月4日
</t>
    </r>
    <phoneticPr fontId="3" type="noConversion"/>
  </si>
  <si>
    <t>航港物流园</t>
  </si>
  <si>
    <t>03BEI01022</t>
  </si>
  <si>
    <t>A1库</t>
  </si>
  <si>
    <t>该宗土地167318.6平方米在在中国工商银行首顺义支行设立抵押，期限自2023年6月16日至2043年12月15日</t>
    <phoneticPr fontId="3" type="noConversion"/>
  </si>
  <si>
    <t>X京房产证顺字第297114号</t>
  </si>
  <si>
    <t>工行</t>
    <phoneticPr fontId="3" type="noConversion"/>
  </si>
  <si>
    <t>03BEI01023</t>
  </si>
  <si>
    <t>A2库</t>
  </si>
  <si>
    <t>03BEI01024</t>
  </si>
  <si>
    <t>B1库</t>
  </si>
  <si>
    <t>X京房产证顺字第307852号</t>
  </si>
  <si>
    <t>03BEI01025</t>
  </si>
  <si>
    <t>B2库</t>
  </si>
  <si>
    <t>03BEI01026</t>
  </si>
  <si>
    <t>B3库</t>
  </si>
  <si>
    <t>非出租建筑物</t>
  </si>
  <si>
    <t>物业服务用房</t>
  </si>
  <si>
    <t>价值已计入A、B库</t>
  </si>
  <si>
    <t>值班室</t>
  </si>
  <si>
    <r>
      <rPr>
        <b/>
        <sz val="14"/>
        <color indexed="8"/>
        <rFont val="宋体"/>
        <family val="3"/>
        <charset val="134"/>
      </rPr>
      <t>地块五</t>
    </r>
    <r>
      <rPr>
        <sz val="10"/>
        <color indexed="8"/>
        <rFont val="宋体"/>
        <family val="3"/>
        <charset val="134"/>
      </rPr>
      <t xml:space="preserve">
京顺国用（2009出）字第00118号
2009年8月10日</t>
    </r>
    <phoneticPr fontId="3" type="noConversion"/>
  </si>
  <si>
    <t>综合楼</t>
    <phoneticPr fontId="3" type="noConversion"/>
  </si>
  <si>
    <t>03BEI01018</t>
  </si>
  <si>
    <t>综合办公楼(南楼)</t>
  </si>
  <si>
    <t>未抵押</t>
    <phoneticPr fontId="247" type="noConversion"/>
  </si>
  <si>
    <t>X京房产证顺字第309307号</t>
  </si>
  <si>
    <t>海关在用最新面积（招商统计）10,949.6平米</t>
    <phoneticPr fontId="3" type="noConversion"/>
  </si>
  <si>
    <t>03BEI01021</t>
    <phoneticPr fontId="247" type="noConversion"/>
  </si>
  <si>
    <t>口岸行政信息楼(北楼)</t>
  </si>
  <si>
    <t>海关在用51,603.15平米</t>
    <phoneticPr fontId="3" type="noConversion"/>
  </si>
  <si>
    <t>总计</t>
    <phoneticPr fontId="3" type="noConversion"/>
  </si>
  <si>
    <t>本次统计原则为：</t>
    <phoneticPr fontId="3" type="noConversion"/>
  </si>
  <si>
    <t>单体建筑对应土地面积：功能区土地面积=地块土地总面积×（功能区产权面积÷地块总建筑面积）</t>
    <phoneticPr fontId="3" type="noConversion"/>
  </si>
  <si>
    <t>单体土地价值：地块总价值扣减待开发价值后*按照单体建筑对应土地面积/地块总面积</t>
    <phoneticPr fontId="3" type="noConversion"/>
  </si>
  <si>
    <t>账面金额</t>
    <phoneticPr fontId="3" type="noConversion"/>
  </si>
  <si>
    <t>TB 金额</t>
  </si>
  <si>
    <t>库</t>
    <phoneticPr fontId="3" type="noConversion"/>
  </si>
  <si>
    <t>综合楼办公楼</t>
    <phoneticPr fontId="3" type="noConversion"/>
  </si>
  <si>
    <t>西侧停车场</t>
  </si>
  <si>
    <t>剔除与租赁无关的固定资产</t>
  </si>
  <si>
    <r>
      <t>F</t>
    </r>
    <r>
      <rPr>
        <sz val="10"/>
        <color indexed="8"/>
        <rFont val="宋体"/>
        <family val="3"/>
        <charset val="134"/>
      </rPr>
      <t>01联检楼</t>
    </r>
    <phoneticPr fontId="3" type="noConversion"/>
  </si>
  <si>
    <t>B型防鸟网及百叶窗</t>
  </si>
  <si>
    <t>海关大楼</t>
    <phoneticPr fontId="3" type="noConversion"/>
  </si>
  <si>
    <t>海关石狮子</t>
  </si>
  <si>
    <t>石狮子</t>
  </si>
  <si>
    <t>变压器改造（电力增容）</t>
  </si>
  <si>
    <r>
      <t>增加与租赁有关的房屋附属设备-</t>
    </r>
    <r>
      <rPr>
        <sz val="10"/>
        <color indexed="8"/>
        <rFont val="宋体"/>
        <family val="3"/>
        <charset val="134"/>
      </rPr>
      <t>非保转运中心</t>
    </r>
    <phoneticPr fontId="3" type="noConversion"/>
  </si>
  <si>
    <r>
      <t>G</t>
    </r>
    <r>
      <rPr>
        <sz val="10"/>
        <color indexed="8"/>
        <rFont val="宋体"/>
        <family val="3"/>
        <charset val="134"/>
      </rPr>
      <t>1</t>
    </r>
    <phoneticPr fontId="3" type="noConversion"/>
  </si>
  <si>
    <t>增加与租赁有关的房屋附属设备-GI</t>
    <phoneticPr fontId="3" type="noConversion"/>
  </si>
  <si>
    <t>TB实际金额</t>
  </si>
  <si>
    <t>分摊土地</t>
    <phoneticPr fontId="134" type="noConversion"/>
  </si>
  <si>
    <t>成新</t>
    <phoneticPr fontId="134" type="noConversion"/>
  </si>
  <si>
    <t>钢</t>
    <phoneticPr fontId="134" type="noConversion"/>
  </si>
  <si>
    <t>钢混</t>
    <phoneticPr fontId="134" type="noConversion"/>
  </si>
  <si>
    <t>建成年代</t>
    <phoneticPr fontId="134" type="noConversion"/>
  </si>
  <si>
    <t>未包含在土地购买价格中</t>
  </si>
  <si>
    <t>全部缴纳</t>
  </si>
  <si>
    <t>已包含在土地取得成本中</t>
  </si>
  <si>
    <t>租金单价</t>
    <phoneticPr fontId="134" type="noConversion"/>
  </si>
  <si>
    <t>总价</t>
  </si>
  <si>
    <t>成本比率</t>
  </si>
  <si>
    <t>金岸西路10号院5号楼1至3层101</t>
    <phoneticPr fontId="134" type="noConversion"/>
  </si>
  <si>
    <t>金岸西路10号院2号楼1至2层101等[3]套</t>
    <phoneticPr fontId="134" type="noConversion"/>
  </si>
  <si>
    <t>国内航空货运站</t>
    <phoneticPr fontId="3" type="noConversion"/>
  </si>
  <si>
    <t>G1（或称G17）</t>
    <phoneticPr fontId="3" type="noConversion"/>
  </si>
  <si>
    <t>BGS</t>
    <phoneticPr fontId="3" type="noConversion"/>
  </si>
  <si>
    <t>快件中心</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</si>
</sst>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_ * #,##0.00000_ ;_ * \-#,##0.00000_ ;_ * &quot;-&quot;??_ ;_ @_ "/>
    <numFmt numFmtId="198" formatCode="_ * #,##0.0000_ ;_ * \-#,##0.0000_ ;_ * &quot;-&quot;??_ ;_ @_ "/>
    <numFmt numFmtId="199" formatCode="_ * #,##0.0000000_ ;_ * \-#,##0.0000000_ ;_ * &quot;-&quot;??_ ;_ @_ "/>
    <numFmt numFmtId="200" formatCode="_ * #,##0.000000_ ;_ * \-#,##0.000000_ ;_ * &quot;-&quot;??_ ;_ @_ "/>
    <numFmt numFmtId="201" formatCode="_ * #,##0.0_ ;_ * \-#,##0.0_ ;_ * &quot;-&quot;??_ ;_ @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5"/>
      <color rgb="FF1F497D"/>
      <name val="微软雅黑"/>
      <family val="2"/>
      <charset val="134"/>
    </font>
    <font>
      <sz val="10.5"/>
      <color indexed="56"/>
      <name val="Arial Unicode MS"/>
      <family val="2"/>
      <charset val="134"/>
    </font>
    <font>
      <sz val="10.5"/>
      <color indexed="56"/>
      <name val="微软雅黑"/>
      <family val="2"/>
      <charset val="134"/>
    </font>
    <font>
      <b/>
      <sz val="14"/>
      <color indexed="8"/>
      <name val="宋体"/>
      <family val="3"/>
      <charset val="134"/>
    </font>
    <font>
      <sz val="10"/>
      <color theme="1"/>
      <name val="Times New Roman"/>
      <family val="1"/>
    </font>
    <font>
      <sz val="10"/>
      <color theme="1"/>
      <name val="宋体"/>
      <family val="3"/>
      <charset val="134"/>
      <scheme val="major"/>
    </font>
    <font>
      <b/>
      <sz val="10"/>
      <color theme="1"/>
      <name val="Times New Roman"/>
      <family val="1"/>
    </font>
    <font>
      <b/>
      <sz val="10"/>
      <color theme="1"/>
      <name val="宋体"/>
      <family val="3"/>
      <charset val="134"/>
      <scheme val="maj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5"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269" fillId="0" borderId="0" applyFont="0" applyFill="0" applyBorder="0" applyAlignment="0" applyProtection="0">
      <alignment vertical="center"/>
    </xf>
  </cellStyleXfs>
  <cellXfs count="39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77" fillId="0" borderId="1" xfId="0" applyFont="1" applyBorder="1" applyAlignment="1" applyProtection="1">
      <alignment horizontal="center" vertical="center" wrapText="1"/>
      <protection locked="0"/>
    </xf>
    <xf numFmtId="0" fontId="99" fillId="5" borderId="1" xfId="10" applyFont="1" applyFill="1" applyBorder="1" applyAlignment="1" applyProtection="1">
      <alignment horizontal="center" vertical="center" wrapText="1"/>
      <protection locked="0"/>
    </xf>
    <xf numFmtId="0" fontId="0" fillId="5" borderId="0" xfId="0" applyFill="1">
      <alignment vertical="center"/>
    </xf>
    <xf numFmtId="0" fontId="270" fillId="0" borderId="0" xfId="1" applyFont="1">
      <alignment vertical="center"/>
    </xf>
    <xf numFmtId="0" fontId="107" fillId="0" borderId="0" xfId="1" applyFont="1">
      <alignment vertical="center"/>
    </xf>
    <xf numFmtId="0" fontId="107" fillId="0" borderId="0" xfId="1" applyFont="1" applyAlignment="1">
      <alignment horizontal="center" vertical="center"/>
    </xf>
    <xf numFmtId="0" fontId="107" fillId="0" borderId="0" xfId="1" applyFont="1" applyAlignment="1">
      <alignment vertical="center" wrapText="1"/>
    </xf>
    <xf numFmtId="0" fontId="112" fillId="0" borderId="0" xfId="1" applyFont="1">
      <alignment vertical="center"/>
    </xf>
    <xf numFmtId="58" fontId="107" fillId="0" borderId="0" xfId="1" applyNumberFormat="1" applyFont="1">
      <alignment vertical="center"/>
    </xf>
    <xf numFmtId="0" fontId="107" fillId="0" borderId="0" xfId="1" applyFont="1" applyAlignment="1">
      <alignment horizontal="right" vertical="center" wrapText="1"/>
    </xf>
    <xf numFmtId="0" fontId="112" fillId="14" borderId="5" xfId="1" applyFont="1" applyFill="1" applyBorder="1" applyAlignment="1">
      <alignment horizontal="center" vertical="center" wrapText="1"/>
    </xf>
    <xf numFmtId="0" fontId="112" fillId="14" borderId="1" xfId="1" applyFont="1" applyFill="1" applyBorder="1" applyAlignment="1">
      <alignment horizontal="center" vertical="center" wrapText="1"/>
    </xf>
    <xf numFmtId="0" fontId="112" fillId="23" borderId="1" xfId="1" applyFont="1" applyFill="1" applyBorder="1" applyAlignment="1">
      <alignment horizontal="center" vertical="center" wrapText="1"/>
    </xf>
    <xf numFmtId="0" fontId="112" fillId="22" borderId="1" xfId="1" applyFont="1" applyFill="1" applyBorder="1" applyAlignment="1">
      <alignment horizontal="center" vertical="center" wrapText="1"/>
    </xf>
    <xf numFmtId="43" fontId="112" fillId="22" borderId="1" xfId="20" applyFont="1" applyFill="1" applyBorder="1" applyAlignment="1">
      <alignment horizontal="center" vertical="center" wrapText="1"/>
    </xf>
    <xf numFmtId="0" fontId="107" fillId="0" borderId="1" xfId="1" applyFont="1" applyBorder="1" applyAlignment="1">
      <alignment horizontal="center" vertical="center" wrapText="1"/>
    </xf>
    <xf numFmtId="0" fontId="107" fillId="7" borderId="1" xfId="1" applyFont="1" applyFill="1" applyBorder="1">
      <alignment vertical="center"/>
    </xf>
    <xf numFmtId="196" fontId="107" fillId="9" borderId="1" xfId="1" applyNumberFormat="1" applyFont="1" applyFill="1" applyBorder="1">
      <alignment vertical="center"/>
    </xf>
    <xf numFmtId="43" fontId="274" fillId="23" borderId="1" xfId="20" applyFont="1" applyFill="1" applyBorder="1">
      <alignment vertical="center"/>
    </xf>
    <xf numFmtId="197" fontId="274" fillId="23" borderId="1" xfId="20" applyNumberFormat="1" applyFont="1" applyFill="1" applyBorder="1">
      <alignment vertical="center"/>
    </xf>
    <xf numFmtId="43" fontId="274" fillId="5" borderId="1" xfId="20" applyFont="1" applyFill="1" applyBorder="1">
      <alignment vertical="center"/>
    </xf>
    <xf numFmtId="43" fontId="274" fillId="5" borderId="1" xfId="20" applyNumberFormat="1" applyFont="1" applyFill="1" applyBorder="1">
      <alignment vertical="center"/>
    </xf>
    <xf numFmtId="43" fontId="274" fillId="22" borderId="1" xfId="20" applyFont="1" applyFill="1" applyBorder="1">
      <alignment vertical="center"/>
    </xf>
    <xf numFmtId="43" fontId="107" fillId="22" borderId="1" xfId="20" applyFont="1" applyFill="1" applyBorder="1" applyAlignment="1">
      <alignment vertical="center" wrapText="1"/>
    </xf>
    <xf numFmtId="43" fontId="122" fillId="22" borderId="1" xfId="20" applyFont="1" applyFill="1" applyBorder="1" applyAlignment="1">
      <alignment horizontal="center" vertical="center"/>
    </xf>
    <xf numFmtId="0" fontId="107" fillId="0" borderId="1" xfId="1" applyFont="1" applyBorder="1" applyAlignment="1">
      <alignment vertical="center" wrapText="1"/>
    </xf>
    <xf numFmtId="0" fontId="107" fillId="0" borderId="1" xfId="1" applyFont="1" applyFill="1" applyBorder="1" applyAlignment="1">
      <alignment horizontal="center" vertical="center" wrapText="1"/>
    </xf>
    <xf numFmtId="196" fontId="107" fillId="7" borderId="1" xfId="1" applyNumberFormat="1" applyFont="1" applyFill="1" applyBorder="1">
      <alignment vertical="center"/>
    </xf>
    <xf numFmtId="198" fontId="274" fillId="23" borderId="1" xfId="20" applyNumberFormat="1" applyFont="1" applyFill="1" applyBorder="1">
      <alignment vertical="center"/>
    </xf>
    <xf numFmtId="43" fontId="122" fillId="22" borderId="1" xfId="20" applyFont="1" applyFill="1" applyBorder="1">
      <alignment vertical="center"/>
    </xf>
    <xf numFmtId="43" fontId="107" fillId="22" borderId="13" xfId="20" applyFont="1" applyFill="1" applyBorder="1" applyAlignment="1">
      <alignment horizontal="center" vertical="center" wrapText="1"/>
    </xf>
    <xf numFmtId="43" fontId="122" fillId="22" borderId="13" xfId="20" applyFont="1" applyFill="1" applyBorder="1" applyAlignment="1">
      <alignment horizontal="center" vertical="center"/>
    </xf>
    <xf numFmtId="43" fontId="274" fillId="22" borderId="1" xfId="20" applyFont="1" applyFill="1" applyBorder="1" applyAlignment="1">
      <alignment vertical="center"/>
    </xf>
    <xf numFmtId="0" fontId="107" fillId="7" borderId="1" xfId="1" applyFont="1" applyFill="1" applyBorder="1" applyAlignment="1">
      <alignment horizontal="center" vertical="center"/>
    </xf>
    <xf numFmtId="0" fontId="107" fillId="22" borderId="1" xfId="1" applyFont="1" applyFill="1" applyBorder="1">
      <alignment vertical="center"/>
    </xf>
    <xf numFmtId="0" fontId="107" fillId="7" borderId="1" xfId="1" applyFont="1" applyFill="1" applyBorder="1" applyAlignment="1">
      <alignment horizontal="left" vertical="center"/>
    </xf>
    <xf numFmtId="0" fontId="107" fillId="23" borderId="1" xfId="1" applyFont="1" applyFill="1" applyBorder="1">
      <alignment vertical="center"/>
    </xf>
    <xf numFmtId="199" fontId="274" fillId="23" borderId="1" xfId="20" applyNumberFormat="1" applyFont="1" applyFill="1" applyBorder="1">
      <alignment vertical="center"/>
    </xf>
    <xf numFmtId="43" fontId="274" fillId="5" borderId="13" xfId="20" applyNumberFormat="1" applyFont="1" applyFill="1" applyBorder="1" applyAlignment="1">
      <alignment vertical="center"/>
    </xf>
    <xf numFmtId="43" fontId="274" fillId="22" borderId="1" xfId="20" applyFont="1" applyFill="1" applyBorder="1" applyAlignment="1">
      <alignment horizontal="center" vertical="center"/>
    </xf>
    <xf numFmtId="200" fontId="274" fillId="23" borderId="1" xfId="20" applyNumberFormat="1" applyFont="1" applyFill="1" applyBorder="1">
      <alignment vertical="center"/>
    </xf>
    <xf numFmtId="0" fontId="107" fillId="0" borderId="1" xfId="1" applyFont="1" applyBorder="1" applyAlignment="1">
      <alignment horizontal="center" vertical="center"/>
    </xf>
    <xf numFmtId="43" fontId="274" fillId="22" borderId="13" xfId="20" applyFont="1" applyFill="1" applyBorder="1">
      <alignment vertical="center"/>
    </xf>
    <xf numFmtId="43" fontId="274" fillId="22" borderId="13" xfId="20" applyFont="1" applyFill="1" applyBorder="1" applyAlignment="1">
      <alignment vertical="center"/>
    </xf>
    <xf numFmtId="196" fontId="107" fillId="7" borderId="13" xfId="1" applyNumberFormat="1" applyFont="1" applyFill="1" applyBorder="1" applyAlignment="1">
      <alignment vertical="center"/>
    </xf>
    <xf numFmtId="196" fontId="107" fillId="24" borderId="13" xfId="1" applyNumberFormat="1" applyFont="1" applyFill="1" applyBorder="1" applyAlignment="1">
      <alignment vertical="center"/>
    </xf>
    <xf numFmtId="196" fontId="107" fillId="24" borderId="1" xfId="1" applyNumberFormat="1" applyFont="1" applyFill="1" applyBorder="1" applyAlignment="1">
      <alignment horizontal="right" vertical="center"/>
    </xf>
    <xf numFmtId="43" fontId="274" fillId="24" borderId="1" xfId="20" applyFont="1" applyFill="1" applyBorder="1">
      <alignment vertical="center"/>
    </xf>
    <xf numFmtId="43" fontId="274" fillId="22" borderId="2" xfId="20" applyFont="1" applyFill="1" applyBorder="1" applyAlignment="1">
      <alignment vertical="center"/>
    </xf>
    <xf numFmtId="0" fontId="107" fillId="7" borderId="1" xfId="1" applyFont="1" applyFill="1" applyBorder="1" applyAlignment="1">
      <alignment horizontal="left" vertical="center" wrapText="1"/>
    </xf>
    <xf numFmtId="43" fontId="274" fillId="22" borderId="2" xfId="20" applyFont="1" applyFill="1" applyBorder="1" applyAlignment="1">
      <alignment horizontal="center" vertical="center"/>
    </xf>
    <xf numFmtId="43" fontId="107" fillId="22" borderId="2" xfId="20" applyFont="1" applyFill="1" applyBorder="1" applyAlignment="1">
      <alignment horizontal="center" vertical="center" wrapText="1"/>
    </xf>
    <xf numFmtId="196" fontId="107" fillId="9" borderId="1" xfId="1" applyNumberFormat="1" applyFont="1" applyFill="1" applyBorder="1" applyAlignment="1">
      <alignment vertical="center"/>
    </xf>
    <xf numFmtId="43" fontId="274" fillId="22" borderId="13" xfId="20" applyFont="1" applyFill="1" applyBorder="1" applyAlignment="1">
      <alignment horizontal="center" vertical="center"/>
    </xf>
    <xf numFmtId="0" fontId="107" fillId="0" borderId="1" xfId="1" applyFont="1" applyBorder="1">
      <alignment vertical="center"/>
    </xf>
    <xf numFmtId="0" fontId="112" fillId="7" borderId="1" xfId="1" applyFont="1" applyFill="1" applyBorder="1" applyAlignment="1">
      <alignment horizontal="center" vertical="center"/>
    </xf>
    <xf numFmtId="196" fontId="112" fillId="7" borderId="1" xfId="1" applyNumberFormat="1" applyFont="1" applyFill="1" applyBorder="1" applyAlignment="1">
      <alignment horizontal="right" vertical="center"/>
    </xf>
    <xf numFmtId="43" fontId="276" fillId="23" borderId="1" xfId="20" applyFont="1" applyFill="1" applyBorder="1">
      <alignment vertical="center"/>
    </xf>
    <xf numFmtId="43" fontId="277" fillId="23" borderId="1" xfId="20" applyFont="1" applyFill="1" applyBorder="1" applyAlignment="1">
      <alignment vertical="center" wrapText="1"/>
    </xf>
    <xf numFmtId="43" fontId="276" fillId="22" borderId="1" xfId="20" applyFont="1" applyFill="1" applyBorder="1">
      <alignment vertical="center"/>
    </xf>
    <xf numFmtId="43" fontId="112" fillId="22" borderId="1" xfId="20" applyFont="1" applyFill="1" applyBorder="1" applyAlignment="1">
      <alignment vertical="center" wrapText="1"/>
    </xf>
    <xf numFmtId="43" fontId="276" fillId="22" borderId="1" xfId="20" applyFont="1" applyFill="1" applyBorder="1" applyAlignment="1">
      <alignment horizontal="center" vertical="center"/>
    </xf>
    <xf numFmtId="43" fontId="107" fillId="0" borderId="1" xfId="1" applyNumberFormat="1" applyFont="1" applyBorder="1" applyAlignment="1">
      <alignment vertical="center" wrapText="1"/>
    </xf>
    <xf numFmtId="43" fontId="107" fillId="7" borderId="1" xfId="20" applyFont="1" applyFill="1" applyBorder="1">
      <alignment vertical="center"/>
    </xf>
    <xf numFmtId="201" fontId="274" fillId="23" borderId="1" xfId="20" applyNumberFormat="1" applyFont="1" applyFill="1" applyBorder="1">
      <alignment vertical="center"/>
    </xf>
    <xf numFmtId="0" fontId="107" fillId="5" borderId="1" xfId="1" applyFont="1" applyFill="1" applyBorder="1" applyAlignment="1">
      <alignment vertical="center" wrapText="1"/>
    </xf>
    <xf numFmtId="43" fontId="275" fillId="23" borderId="1" xfId="20" applyFont="1" applyFill="1" applyBorder="1" applyAlignment="1">
      <alignment vertical="center" wrapText="1"/>
    </xf>
    <xf numFmtId="0" fontId="107" fillId="0" borderId="1" xfId="1" applyFont="1" applyFill="1" applyBorder="1">
      <alignment vertical="center"/>
    </xf>
    <xf numFmtId="43" fontId="107" fillId="22" borderId="1" xfId="20" applyFont="1" applyFill="1" applyBorder="1" applyAlignment="1">
      <alignment horizontal="left" vertical="center" wrapText="1"/>
    </xf>
    <xf numFmtId="43" fontId="107" fillId="22" borderId="1" xfId="20" applyFont="1" applyFill="1" applyBorder="1" applyAlignment="1">
      <alignment horizontal="center" vertical="center" wrapText="1"/>
    </xf>
    <xf numFmtId="43" fontId="274" fillId="22" borderId="2" xfId="20" applyFont="1" applyFill="1" applyBorder="1">
      <alignment vertical="center"/>
    </xf>
    <xf numFmtId="0" fontId="107" fillId="7" borderId="1" xfId="1" applyFont="1" applyFill="1" applyBorder="1" applyAlignment="1">
      <alignment vertical="center" wrapText="1"/>
    </xf>
    <xf numFmtId="43" fontId="107" fillId="9" borderId="1" xfId="20" applyFont="1" applyFill="1" applyBorder="1">
      <alignment vertical="center"/>
    </xf>
    <xf numFmtId="43" fontId="112" fillId="7" borderId="1" xfId="1" applyNumberFormat="1" applyFont="1" applyFill="1" applyBorder="1" applyAlignment="1">
      <alignment horizontal="center" vertical="center"/>
    </xf>
    <xf numFmtId="43" fontId="107" fillId="24" borderId="1" xfId="20" applyFont="1" applyFill="1" applyBorder="1">
      <alignment vertical="center"/>
    </xf>
    <xf numFmtId="43" fontId="112" fillId="22" borderId="13" xfId="20" applyFont="1" applyFill="1" applyBorder="1" applyAlignment="1">
      <alignment vertical="center" wrapText="1"/>
    </xf>
    <xf numFmtId="43" fontId="122" fillId="23" borderId="1" xfId="20" applyFont="1" applyFill="1" applyBorder="1">
      <alignment vertical="center"/>
    </xf>
    <xf numFmtId="0" fontId="107" fillId="7" borderId="0" xfId="1" applyFont="1" applyFill="1">
      <alignment vertical="center"/>
    </xf>
    <xf numFmtId="43" fontId="274" fillId="0" borderId="1" xfId="20" applyFont="1" applyFill="1" applyBorder="1">
      <alignment vertical="center"/>
    </xf>
    <xf numFmtId="43" fontId="107" fillId="22" borderId="1" xfId="21" applyFont="1" applyFill="1" applyBorder="1">
      <alignment vertical="center"/>
    </xf>
    <xf numFmtId="43" fontId="107" fillId="0" borderId="1" xfId="20" applyFont="1" applyFill="1" applyBorder="1">
      <alignment vertical="center"/>
    </xf>
    <xf numFmtId="0" fontId="112" fillId="0" borderId="1" xfId="1" applyFont="1" applyFill="1" applyBorder="1" applyAlignment="1">
      <alignment horizontal="center" vertical="center"/>
    </xf>
    <xf numFmtId="43" fontId="112" fillId="0" borderId="1" xfId="20" applyFont="1" applyFill="1" applyBorder="1" applyAlignment="1">
      <alignment horizontal="center" vertical="center"/>
    </xf>
    <xf numFmtId="43" fontId="276" fillId="0" borderId="1" xfId="20" applyFont="1" applyFill="1" applyBorder="1">
      <alignment vertical="center"/>
    </xf>
    <xf numFmtId="43" fontId="277" fillId="23" borderId="1" xfId="20" applyFont="1" applyFill="1" applyBorder="1">
      <alignment vertical="center"/>
    </xf>
    <xf numFmtId="43" fontId="112" fillId="7" borderId="1" xfId="20" applyFont="1" applyFill="1" applyBorder="1" applyAlignment="1">
      <alignment horizontal="center" vertical="center"/>
    </xf>
    <xf numFmtId="0" fontId="112" fillId="10" borderId="1" xfId="1" applyFont="1" applyFill="1" applyBorder="1" applyAlignment="1">
      <alignment vertical="center"/>
    </xf>
    <xf numFmtId="43" fontId="112" fillId="10" borderId="1" xfId="1" applyNumberFormat="1" applyFont="1" applyFill="1" applyBorder="1" applyAlignment="1">
      <alignment vertical="center"/>
    </xf>
    <xf numFmtId="0" fontId="112" fillId="10" borderId="1" xfId="1" applyFont="1" applyFill="1" applyBorder="1" applyAlignment="1">
      <alignment horizontal="center" vertical="center"/>
    </xf>
    <xf numFmtId="43" fontId="276" fillId="10" borderId="1" xfId="20" applyFont="1" applyFill="1" applyBorder="1">
      <alignment vertical="center"/>
    </xf>
    <xf numFmtId="43" fontId="277" fillId="10" borderId="1" xfId="20" applyFont="1" applyFill="1" applyBorder="1" applyAlignment="1">
      <alignment vertical="center" wrapText="1"/>
    </xf>
    <xf numFmtId="43" fontId="112" fillId="10" borderId="1" xfId="20" applyFont="1" applyFill="1" applyBorder="1" applyAlignment="1">
      <alignment vertical="center" wrapText="1"/>
    </xf>
    <xf numFmtId="43" fontId="276" fillId="10" borderId="1" xfId="20" applyFont="1" applyFill="1" applyBorder="1" applyAlignment="1">
      <alignment horizontal="center" vertical="center"/>
    </xf>
    <xf numFmtId="0" fontId="112" fillId="10" borderId="1" xfId="1" applyFont="1" applyFill="1" applyBorder="1" applyAlignment="1">
      <alignment vertical="center" wrapText="1"/>
    </xf>
    <xf numFmtId="0" fontId="107" fillId="0" borderId="0" xfId="1" applyFont="1" applyAlignment="1">
      <alignment vertical="center"/>
    </xf>
    <xf numFmtId="43" fontId="102" fillId="0" borderId="0" xfId="20" applyFont="1">
      <alignment vertical="center"/>
    </xf>
    <xf numFmtId="43" fontId="107" fillId="0" borderId="0" xfId="1" applyNumberFormat="1" applyFont="1" applyAlignment="1">
      <alignment horizontal="center" vertical="center"/>
    </xf>
    <xf numFmtId="43" fontId="99" fillId="0" borderId="0" xfId="20" applyFont="1">
      <alignment vertical="center"/>
    </xf>
    <xf numFmtId="43" fontId="122" fillId="0" borderId="0" xfId="20" applyFont="1">
      <alignment vertical="center"/>
    </xf>
    <xf numFmtId="43" fontId="107" fillId="0" borderId="0" xfId="1" applyNumberFormat="1" applyFont="1">
      <alignment vertical="center"/>
    </xf>
    <xf numFmtId="0" fontId="107" fillId="8" borderId="1" xfId="1" applyFont="1" applyFill="1" applyBorder="1">
      <alignment vertical="center"/>
    </xf>
    <xf numFmtId="181" fontId="99" fillId="16" borderId="1" xfId="0" applyNumberFormat="1" applyFont="1" applyFill="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181" fontId="44" fillId="16" borderId="1"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0" fillId="0" borderId="0" xfId="0" applyAlignment="1">
      <alignment vertical="center"/>
    </xf>
    <xf numFmtId="0" fontId="107" fillId="0" borderId="0" xfId="1" applyFont="1" applyAlignment="1">
      <alignment horizontal="center" vertical="center"/>
    </xf>
    <xf numFmtId="0" fontId="107" fillId="0" borderId="1" xfId="1" applyFont="1" applyBorder="1" applyAlignment="1">
      <alignment horizontal="center" vertical="center" wrapText="1"/>
    </xf>
    <xf numFmtId="0" fontId="107" fillId="0" borderId="1" xfId="1" applyFont="1" applyBorder="1" applyAlignment="1">
      <alignment horizontal="center" vertical="center"/>
    </xf>
    <xf numFmtId="196" fontId="107" fillId="0" borderId="1" xfId="1" applyNumberFormat="1" applyFont="1" applyBorder="1" applyAlignment="1">
      <alignment horizontal="center" vertical="center"/>
    </xf>
    <xf numFmtId="43" fontId="275" fillId="23" borderId="13" xfId="20" applyFont="1" applyFill="1" applyBorder="1" applyAlignment="1">
      <alignment horizontal="center" vertical="center" wrapText="1"/>
    </xf>
    <xf numFmtId="43" fontId="275" fillId="23" borderId="2" xfId="20" applyFont="1" applyFill="1" applyBorder="1" applyAlignment="1">
      <alignment horizontal="center" vertical="center" wrapText="1"/>
    </xf>
    <xf numFmtId="43" fontId="274" fillId="22" borderId="13" xfId="20" applyFont="1" applyFill="1" applyBorder="1" applyAlignment="1">
      <alignment horizontal="center" vertical="center"/>
    </xf>
    <xf numFmtId="43" fontId="274" fillId="22" borderId="2" xfId="20" applyFont="1" applyFill="1" applyBorder="1" applyAlignment="1">
      <alignment horizontal="center" vertical="center"/>
    </xf>
    <xf numFmtId="43" fontId="122" fillId="22" borderId="13" xfId="20" applyFont="1" applyFill="1" applyBorder="1" applyAlignment="1">
      <alignment horizontal="center" vertical="center"/>
    </xf>
    <xf numFmtId="43" fontId="107" fillId="22" borderId="13" xfId="20" applyFont="1" applyFill="1" applyBorder="1" applyAlignment="1">
      <alignment horizontal="center" vertical="center" wrapText="1"/>
    </xf>
    <xf numFmtId="43" fontId="107" fillId="22" borderId="15" xfId="20" applyFont="1" applyFill="1" applyBorder="1" applyAlignment="1">
      <alignment horizontal="center" vertical="center" wrapText="1"/>
    </xf>
    <xf numFmtId="43" fontId="107" fillId="22" borderId="2" xfId="20" applyFont="1" applyFill="1" applyBorder="1" applyAlignment="1">
      <alignment horizontal="center" vertical="center" wrapText="1"/>
    </xf>
    <xf numFmtId="43" fontId="274" fillId="22" borderId="15" xfId="20" applyFont="1" applyFill="1" applyBorder="1" applyAlignment="1">
      <alignment horizontal="center" vertical="center"/>
    </xf>
    <xf numFmtId="43" fontId="122" fillId="22" borderId="13" xfId="20" applyFont="1" applyFill="1" applyBorder="1" applyAlignment="1">
      <alignment horizontal="center" vertical="center" wrapText="1"/>
    </xf>
    <xf numFmtId="43" fontId="274" fillId="22" borderId="2" xfId="20" applyFont="1" applyFill="1" applyBorder="1" applyAlignment="1">
      <alignment horizontal="center" vertical="center" wrapText="1"/>
    </xf>
    <xf numFmtId="0" fontId="77" fillId="0" borderId="1" xfId="1" applyFont="1" applyBorder="1" applyAlignment="1">
      <alignment horizontal="center" vertical="center" wrapText="1"/>
    </xf>
    <xf numFmtId="43" fontId="107" fillId="23" borderId="13" xfId="20" applyFont="1" applyFill="1" applyBorder="1" applyAlignment="1">
      <alignment horizontal="left" vertical="center" wrapText="1"/>
    </xf>
    <xf numFmtId="43" fontId="107" fillId="23" borderId="15" xfId="20" applyFont="1" applyFill="1" applyBorder="1" applyAlignment="1">
      <alignment horizontal="left" vertical="center" wrapText="1"/>
    </xf>
    <xf numFmtId="43" fontId="107" fillId="23" borderId="2" xfId="20" applyFont="1" applyFill="1" applyBorder="1" applyAlignment="1">
      <alignment horizontal="left" vertical="center" wrapText="1"/>
    </xf>
    <xf numFmtId="43" fontId="275" fillId="23" borderId="15" xfId="20" applyFont="1" applyFill="1" applyBorder="1" applyAlignment="1">
      <alignment horizontal="center" vertical="center" wrapText="1"/>
    </xf>
    <xf numFmtId="0" fontId="77" fillId="0" borderId="13" xfId="1" applyFont="1" applyBorder="1" applyAlignment="1">
      <alignment horizontal="center" vertical="center" wrapText="1"/>
    </xf>
    <xf numFmtId="0" fontId="107" fillId="0" borderId="15" xfId="1" applyFont="1" applyBorder="1" applyAlignment="1">
      <alignment horizontal="center" vertical="center" wrapText="1"/>
    </xf>
    <xf numFmtId="0" fontId="107" fillId="0" borderId="2" xfId="1" applyFont="1" applyBorder="1" applyAlignment="1">
      <alignment horizontal="center" vertical="center" wrapText="1"/>
    </xf>
    <xf numFmtId="196" fontId="107" fillId="0" borderId="13" xfId="1" applyNumberFormat="1" applyFont="1" applyBorder="1" applyAlignment="1">
      <alignment horizontal="center" vertical="center"/>
    </xf>
    <xf numFmtId="196" fontId="107" fillId="0" borderId="15" xfId="1" applyNumberFormat="1" applyFont="1" applyBorder="1" applyAlignment="1">
      <alignment horizontal="center" vertical="center"/>
    </xf>
    <xf numFmtId="196" fontId="107" fillId="0" borderId="2" xfId="1" applyNumberFormat="1" applyFont="1" applyBorder="1" applyAlignment="1">
      <alignment horizontal="center" vertical="center"/>
    </xf>
    <xf numFmtId="0" fontId="107" fillId="0" borderId="13" xfId="1" applyFont="1" applyBorder="1" applyAlignment="1">
      <alignment horizontal="center" vertical="center"/>
    </xf>
    <xf numFmtId="0" fontId="107" fillId="0" borderId="15" xfId="1" applyFont="1" applyBorder="1" applyAlignment="1">
      <alignment horizontal="center" vertical="center"/>
    </xf>
    <xf numFmtId="0" fontId="107" fillId="0" borderId="2" xfId="1" applyFont="1" applyBorder="1" applyAlignment="1">
      <alignment horizontal="center" vertical="center"/>
    </xf>
    <xf numFmtId="43" fontId="275" fillId="23" borderId="1" xfId="20" applyFont="1" applyFill="1" applyBorder="1" applyAlignment="1">
      <alignment horizontal="left" vertical="center" wrapText="1"/>
    </xf>
    <xf numFmtId="43" fontId="107" fillId="22" borderId="46" xfId="20" applyFont="1" applyFill="1" applyBorder="1" applyAlignment="1">
      <alignment horizontal="center" vertical="center" wrapText="1"/>
    </xf>
    <xf numFmtId="43" fontId="107" fillId="22" borderId="4" xfId="20" applyFont="1" applyFill="1" applyBorder="1" applyAlignment="1">
      <alignment horizontal="center" vertical="center" wrapText="1"/>
    </xf>
    <xf numFmtId="43" fontId="122" fillId="22" borderId="46" xfId="20" applyFont="1" applyFill="1" applyBorder="1" applyAlignment="1">
      <alignment horizontal="center" vertical="center"/>
    </xf>
    <xf numFmtId="43" fontId="274" fillId="22" borderId="4" xfId="20" applyFont="1" applyFill="1" applyBorder="1" applyAlignment="1">
      <alignment horizontal="center" vertical="center"/>
    </xf>
    <xf numFmtId="43" fontId="275" fillId="23" borderId="13" xfId="20" applyFont="1" applyFill="1" applyBorder="1" applyAlignment="1">
      <alignment horizontal="left" vertical="center" wrapText="1"/>
    </xf>
    <xf numFmtId="43" fontId="275" fillId="23" borderId="15" xfId="20" applyFont="1" applyFill="1" applyBorder="1" applyAlignment="1">
      <alignment horizontal="left" vertical="center" wrapText="1"/>
    </xf>
    <xf numFmtId="43" fontId="274" fillId="22" borderId="1" xfId="20" applyFont="1" applyFill="1" applyBorder="1" applyAlignment="1">
      <alignment horizontal="center" vertical="center"/>
    </xf>
    <xf numFmtId="0" fontId="107" fillId="8" borderId="1" xfId="1" applyFont="1" applyFill="1" applyBorder="1" applyAlignment="1">
      <alignment horizontal="left" vertical="center" wrapText="1"/>
    </xf>
    <xf numFmtId="0" fontId="112" fillId="22" borderId="5" xfId="1" applyFont="1" applyFill="1" applyBorder="1" applyAlignment="1">
      <alignment horizontal="center" vertical="center" wrapText="1"/>
    </xf>
    <xf numFmtId="0" fontId="112" fillId="22" borderId="54" xfId="1" applyFont="1" applyFill="1" applyBorder="1" applyAlignment="1">
      <alignment horizontal="center" vertical="center" wrapText="1"/>
    </xf>
    <xf numFmtId="0" fontId="112" fillId="22" borderId="3" xfId="1" applyFont="1" applyFill="1" applyBorder="1" applyAlignment="1">
      <alignment horizontal="center" vertical="center" wrapText="1"/>
    </xf>
    <xf numFmtId="0" fontId="112" fillId="10" borderId="1" xfId="1" applyFont="1" applyFill="1" applyBorder="1" applyAlignment="1">
      <alignment horizontal="center" vertical="center" wrapText="1"/>
    </xf>
    <xf numFmtId="43" fontId="274" fillId="23" borderId="13" xfId="20" applyFont="1" applyFill="1" applyBorder="1" applyAlignment="1">
      <alignment horizontal="center" vertical="center"/>
    </xf>
    <xf numFmtId="43" fontId="274" fillId="23" borderId="2" xfId="20" applyFont="1" applyFill="1" applyBorder="1" applyAlignment="1">
      <alignment horizontal="center" vertical="center"/>
    </xf>
    <xf numFmtId="197" fontId="274" fillId="23" borderId="13" xfId="20" applyNumberFormat="1" applyFont="1" applyFill="1" applyBorder="1" applyAlignment="1">
      <alignment horizontal="center" vertical="center"/>
    </xf>
    <xf numFmtId="197" fontId="274" fillId="23" borderId="2" xfId="20" applyNumberFormat="1" applyFont="1" applyFill="1" applyBorder="1" applyAlignment="1">
      <alignment horizontal="center" vertical="center"/>
    </xf>
    <xf numFmtId="43" fontId="274" fillId="5" borderId="13" xfId="20" applyFont="1" applyFill="1" applyBorder="1" applyAlignment="1">
      <alignment horizontal="center" vertical="center"/>
    </xf>
    <xf numFmtId="43" fontId="274" fillId="5" borderId="2" xfId="20" applyFont="1" applyFill="1" applyBorder="1" applyAlignment="1">
      <alignment horizontal="center" vertical="center"/>
    </xf>
    <xf numFmtId="43" fontId="274" fillId="5" borderId="13" xfId="20" applyNumberFormat="1" applyFont="1" applyFill="1" applyBorder="1" applyAlignment="1">
      <alignment horizontal="center" vertical="center"/>
    </xf>
    <xf numFmtId="43" fontId="274" fillId="5" borderId="2" xfId="20" applyNumberFormat="1" applyFont="1" applyFill="1" applyBorder="1" applyAlignment="1">
      <alignment horizontal="center" vertical="center"/>
    </xf>
    <xf numFmtId="196" fontId="107" fillId="7" borderId="13" xfId="1" applyNumberFormat="1" applyFont="1" applyFill="1" applyBorder="1" applyAlignment="1">
      <alignment horizontal="right" vertical="center"/>
    </xf>
    <xf numFmtId="196" fontId="107" fillId="7" borderId="15" xfId="1" applyNumberFormat="1" applyFont="1" applyFill="1" applyBorder="1" applyAlignment="1">
      <alignment horizontal="right" vertical="center"/>
    </xf>
    <xf numFmtId="196" fontId="107" fillId="7" borderId="2" xfId="1" applyNumberFormat="1" applyFont="1" applyFill="1" applyBorder="1" applyAlignment="1">
      <alignment horizontal="right" vertical="center"/>
    </xf>
    <xf numFmtId="0" fontId="112" fillId="22" borderId="60" xfId="1" applyFont="1" applyFill="1" applyBorder="1" applyAlignment="1">
      <alignment horizontal="center" vertical="center"/>
    </xf>
    <xf numFmtId="0" fontId="107" fillId="0" borderId="60" xfId="1" applyFont="1" applyBorder="1" applyAlignment="1">
      <alignment horizontal="center" vertical="center"/>
    </xf>
    <xf numFmtId="0" fontId="112" fillId="23" borderId="5" xfId="1" applyFont="1" applyFill="1" applyBorder="1" applyAlignment="1">
      <alignment horizontal="center" vertical="center" wrapText="1"/>
    </xf>
    <xf numFmtId="0" fontId="112" fillId="23" borderId="54" xfId="1" applyFont="1" applyFill="1" applyBorder="1" applyAlignment="1">
      <alignment horizontal="center" vertical="center" wrapText="1"/>
    </xf>
    <xf numFmtId="0" fontId="112" fillId="23" borderId="3" xfId="1" applyFont="1" applyFill="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2">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21" builtinId="3"/>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772898</xdr:colOff>
      <xdr:row>17</xdr:row>
      <xdr:rowOff>91524</xdr:rowOff>
    </xdr:from>
    <xdr:to>
      <xdr:col>10</xdr:col>
      <xdr:colOff>221811</xdr:colOff>
      <xdr:row>37</xdr:row>
      <xdr:rowOff>158199</xdr:rowOff>
    </xdr:to>
    <xdr:pic>
      <xdr:nvPicPr>
        <xdr:cNvPr id="2" name="图片 1"/>
        <xdr:cNvPicPr>
          <a:picLocks noChangeAspect="1"/>
        </xdr:cNvPicPr>
      </xdr:nvPicPr>
      <xdr:blipFill>
        <a:blip xmlns:r="http://schemas.openxmlformats.org/officeDocument/2006/relationships" r:embed="rId1"/>
        <a:stretch>
          <a:fillRect/>
        </a:stretch>
      </xdr:blipFill>
      <xdr:spPr>
        <a:xfrm>
          <a:off x="8782181" y="3048415"/>
          <a:ext cx="3358304" cy="3545371"/>
        </a:xfrm>
        <a:prstGeom prst="rect">
          <a:avLst/>
        </a:prstGeom>
      </xdr:spPr>
    </xdr:pic>
    <xdr:clientData/>
  </xdr:twoCellAnchor>
  <xdr:twoCellAnchor editAs="oneCell">
    <xdr:from>
      <xdr:col>6</xdr:col>
      <xdr:colOff>34240</xdr:colOff>
      <xdr:row>37</xdr:row>
      <xdr:rowOff>71231</xdr:rowOff>
    </xdr:from>
    <xdr:to>
      <xdr:col>13</xdr:col>
      <xdr:colOff>179803</xdr:colOff>
      <xdr:row>64</xdr:row>
      <xdr:rowOff>147432</xdr:rowOff>
    </xdr:to>
    <xdr:pic>
      <xdr:nvPicPr>
        <xdr:cNvPr id="3" name="图片 2"/>
        <xdr:cNvPicPr>
          <a:picLocks noChangeAspect="1"/>
        </xdr:cNvPicPr>
      </xdr:nvPicPr>
      <xdr:blipFill>
        <a:blip xmlns:r="http://schemas.openxmlformats.org/officeDocument/2006/relationships" r:embed="rId2"/>
        <a:stretch>
          <a:fillRect/>
        </a:stretch>
      </xdr:blipFill>
      <xdr:spPr>
        <a:xfrm>
          <a:off x="8954610" y="6506818"/>
          <a:ext cx="5206237" cy="4772440"/>
        </a:xfrm>
        <a:prstGeom prst="rect">
          <a:avLst/>
        </a:prstGeom>
      </xdr:spPr>
    </xdr:pic>
    <xdr:clientData/>
  </xdr:twoCellAnchor>
  <xdr:twoCellAnchor editAs="oneCell">
    <xdr:from>
      <xdr:col>5</xdr:col>
      <xdr:colOff>762000</xdr:colOff>
      <xdr:row>51</xdr:row>
      <xdr:rowOff>0</xdr:rowOff>
    </xdr:from>
    <xdr:to>
      <xdr:col>12</xdr:col>
      <xdr:colOff>189084</xdr:colOff>
      <xdr:row>74</xdr:row>
      <xdr:rowOff>75698</xdr:rowOff>
    </xdr:to>
    <xdr:pic>
      <xdr:nvPicPr>
        <xdr:cNvPr id="4" name="图片 3"/>
        <xdr:cNvPicPr>
          <a:picLocks noChangeAspect="1"/>
        </xdr:cNvPicPr>
      </xdr:nvPicPr>
      <xdr:blipFill>
        <a:blip xmlns:r="http://schemas.openxmlformats.org/officeDocument/2006/relationships" r:embed="rId3"/>
        <a:stretch>
          <a:fillRect/>
        </a:stretch>
      </xdr:blipFill>
      <xdr:spPr>
        <a:xfrm>
          <a:off x="8763000" y="8401050"/>
          <a:ext cx="4704762" cy="4019048"/>
        </a:xfrm>
        <a:prstGeom prst="rect">
          <a:avLst/>
        </a:prstGeom>
      </xdr:spPr>
    </xdr:pic>
    <xdr:clientData/>
  </xdr:twoCellAnchor>
  <xdr:twoCellAnchor editAs="oneCell">
    <xdr:from>
      <xdr:col>0</xdr:col>
      <xdr:colOff>85725</xdr:colOff>
      <xdr:row>13</xdr:row>
      <xdr:rowOff>28574</xdr:rowOff>
    </xdr:from>
    <xdr:to>
      <xdr:col>5</xdr:col>
      <xdr:colOff>877128</xdr:colOff>
      <xdr:row>45</xdr:row>
      <xdr:rowOff>44057</xdr:rowOff>
    </xdr:to>
    <xdr:pic>
      <xdr:nvPicPr>
        <xdr:cNvPr id="5" name="图片 4"/>
        <xdr:cNvPicPr>
          <a:picLocks noChangeAspect="1"/>
        </xdr:cNvPicPr>
      </xdr:nvPicPr>
      <xdr:blipFill>
        <a:blip xmlns:r="http://schemas.openxmlformats.org/officeDocument/2006/relationships" r:embed="rId4"/>
        <a:stretch>
          <a:fillRect/>
        </a:stretch>
      </xdr:blipFill>
      <xdr:spPr>
        <a:xfrm>
          <a:off x="771525" y="1914524"/>
          <a:ext cx="7858125" cy="55018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估价对象为北京市房地产，为所有。根据《国有土地使用证》[]，估价对象（分摊）出让国有建设用地使用权面积为236852.67平方米，建筑面积为114107.98平方米。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估价对象为北京市房地产,属开发建设的，该项目尚在开发建设中。根据《国有土地使用证》[]，估价对象（分摊）出让国有建设用地使用权面积为236852.67平方米，规划建筑面积为114107.98平方米。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2024年1月10日（评估专业人员实地查勘之日）</v>
      </c>
    </row>
    <row r="13" spans="1:2" s="1203" customFormat="1">
      <c r="A13" s="1201" t="s">
        <v>529</v>
      </c>
      <c r="B13" s="1202" t="str">
        <f>'预评函-1'!A18</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184177</v>
      </c>
    </row>
    <row r="21" spans="1:2" s="1203" customFormat="1">
      <c r="A21" s="1201" t="s">
        <v>537</v>
      </c>
      <c r="B21" s="1202">
        <f ca="1">'预评函-2'!D7</f>
        <v>16141</v>
      </c>
    </row>
    <row r="22" spans="1:2" s="1203" customFormat="1">
      <c r="A22" s="1201" t="s">
        <v>538</v>
      </c>
      <c r="B22" s="1202" t="str">
        <f ca="1">'预评函-2'!D6</f>
        <v>壹拾捌亿肆仟壹佰柒拾柒万元整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184177</v>
      </c>
    </row>
    <row r="31" spans="1:2" s="1203" customFormat="1">
      <c r="A31" s="1201" t="s">
        <v>576</v>
      </c>
      <c r="B31" s="1202">
        <f ca="1">'预评函-2'!D15</f>
        <v>16141</v>
      </c>
    </row>
    <row r="32" spans="1:2" s="1203" customFormat="1">
      <c r="A32" s="1201" t="s">
        <v>543</v>
      </c>
      <c r="B32" s="1202" t="str">
        <f ca="1">'预评函-2'!D14</f>
        <v>壹拾捌亿肆仟壹佰柒拾柒万元整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114107.98</v>
      </c>
    </row>
    <row r="44" spans="1:2" s="1203" customFormat="1">
      <c r="A44" s="1201" t="s">
        <v>575</v>
      </c>
      <c r="B44" s="1202" t="str">
        <f>'预评函-3'!C2</f>
        <v>(分摊)土地面积</v>
      </c>
    </row>
    <row r="45" spans="1:2" s="1203" customFormat="1">
      <c r="A45" s="1201" t="s">
        <v>547</v>
      </c>
      <c r="B45" s="1202">
        <f>'预评函-3'!C4</f>
        <v>236852.67</v>
      </c>
    </row>
    <row r="46" spans="1:2" s="1203" customFormat="1">
      <c r="A46" s="1201" t="s">
        <v>573</v>
      </c>
      <c r="B46" s="1202" t="str">
        <f>'预评函-3'!D2</f>
        <v>出让国有建设用地使用权价值</v>
      </c>
    </row>
    <row r="47" spans="1:2" s="1203" customFormat="1">
      <c r="A47" s="1201" t="s">
        <v>548</v>
      </c>
      <c r="B47" s="1202">
        <f ca="1">'预评函-3'!D4</f>
        <v>132423</v>
      </c>
    </row>
    <row r="48" spans="1:2" s="1203" customFormat="1">
      <c r="A48" s="1201" t="s">
        <v>549</v>
      </c>
      <c r="B48" s="1202">
        <f ca="1">'预评函-3'!E4</f>
        <v>11605</v>
      </c>
    </row>
    <row r="49" spans="1:2" s="1203" customFormat="1">
      <c r="A49" s="1201" t="s">
        <v>550</v>
      </c>
      <c r="B49" s="1202" t="str">
        <f ca="1">'预评函-3'!D5</f>
        <v>壹拾叁亿贰仟肆佰贰拾叁万元整</v>
      </c>
    </row>
    <row r="50" spans="1:2" s="1203" customFormat="1">
      <c r="A50" s="1201" t="s">
        <v>574</v>
      </c>
      <c r="B50" s="1202" t="str">
        <f>'预评函-3'!F2</f>
        <v>在建建筑物价值</v>
      </c>
    </row>
    <row r="51" spans="1:2" s="1203" customFormat="1">
      <c r="A51" s="1201" t="s">
        <v>551</v>
      </c>
      <c r="B51" s="1202">
        <f ca="1">'预评函-3'!F4</f>
        <v>51754</v>
      </c>
    </row>
    <row r="52" spans="1:2" s="1203" customFormat="1">
      <c r="A52" s="1201" t="s">
        <v>552</v>
      </c>
      <c r="B52" s="1202">
        <f ca="1">'预评函-3'!G4</f>
        <v>4536</v>
      </c>
    </row>
    <row r="53" spans="1:2" s="1203" customFormat="1">
      <c r="A53" s="1201" t="s">
        <v>580</v>
      </c>
      <c r="B53" s="1202" t="str">
        <f ca="1">'预评函-3'!F5</f>
        <v>伍亿壹仟柒佰伍拾肆万元整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9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94"/>
      <c r="B54" s="1554" t="s">
        <v>385</v>
      </c>
      <c r="C54" s="1551" t="s">
        <v>583</v>
      </c>
    </row>
    <row r="55" spans="1:4">
      <c r="A55" s="3594"/>
      <c r="B55" s="1554" t="s">
        <v>386</v>
      </c>
      <c r="C55" s="1551" t="s">
        <v>584</v>
      </c>
    </row>
    <row r="56" spans="1:4">
      <c r="A56" s="3594"/>
      <c r="B56" s="1554" t="s">
        <v>387</v>
      </c>
      <c r="C56" s="1551" t="s">
        <v>588</v>
      </c>
    </row>
    <row r="57" spans="1:4">
      <c r="A57" s="359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95" t="s">
        <v>2584</v>
      </c>
      <c r="J2" s="3595"/>
      <c r="K2" s="3595"/>
      <c r="L2" s="3595"/>
      <c r="M2" s="3595"/>
      <c r="N2" s="3595"/>
      <c r="O2" s="3595"/>
      <c r="P2" s="3595"/>
      <c r="Q2" s="3595"/>
      <c r="R2" s="3595"/>
    </row>
    <row r="3" spans="1:18">
      <c r="A3" s="3020" t="s">
        <v>2505</v>
      </c>
      <c r="B3" s="3021">
        <f>项目基本情况!D3</f>
        <v>45301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2.94</v>
      </c>
      <c r="D5" s="3025">
        <f>IF(ISERROR(ROUND(POWER(1+E5,A5-C5)*(POWER(1+E5,C5)-1)/(POWER(1+E5,A5)-1),3)),0,ROUND(POWER(1+E5,A5-C5)*(POWER(1+E5,C5)-1)/(POWER(1+E5,A5)-1),4))</f>
        <v>0.1376</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12.95</v>
      </c>
      <c r="D6" s="3025">
        <f>IF(ISERROR(ROUND(POWER(1+E6,A6-C6)*(POWER(1+E6,C6)-1)/(POWER(1+E6,A6)-1),3)),0,ROUND(POWER(1+E6,A6-C6)*(POWER(1+E6,C6)-1)/(POWER(1+E6,A6)-1),4))</f>
        <v>0.46350000000000002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32.96</v>
      </c>
      <c r="D7" s="3025">
        <f>IF(ISERROR(ROUND(POWER(1+E7,A7-C7)*(POWER(1+E7,C7)-1)/(POWER(1+E7,A7)-1),3)),0,ROUND(POWER(1+E7,A7-C7)*(POWER(1+E7,C7)-1)/(POWER(1+E7,A7)-1),4))</f>
        <v>0.77529999999999999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5" sqref="H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96" t="str">
        <f>IF(B10="北京市","北京市",C10)&amp;F10&amp;IF(结果表!G1="在建","出让国有建设用地使用权及在建建筑物",IF(结果表!G1="土地","出让国有建设用地使用权",))&amp;B9&amp;"预评估"</f>
        <v>北京市房地产抵押价值预评估</v>
      </c>
      <c r="C1" s="3597"/>
      <c r="D1" s="3597"/>
      <c r="E1" s="3597"/>
      <c r="F1" s="3597"/>
      <c r="G1" s="3597"/>
      <c r="H1" s="3597"/>
      <c r="I1" s="359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45301</v>
      </c>
      <c r="C3" s="2374" t="s">
        <v>2171</v>
      </c>
      <c r="D3" s="2373">
        <f>B3</f>
        <v>45301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599"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600"/>
      <c r="E9" s="2394" t="s">
        <v>43</v>
      </c>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57180</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32.54</v>
      </c>
      <c r="I15" s="2410" t="str">
        <f>IF(A13="出让",IF(I13="","",ROUNDDOWN(MIN((I13-$D$3)/365,I14),2)),I14)</f>
        <v/>
      </c>
      <c r="J15" s="3064"/>
      <c r="K15" s="2451"/>
      <c r="L15" s="2451"/>
      <c r="M15" s="2509"/>
      <c r="N15" s="2451"/>
      <c r="O15" s="2509"/>
      <c r="P15" s="2439"/>
      <c r="Q15" s="2439"/>
      <c r="AD15" s="1745"/>
    </row>
    <row r="16" spans="1:30">
      <c r="A16" s="2400" t="s">
        <v>2193</v>
      </c>
      <c r="B16" s="3606"/>
      <c r="C16" s="3607"/>
      <c r="D16" s="3608"/>
      <c r="E16" s="2413" t="s">
        <v>2194</v>
      </c>
      <c r="F16" s="3609"/>
      <c r="G16" s="3610"/>
      <c r="H16" s="3610"/>
      <c r="I16" s="3611"/>
      <c r="J16" s="2439"/>
      <c r="K16" s="2617"/>
      <c r="L16" s="2451"/>
      <c r="M16" s="2451"/>
      <c r="N16" s="2509"/>
      <c r="O16" s="2451"/>
      <c r="P16" s="2509"/>
      <c r="Q16" s="2439"/>
      <c r="R16" s="2439"/>
    </row>
    <row r="17" spans="1:28">
      <c r="A17" s="313" t="s">
        <v>2195</v>
      </c>
      <c r="B17" s="302" t="s">
        <v>2196</v>
      </c>
      <c r="C17" s="8">
        <f>'数据-汇总表'!E3</f>
        <v>114107.98</v>
      </c>
      <c r="D17" s="2322" t="s">
        <v>2197</v>
      </c>
      <c r="E17" s="3612" t="s">
        <v>2198</v>
      </c>
      <c r="F17" s="3613"/>
      <c r="G17" s="3613"/>
      <c r="H17" s="3613"/>
      <c r="I17" s="361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236852.67</v>
      </c>
      <c r="D18" s="1092" t="s">
        <v>2201</v>
      </c>
      <c r="E18" s="3615" t="s">
        <v>2202</v>
      </c>
      <c r="F18" s="3616"/>
      <c r="G18" s="3616"/>
      <c r="H18" s="3616"/>
      <c r="I18" s="361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602" t="s">
        <v>2206</v>
      </c>
      <c r="C20" s="3603"/>
      <c r="D20" s="3604" t="s">
        <v>2207</v>
      </c>
      <c r="E20" s="3605"/>
      <c r="F20" s="2647" t="s">
        <v>1056</v>
      </c>
      <c r="G20" s="2664"/>
      <c r="H20" s="2664"/>
      <c r="I20" s="2664"/>
      <c r="J20" s="2439"/>
      <c r="K20" s="360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60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60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61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61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61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620"/>
      <c r="B30" s="302" t="s">
        <v>2218</v>
      </c>
      <c r="C30" s="3621"/>
      <c r="D30" s="3622"/>
      <c r="E30" s="2664"/>
      <c r="F30" s="2664"/>
      <c r="G30" s="2664"/>
      <c r="H30" s="2664"/>
      <c r="I30" s="2664"/>
      <c r="J30" s="2439"/>
      <c r="K30" s="2616"/>
      <c r="L30" s="2613"/>
      <c r="M30" s="2613"/>
      <c r="N30" s="2439"/>
      <c r="O30" s="2450"/>
      <c r="P30" s="2439"/>
      <c r="Q30" s="2439"/>
      <c r="R30" s="2439"/>
      <c r="S30" s="2439"/>
      <c r="T30" s="2439"/>
      <c r="U30" s="2439"/>
      <c r="V30" s="2439"/>
    </row>
    <row r="31" spans="1:28">
      <c r="A31" s="362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62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62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618" t="s">
        <v>2228</v>
      </c>
      <c r="T34" s="2428" t="str">
        <f>NUMBERSTRING(7-K34,1)&amp;"通"</f>
        <v>七通</v>
      </c>
      <c r="U34" s="2439"/>
      <c r="V34" s="2439"/>
    </row>
    <row r="35" spans="1:30">
      <c r="A35" s="2429"/>
      <c r="B35" s="3625" t="s">
        <v>2229</v>
      </c>
      <c r="C35" s="3625"/>
      <c r="D35" s="3625"/>
      <c r="E35" s="362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1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26.25" thickBot="1">
      <c r="A38" s="2631" t="s">
        <v>2231</v>
      </c>
      <c r="B38" s="2432"/>
      <c r="C38" s="2432"/>
      <c r="D38" s="2432"/>
      <c r="E38" s="2432" t="s">
        <v>3410</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5" width="11" style="1634" customWidth="1"/>
    <col min="6" max="6" width="10" style="1634" customWidth="1"/>
    <col min="7" max="7" width="10" style="1573" customWidth="1"/>
    <col min="8" max="8" width="11.125"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7" width="9.5" style="1573" hidden="1" customWidth="1"/>
    <col min="38"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指标表!$H$3+指标表!$H$4</f>
        <v>236852.66999999998</v>
      </c>
      <c r="B3" s="11">
        <f>IF(C3="否",G5-AT5,G5)</f>
        <v>114107.98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114107.98</v>
      </c>
      <c r="H5" s="13">
        <f t="shared" ref="H5:AT5" si="0">SUM(H13:H656)</f>
        <v>114107.98</v>
      </c>
      <c r="I5" s="13">
        <f t="shared" si="0"/>
        <v>114107.98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114107.98</v>
      </c>
      <c r="BA5" s="15">
        <f t="shared" si="1"/>
        <v>114107.98</v>
      </c>
      <c r="BB5" s="15">
        <f t="shared" si="1"/>
        <v>114107.98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236852.67</v>
      </c>
      <c r="F6" s="13" t="s">
        <v>0</v>
      </c>
      <c r="G6" s="13" t="s">
        <v>1</v>
      </c>
      <c r="H6" s="17">
        <f>SUMIF(I$12:AB$12,"总值",I6:AB6)</f>
        <v>236852.67</v>
      </c>
      <c r="I6" s="13">
        <f t="shared" ref="I6:AB6" si="2">ROUND($A$3*I5/$B$3,2)</f>
        <v>236852.67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236852.67</v>
      </c>
      <c r="AZ6" s="13" t="s">
        <v>2</v>
      </c>
      <c r="BA6" s="13">
        <f>ROUND($AY$6*BA5/$AZ$5,2)</f>
        <v>236852.67</v>
      </c>
      <c r="BB6" s="13">
        <f>ROUND($AY$6*BB5/$AZ$5,2)</f>
        <v>236852.67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3338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仓储</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3450" t="s">
        <v>3411</v>
      </c>
      <c r="C13" s="1051" t="str">
        <f>指标表!B3</f>
        <v>BGS</v>
      </c>
      <c r="D13" s="1625" t="s">
        <v>3412</v>
      </c>
      <c r="E13" s="13">
        <f>IF($C$3="是",ROUND($A$3*G13/$B$3,2),ROUND($A$3*(G13-AT13)/$B$3,2))</f>
        <v>125301.33</v>
      </c>
      <c r="F13" s="29"/>
      <c r="G13" s="30">
        <f>H13+AC13+AT13</f>
        <v>60366.14</v>
      </c>
      <c r="H13" s="17">
        <f>SUMIF(I$12:AB$12,"总值",I13:AB13)</f>
        <v>60366.14</v>
      </c>
      <c r="I13" s="1626">
        <f>指标表!E3</f>
        <v>60366.14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t="str">
        <f t="shared" si="6"/>
        <v>现房</v>
      </c>
      <c r="AX13" s="8" t="str">
        <f t="shared" si="6"/>
        <v>BGS</v>
      </c>
      <c r="AY13" s="1349">
        <f>ROUND($AY$6*AZ13/$AZ$5,2)</f>
        <v>125301.33</v>
      </c>
      <c r="AZ13" s="13">
        <f>BA13+BL13</f>
        <v>60366.14</v>
      </c>
      <c r="BA13" s="13">
        <f>SUM(BB13:BK13)</f>
        <v>60366.14</v>
      </c>
      <c r="BB13" s="13">
        <f>IF($D13="是",I13-J13,0)</f>
        <v>60366.14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3450" t="s">
        <v>3411</v>
      </c>
      <c r="C14" s="1051" t="str">
        <f>指标表!B4</f>
        <v>快件中心</v>
      </c>
      <c r="D14" s="1625" t="s">
        <v>3412</v>
      </c>
      <c r="E14" s="13">
        <f>IF($C$3="是",ROUND($A$3*G14/$B$3,2),ROUND($A$3*(G14-AT14)/$B$3,2))</f>
        <v>111551.34</v>
      </c>
      <c r="F14" s="29"/>
      <c r="G14" s="30">
        <f>H14+AC14+AT14</f>
        <v>53741.84</v>
      </c>
      <c r="H14" s="17">
        <f>SUMIF(I$12:AB$12,"总值",I14:AB14)</f>
        <v>53741.84</v>
      </c>
      <c r="I14" s="1626">
        <f>指标表!E4</f>
        <v>53741.84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t="str">
        <f t="shared" si="6"/>
        <v>现房</v>
      </c>
      <c r="AX14" s="8" t="str">
        <f t="shared" si="6"/>
        <v>快件中心</v>
      </c>
      <c r="AY14" s="1349">
        <f>ROUND($AY$6*AZ14/$AZ$5,2)</f>
        <v>111551.34</v>
      </c>
      <c r="AZ14" s="13">
        <f>BA14+BL14</f>
        <v>53741.84</v>
      </c>
      <c r="BA14" s="13">
        <f>SUM(BB14:BK14)</f>
        <v>53741.84</v>
      </c>
      <c r="BB14" s="13">
        <f>IF($D14="是",I14-J14,0)</f>
        <v>53741.84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3450" t="s">
        <v>3411</v>
      </c>
      <c r="C15" s="1051" t="str">
        <f>指标表!B5</f>
        <v>G1</v>
      </c>
      <c r="D15" s="1625" t="s">
        <v>3412</v>
      </c>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t="str">
        <f t="shared" si="6"/>
        <v>现房</v>
      </c>
      <c r="AX15" s="8" t="str">
        <f t="shared" si="6"/>
        <v>G1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3450" t="s">
        <v>3411</v>
      </c>
      <c r="C16" s="1051" t="str">
        <f>指标表!B6</f>
        <v>G3G6</v>
      </c>
      <c r="D16" s="1625" t="s">
        <v>3412</v>
      </c>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t="str">
        <f t="shared" si="6"/>
        <v>现房</v>
      </c>
      <c r="AX16" s="8" t="str">
        <f t="shared" si="6"/>
        <v>G3G6</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3450"/>
      <c r="C17" s="1051"/>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450"/>
      <c r="C18" s="105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450"/>
      <c r="C19" s="105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450"/>
      <c r="C20" s="1051"/>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5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M13"/>
  <sheetViews>
    <sheetView zoomScale="115" zoomScaleNormal="115" workbookViewId="0">
      <selection activeCell="I4" sqref="I4"/>
    </sheetView>
  </sheetViews>
  <sheetFormatPr defaultRowHeight="13.5"/>
  <cols>
    <col min="3" max="3" width="31.625" customWidth="1"/>
    <col min="4" max="4" width="31.5" customWidth="1"/>
    <col min="5" max="5" width="11.625" customWidth="1"/>
    <col min="6" max="6" width="12" customWidth="1"/>
    <col min="8" max="8" width="12.25" customWidth="1"/>
  </cols>
  <sheetData>
    <row r="2" spans="1:13">
      <c r="A2" s="3449" t="s">
        <v>3392</v>
      </c>
      <c r="B2" s="3449" t="s">
        <v>3394</v>
      </c>
      <c r="C2" s="3449" t="s">
        <v>3403</v>
      </c>
      <c r="D2" s="3449" t="s">
        <v>3389</v>
      </c>
      <c r="E2" s="3449" t="s">
        <v>3388</v>
      </c>
      <c r="F2" s="3449" t="s">
        <v>3387</v>
      </c>
      <c r="G2" s="3449" t="s">
        <v>3433</v>
      </c>
      <c r="H2" s="3449" t="s">
        <v>3639</v>
      </c>
      <c r="I2" s="3449" t="s">
        <v>3640</v>
      </c>
      <c r="J2" s="3449" t="s">
        <v>3643</v>
      </c>
      <c r="L2" s="3449" t="s">
        <v>3647</v>
      </c>
    </row>
    <row r="3" spans="1:13">
      <c r="A3">
        <v>1</v>
      </c>
      <c r="B3" s="3449" t="s">
        <v>3393</v>
      </c>
      <c r="C3" s="3449" t="s">
        <v>3391</v>
      </c>
      <c r="D3" s="3449" t="s">
        <v>3390</v>
      </c>
      <c r="E3">
        <v>60366.14</v>
      </c>
      <c r="F3" s="3626">
        <v>1056185.3999999999</v>
      </c>
      <c r="H3">
        <f>企业提供的分摊土地数据!F11+企业提供的分摊土地数据!F14</f>
        <v>125301.33</v>
      </c>
      <c r="I3">
        <f>ROUND(1-(2024-2009)/60,2)</f>
        <v>0.75</v>
      </c>
      <c r="J3">
        <v>2009</v>
      </c>
      <c r="K3" s="3449" t="s">
        <v>3642</v>
      </c>
      <c r="L3">
        <v>5</v>
      </c>
      <c r="M3">
        <f>L3*E3</f>
        <v>301830.7</v>
      </c>
    </row>
    <row r="4" spans="1:13">
      <c r="A4">
        <v>2</v>
      </c>
      <c r="B4" s="3449" t="s">
        <v>3395</v>
      </c>
      <c r="C4" s="3449" t="s">
        <v>3396</v>
      </c>
      <c r="D4" s="3449" t="s">
        <v>3397</v>
      </c>
      <c r="E4">
        <v>53741.84</v>
      </c>
      <c r="F4" s="3626"/>
      <c r="H4">
        <f>企业提供的分摊土地数据!F15+企业提供的分摊土地数据!F16+企业提供的分摊土地数据!F17</f>
        <v>111551.34</v>
      </c>
      <c r="I4">
        <f>ROUND(1-((1-2%)*(2024-2009)/80),2)</f>
        <v>0.82</v>
      </c>
      <c r="J4">
        <v>2009</v>
      </c>
      <c r="K4" s="3449" t="s">
        <v>3641</v>
      </c>
      <c r="L4">
        <v>4</v>
      </c>
      <c r="M4">
        <f t="shared" ref="M4:M6" si="0">L4*E4</f>
        <v>214967.36</v>
      </c>
    </row>
    <row r="5" spans="1:13">
      <c r="A5">
        <v>3</v>
      </c>
      <c r="B5" s="3449" t="s">
        <v>3398</v>
      </c>
      <c r="C5" s="3449" t="s">
        <v>3399</v>
      </c>
      <c r="D5" s="3449" t="s">
        <v>3650</v>
      </c>
      <c r="E5">
        <v>26066.47</v>
      </c>
      <c r="F5" s="3626"/>
      <c r="H5">
        <f>ROUND(企业提供的分摊土地数据!F6,2)</f>
        <v>59830.5</v>
      </c>
      <c r="I5">
        <f>ROUND(1-((1-2%)*(2024-2022)/80),2)</f>
        <v>0.98</v>
      </c>
      <c r="J5">
        <v>2022</v>
      </c>
      <c r="K5" s="3449" t="s">
        <v>3641</v>
      </c>
      <c r="L5">
        <v>3.9</v>
      </c>
      <c r="M5">
        <f t="shared" si="0"/>
        <v>101659.23300000001</v>
      </c>
    </row>
    <row r="6" spans="1:13">
      <c r="A6">
        <v>4</v>
      </c>
      <c r="B6" s="3449" t="s">
        <v>3400</v>
      </c>
      <c r="C6" s="3449" t="s">
        <v>3401</v>
      </c>
      <c r="D6" s="3449" t="s">
        <v>3651</v>
      </c>
      <c r="E6">
        <v>25821</v>
      </c>
      <c r="F6" s="3626"/>
      <c r="H6">
        <f>ROUND(企业提供的分摊土地数据!F7+企业提供的分摊土地数据!F8+企业提供的分摊土地数据!F9,2)</f>
        <v>59267.07</v>
      </c>
      <c r="I6">
        <f>ROUND(1-(2024-2018)/60,2)</f>
        <v>0.9</v>
      </c>
      <c r="J6" s="3449">
        <v>2018</v>
      </c>
      <c r="K6" s="3449" t="s">
        <v>3642</v>
      </c>
      <c r="L6">
        <v>3.9</v>
      </c>
      <c r="M6">
        <f t="shared" si="0"/>
        <v>100701.9</v>
      </c>
    </row>
    <row r="7" spans="1:13">
      <c r="B7" s="3449"/>
      <c r="C7" s="3449"/>
      <c r="D7" s="3449"/>
      <c r="E7">
        <f>SUM(E3:E6)</f>
        <v>165995.45000000001</v>
      </c>
      <c r="F7" s="3626"/>
      <c r="H7">
        <f>SUM(H3:H6)</f>
        <v>355950.24</v>
      </c>
      <c r="I7">
        <f>ROUND((I3*E3+I4*E4+I5*E5+I6*E6)/E7,2)</f>
        <v>0.83</v>
      </c>
      <c r="L7">
        <f>M7/E7</f>
        <v>4.3324030447822519</v>
      </c>
      <c r="M7">
        <f>SUM(M3:M6)</f>
        <v>719159.19300000009</v>
      </c>
    </row>
    <row r="8" spans="1:13">
      <c r="B8" s="3449"/>
      <c r="C8" s="3449"/>
      <c r="D8" s="3449"/>
      <c r="F8" s="3626"/>
    </row>
    <row r="9" spans="1:13">
      <c r="A9">
        <v>5</v>
      </c>
      <c r="B9" s="3449" t="s">
        <v>3402</v>
      </c>
      <c r="C9" s="3449" t="s">
        <v>3406</v>
      </c>
      <c r="D9" s="3449" t="s">
        <v>3404</v>
      </c>
      <c r="E9">
        <v>10412.48</v>
      </c>
      <c r="F9" s="3626"/>
      <c r="G9" s="3452">
        <v>18879.560000000001</v>
      </c>
      <c r="L9">
        <f>M9/(E3+E4)</f>
        <v>4.529026453715157</v>
      </c>
      <c r="M9">
        <f>M3+M4</f>
        <v>516798.06</v>
      </c>
    </row>
    <row r="10" spans="1:13">
      <c r="A10">
        <v>6</v>
      </c>
      <c r="B10" s="3449" t="s">
        <v>3405</v>
      </c>
      <c r="C10" s="3449" t="s">
        <v>3406</v>
      </c>
      <c r="D10" s="3449" t="s">
        <v>3404</v>
      </c>
      <c r="E10">
        <v>33325.42</v>
      </c>
      <c r="F10" s="3626"/>
      <c r="G10" s="3452">
        <v>59857.26</v>
      </c>
    </row>
    <row r="11" spans="1:13">
      <c r="A11">
        <v>7</v>
      </c>
      <c r="B11" s="3449" t="s">
        <v>3407</v>
      </c>
      <c r="C11" s="3449" t="s">
        <v>3408</v>
      </c>
      <c r="D11" s="3449" t="s">
        <v>3404</v>
      </c>
      <c r="E11">
        <v>299.25</v>
      </c>
      <c r="F11" s="3626"/>
      <c r="G11" s="3452">
        <v>299.25</v>
      </c>
    </row>
    <row r="12" spans="1:13">
      <c r="A12" s="3449">
        <v>8</v>
      </c>
      <c r="B12" s="3449" t="s">
        <v>3409</v>
      </c>
      <c r="D12" s="3449" t="s">
        <v>3404</v>
      </c>
      <c r="E12">
        <v>29284.68</v>
      </c>
      <c r="F12" s="3626"/>
      <c r="G12" s="3452">
        <v>28462.82</v>
      </c>
    </row>
    <row r="13" spans="1:13">
      <c r="G13">
        <f>SUM(G3:G12)</f>
        <v>107498.89000000001</v>
      </c>
    </row>
  </sheetData>
  <mergeCells count="1">
    <mergeCell ref="F3:F12"/>
  </mergeCells>
  <phoneticPr fontId="134" type="noConversion"/>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U84"/>
  <sheetViews>
    <sheetView zoomScale="85" zoomScaleNormal="85" workbookViewId="0">
      <selection activeCell="F24" sqref="F24"/>
    </sheetView>
  </sheetViews>
  <sheetFormatPr defaultRowHeight="12"/>
  <cols>
    <col min="1" max="1" width="28.875" style="3454" customWidth="1"/>
    <col min="2" max="2" width="17.125" style="3454" customWidth="1"/>
    <col min="3" max="3" width="12.75" style="3454" customWidth="1"/>
    <col min="4" max="4" width="14.625" style="3455" customWidth="1"/>
    <col min="5" max="6" width="18.875" style="3454" customWidth="1"/>
    <col min="7" max="7" width="22" style="3454" customWidth="1"/>
    <col min="8" max="9" width="15" style="3454" hidden="1" customWidth="1"/>
    <col min="10" max="10" width="10.875" style="3454" hidden="1" customWidth="1"/>
    <col min="11" max="11" width="12.875" style="3454" hidden="1" customWidth="1"/>
    <col min="12" max="12" width="16" style="3454" hidden="1" customWidth="1"/>
    <col min="13" max="13" width="17.375" style="3456" customWidth="1"/>
    <col min="14" max="14" width="11.875" style="3454" bestFit="1" customWidth="1"/>
    <col min="15" max="15" width="15.875" style="3454" customWidth="1"/>
    <col min="16" max="16" width="13.25" style="3454" customWidth="1"/>
    <col min="17" max="17" width="13.625" style="3454" customWidth="1"/>
    <col min="18" max="18" width="19" style="3454" bestFit="1" customWidth="1"/>
    <col min="19" max="19" width="24.125" style="3456" customWidth="1"/>
    <col min="20" max="20" width="13.25" style="3455" customWidth="1"/>
    <col min="21" max="21" width="45.25" style="3456" customWidth="1"/>
    <col min="22" max="257" width="9" style="3454"/>
    <col min="258" max="258" width="28.875" style="3454" customWidth="1"/>
    <col min="259" max="259" width="17.125" style="3454" customWidth="1"/>
    <col min="260" max="260" width="12.75" style="3454" customWidth="1"/>
    <col min="261" max="261" width="14.625" style="3454" customWidth="1"/>
    <col min="262" max="263" width="18.875" style="3454" customWidth="1"/>
    <col min="264" max="264" width="22.125" style="3454" bestFit="1" customWidth="1"/>
    <col min="265" max="268" width="0" style="3454" hidden="1" customWidth="1"/>
    <col min="269" max="269" width="16" style="3454" bestFit="1" customWidth="1"/>
    <col min="270" max="270" width="14.75" style="3454" customWidth="1"/>
    <col min="271" max="271" width="11.875" style="3454" bestFit="1" customWidth="1"/>
    <col min="272" max="272" width="16" style="3454" customWidth="1"/>
    <col min="273" max="273" width="0" style="3454" hidden="1" customWidth="1"/>
    <col min="274" max="274" width="16" style="3454" customWidth="1"/>
    <col min="275" max="275" width="24.125" style="3454" customWidth="1"/>
    <col min="276" max="276" width="13.25" style="3454" customWidth="1"/>
    <col min="277" max="277" width="45.25" style="3454" customWidth="1"/>
    <col min="278" max="513" width="9" style="3454"/>
    <col min="514" max="514" width="28.875" style="3454" customWidth="1"/>
    <col min="515" max="515" width="17.125" style="3454" customWidth="1"/>
    <col min="516" max="516" width="12.75" style="3454" customWidth="1"/>
    <col min="517" max="517" width="14.625" style="3454" customWidth="1"/>
    <col min="518" max="519" width="18.875" style="3454" customWidth="1"/>
    <col min="520" max="520" width="22.125" style="3454" bestFit="1" customWidth="1"/>
    <col min="521" max="524" width="0" style="3454" hidden="1" customWidth="1"/>
    <col min="525" max="525" width="16" style="3454" bestFit="1" customWidth="1"/>
    <col min="526" max="526" width="14.75" style="3454" customWidth="1"/>
    <col min="527" max="527" width="11.875" style="3454" bestFit="1" customWidth="1"/>
    <col min="528" max="528" width="16" style="3454" customWidth="1"/>
    <col min="529" max="529" width="0" style="3454" hidden="1" customWidth="1"/>
    <col min="530" max="530" width="16" style="3454" customWidth="1"/>
    <col min="531" max="531" width="24.125" style="3454" customWidth="1"/>
    <col min="532" max="532" width="13.25" style="3454" customWidth="1"/>
    <col min="533" max="533" width="45.25" style="3454" customWidth="1"/>
    <col min="534" max="769" width="9" style="3454"/>
    <col min="770" max="770" width="28.875" style="3454" customWidth="1"/>
    <col min="771" max="771" width="17.125" style="3454" customWidth="1"/>
    <col min="772" max="772" width="12.75" style="3454" customWidth="1"/>
    <col min="773" max="773" width="14.625" style="3454" customWidth="1"/>
    <col min="774" max="775" width="18.875" style="3454" customWidth="1"/>
    <col min="776" max="776" width="22.125" style="3454" bestFit="1" customWidth="1"/>
    <col min="777" max="780" width="0" style="3454" hidden="1" customWidth="1"/>
    <col min="781" max="781" width="16" style="3454" bestFit="1" customWidth="1"/>
    <col min="782" max="782" width="14.75" style="3454" customWidth="1"/>
    <col min="783" max="783" width="11.875" style="3454" bestFit="1" customWidth="1"/>
    <col min="784" max="784" width="16" style="3454" customWidth="1"/>
    <col min="785" max="785" width="0" style="3454" hidden="1" customWidth="1"/>
    <col min="786" max="786" width="16" style="3454" customWidth="1"/>
    <col min="787" max="787" width="24.125" style="3454" customWidth="1"/>
    <col min="788" max="788" width="13.25" style="3454" customWidth="1"/>
    <col min="789" max="789" width="45.25" style="3454" customWidth="1"/>
    <col min="790" max="1025" width="9" style="3454"/>
    <col min="1026" max="1026" width="28.875" style="3454" customWidth="1"/>
    <col min="1027" max="1027" width="17.125" style="3454" customWidth="1"/>
    <col min="1028" max="1028" width="12.75" style="3454" customWidth="1"/>
    <col min="1029" max="1029" width="14.625" style="3454" customWidth="1"/>
    <col min="1030" max="1031" width="18.875" style="3454" customWidth="1"/>
    <col min="1032" max="1032" width="22.125" style="3454" bestFit="1" customWidth="1"/>
    <col min="1033" max="1036" width="0" style="3454" hidden="1" customWidth="1"/>
    <col min="1037" max="1037" width="16" style="3454" bestFit="1" customWidth="1"/>
    <col min="1038" max="1038" width="14.75" style="3454" customWidth="1"/>
    <col min="1039" max="1039" width="11.875" style="3454" bestFit="1" customWidth="1"/>
    <col min="1040" max="1040" width="16" style="3454" customWidth="1"/>
    <col min="1041" max="1041" width="0" style="3454" hidden="1" customWidth="1"/>
    <col min="1042" max="1042" width="16" style="3454" customWidth="1"/>
    <col min="1043" max="1043" width="24.125" style="3454" customWidth="1"/>
    <col min="1044" max="1044" width="13.25" style="3454" customWidth="1"/>
    <col min="1045" max="1045" width="45.25" style="3454" customWidth="1"/>
    <col min="1046" max="1281" width="9" style="3454"/>
    <col min="1282" max="1282" width="28.875" style="3454" customWidth="1"/>
    <col min="1283" max="1283" width="17.125" style="3454" customWidth="1"/>
    <col min="1284" max="1284" width="12.75" style="3454" customWidth="1"/>
    <col min="1285" max="1285" width="14.625" style="3454" customWidth="1"/>
    <col min="1286" max="1287" width="18.875" style="3454" customWidth="1"/>
    <col min="1288" max="1288" width="22.125" style="3454" bestFit="1" customWidth="1"/>
    <col min="1289" max="1292" width="0" style="3454" hidden="1" customWidth="1"/>
    <col min="1293" max="1293" width="16" style="3454" bestFit="1" customWidth="1"/>
    <col min="1294" max="1294" width="14.75" style="3454" customWidth="1"/>
    <col min="1295" max="1295" width="11.875" style="3454" bestFit="1" customWidth="1"/>
    <col min="1296" max="1296" width="16" style="3454" customWidth="1"/>
    <col min="1297" max="1297" width="0" style="3454" hidden="1" customWidth="1"/>
    <col min="1298" max="1298" width="16" style="3454" customWidth="1"/>
    <col min="1299" max="1299" width="24.125" style="3454" customWidth="1"/>
    <col min="1300" max="1300" width="13.25" style="3454" customWidth="1"/>
    <col min="1301" max="1301" width="45.25" style="3454" customWidth="1"/>
    <col min="1302" max="1537" width="9" style="3454"/>
    <col min="1538" max="1538" width="28.875" style="3454" customWidth="1"/>
    <col min="1539" max="1539" width="17.125" style="3454" customWidth="1"/>
    <col min="1540" max="1540" width="12.75" style="3454" customWidth="1"/>
    <col min="1541" max="1541" width="14.625" style="3454" customWidth="1"/>
    <col min="1542" max="1543" width="18.875" style="3454" customWidth="1"/>
    <col min="1544" max="1544" width="22.125" style="3454" bestFit="1" customWidth="1"/>
    <col min="1545" max="1548" width="0" style="3454" hidden="1" customWidth="1"/>
    <col min="1549" max="1549" width="16" style="3454" bestFit="1" customWidth="1"/>
    <col min="1550" max="1550" width="14.75" style="3454" customWidth="1"/>
    <col min="1551" max="1551" width="11.875" style="3454" bestFit="1" customWidth="1"/>
    <col min="1552" max="1552" width="16" style="3454" customWidth="1"/>
    <col min="1553" max="1553" width="0" style="3454" hidden="1" customWidth="1"/>
    <col min="1554" max="1554" width="16" style="3454" customWidth="1"/>
    <col min="1555" max="1555" width="24.125" style="3454" customWidth="1"/>
    <col min="1556" max="1556" width="13.25" style="3454" customWidth="1"/>
    <col min="1557" max="1557" width="45.25" style="3454" customWidth="1"/>
    <col min="1558" max="1793" width="9" style="3454"/>
    <col min="1794" max="1794" width="28.875" style="3454" customWidth="1"/>
    <col min="1795" max="1795" width="17.125" style="3454" customWidth="1"/>
    <col min="1796" max="1796" width="12.75" style="3454" customWidth="1"/>
    <col min="1797" max="1797" width="14.625" style="3454" customWidth="1"/>
    <col min="1798" max="1799" width="18.875" style="3454" customWidth="1"/>
    <col min="1800" max="1800" width="22.125" style="3454" bestFit="1" customWidth="1"/>
    <col min="1801" max="1804" width="0" style="3454" hidden="1" customWidth="1"/>
    <col min="1805" max="1805" width="16" style="3454" bestFit="1" customWidth="1"/>
    <col min="1806" max="1806" width="14.75" style="3454" customWidth="1"/>
    <col min="1807" max="1807" width="11.875" style="3454" bestFit="1" customWidth="1"/>
    <col min="1808" max="1808" width="16" style="3454" customWidth="1"/>
    <col min="1809" max="1809" width="0" style="3454" hidden="1" customWidth="1"/>
    <col min="1810" max="1810" width="16" style="3454" customWidth="1"/>
    <col min="1811" max="1811" width="24.125" style="3454" customWidth="1"/>
    <col min="1812" max="1812" width="13.25" style="3454" customWidth="1"/>
    <col min="1813" max="1813" width="45.25" style="3454" customWidth="1"/>
    <col min="1814" max="2049" width="9" style="3454"/>
    <col min="2050" max="2050" width="28.875" style="3454" customWidth="1"/>
    <col min="2051" max="2051" width="17.125" style="3454" customWidth="1"/>
    <col min="2052" max="2052" width="12.75" style="3454" customWidth="1"/>
    <col min="2053" max="2053" width="14.625" style="3454" customWidth="1"/>
    <col min="2054" max="2055" width="18.875" style="3454" customWidth="1"/>
    <col min="2056" max="2056" width="22.125" style="3454" bestFit="1" customWidth="1"/>
    <col min="2057" max="2060" width="0" style="3454" hidden="1" customWidth="1"/>
    <col min="2061" max="2061" width="16" style="3454" bestFit="1" customWidth="1"/>
    <col min="2062" max="2062" width="14.75" style="3454" customWidth="1"/>
    <col min="2063" max="2063" width="11.875" style="3454" bestFit="1" customWidth="1"/>
    <col min="2064" max="2064" width="16" style="3454" customWidth="1"/>
    <col min="2065" max="2065" width="0" style="3454" hidden="1" customWidth="1"/>
    <col min="2066" max="2066" width="16" style="3454" customWidth="1"/>
    <col min="2067" max="2067" width="24.125" style="3454" customWidth="1"/>
    <col min="2068" max="2068" width="13.25" style="3454" customWidth="1"/>
    <col min="2069" max="2069" width="45.25" style="3454" customWidth="1"/>
    <col min="2070" max="2305" width="9" style="3454"/>
    <col min="2306" max="2306" width="28.875" style="3454" customWidth="1"/>
    <col min="2307" max="2307" width="17.125" style="3454" customWidth="1"/>
    <col min="2308" max="2308" width="12.75" style="3454" customWidth="1"/>
    <col min="2309" max="2309" width="14.625" style="3454" customWidth="1"/>
    <col min="2310" max="2311" width="18.875" style="3454" customWidth="1"/>
    <col min="2312" max="2312" width="22.125" style="3454" bestFit="1" customWidth="1"/>
    <col min="2313" max="2316" width="0" style="3454" hidden="1" customWidth="1"/>
    <col min="2317" max="2317" width="16" style="3454" bestFit="1" customWidth="1"/>
    <col min="2318" max="2318" width="14.75" style="3454" customWidth="1"/>
    <col min="2319" max="2319" width="11.875" style="3454" bestFit="1" customWidth="1"/>
    <col min="2320" max="2320" width="16" style="3454" customWidth="1"/>
    <col min="2321" max="2321" width="0" style="3454" hidden="1" customWidth="1"/>
    <col min="2322" max="2322" width="16" style="3454" customWidth="1"/>
    <col min="2323" max="2323" width="24.125" style="3454" customWidth="1"/>
    <col min="2324" max="2324" width="13.25" style="3454" customWidth="1"/>
    <col min="2325" max="2325" width="45.25" style="3454" customWidth="1"/>
    <col min="2326" max="2561" width="9" style="3454"/>
    <col min="2562" max="2562" width="28.875" style="3454" customWidth="1"/>
    <col min="2563" max="2563" width="17.125" style="3454" customWidth="1"/>
    <col min="2564" max="2564" width="12.75" style="3454" customWidth="1"/>
    <col min="2565" max="2565" width="14.625" style="3454" customWidth="1"/>
    <col min="2566" max="2567" width="18.875" style="3454" customWidth="1"/>
    <col min="2568" max="2568" width="22.125" style="3454" bestFit="1" customWidth="1"/>
    <col min="2569" max="2572" width="0" style="3454" hidden="1" customWidth="1"/>
    <col min="2573" max="2573" width="16" style="3454" bestFit="1" customWidth="1"/>
    <col min="2574" max="2574" width="14.75" style="3454" customWidth="1"/>
    <col min="2575" max="2575" width="11.875" style="3454" bestFit="1" customWidth="1"/>
    <col min="2576" max="2576" width="16" style="3454" customWidth="1"/>
    <col min="2577" max="2577" width="0" style="3454" hidden="1" customWidth="1"/>
    <col min="2578" max="2578" width="16" style="3454" customWidth="1"/>
    <col min="2579" max="2579" width="24.125" style="3454" customWidth="1"/>
    <col min="2580" max="2580" width="13.25" style="3454" customWidth="1"/>
    <col min="2581" max="2581" width="45.25" style="3454" customWidth="1"/>
    <col min="2582" max="2817" width="9" style="3454"/>
    <col min="2818" max="2818" width="28.875" style="3454" customWidth="1"/>
    <col min="2819" max="2819" width="17.125" style="3454" customWidth="1"/>
    <col min="2820" max="2820" width="12.75" style="3454" customWidth="1"/>
    <col min="2821" max="2821" width="14.625" style="3454" customWidth="1"/>
    <col min="2822" max="2823" width="18.875" style="3454" customWidth="1"/>
    <col min="2824" max="2824" width="22.125" style="3454" bestFit="1" customWidth="1"/>
    <col min="2825" max="2828" width="0" style="3454" hidden="1" customWidth="1"/>
    <col min="2829" max="2829" width="16" style="3454" bestFit="1" customWidth="1"/>
    <col min="2830" max="2830" width="14.75" style="3454" customWidth="1"/>
    <col min="2831" max="2831" width="11.875" style="3454" bestFit="1" customWidth="1"/>
    <col min="2832" max="2832" width="16" style="3454" customWidth="1"/>
    <col min="2833" max="2833" width="0" style="3454" hidden="1" customWidth="1"/>
    <col min="2834" max="2834" width="16" style="3454" customWidth="1"/>
    <col min="2835" max="2835" width="24.125" style="3454" customWidth="1"/>
    <col min="2836" max="2836" width="13.25" style="3454" customWidth="1"/>
    <col min="2837" max="2837" width="45.25" style="3454" customWidth="1"/>
    <col min="2838" max="3073" width="9" style="3454"/>
    <col min="3074" max="3074" width="28.875" style="3454" customWidth="1"/>
    <col min="3075" max="3075" width="17.125" style="3454" customWidth="1"/>
    <col min="3076" max="3076" width="12.75" style="3454" customWidth="1"/>
    <col min="3077" max="3077" width="14.625" style="3454" customWidth="1"/>
    <col min="3078" max="3079" width="18.875" style="3454" customWidth="1"/>
    <col min="3080" max="3080" width="22.125" style="3454" bestFit="1" customWidth="1"/>
    <col min="3081" max="3084" width="0" style="3454" hidden="1" customWidth="1"/>
    <col min="3085" max="3085" width="16" style="3454" bestFit="1" customWidth="1"/>
    <col min="3086" max="3086" width="14.75" style="3454" customWidth="1"/>
    <col min="3087" max="3087" width="11.875" style="3454" bestFit="1" customWidth="1"/>
    <col min="3088" max="3088" width="16" style="3454" customWidth="1"/>
    <col min="3089" max="3089" width="0" style="3454" hidden="1" customWidth="1"/>
    <col min="3090" max="3090" width="16" style="3454" customWidth="1"/>
    <col min="3091" max="3091" width="24.125" style="3454" customWidth="1"/>
    <col min="3092" max="3092" width="13.25" style="3454" customWidth="1"/>
    <col min="3093" max="3093" width="45.25" style="3454" customWidth="1"/>
    <col min="3094" max="3329" width="9" style="3454"/>
    <col min="3330" max="3330" width="28.875" style="3454" customWidth="1"/>
    <col min="3331" max="3331" width="17.125" style="3454" customWidth="1"/>
    <col min="3332" max="3332" width="12.75" style="3454" customWidth="1"/>
    <col min="3333" max="3333" width="14.625" style="3454" customWidth="1"/>
    <col min="3334" max="3335" width="18.875" style="3454" customWidth="1"/>
    <col min="3336" max="3336" width="22.125" style="3454" bestFit="1" customWidth="1"/>
    <col min="3337" max="3340" width="0" style="3454" hidden="1" customWidth="1"/>
    <col min="3341" max="3341" width="16" style="3454" bestFit="1" customWidth="1"/>
    <col min="3342" max="3342" width="14.75" style="3454" customWidth="1"/>
    <col min="3343" max="3343" width="11.875" style="3454" bestFit="1" customWidth="1"/>
    <col min="3344" max="3344" width="16" style="3454" customWidth="1"/>
    <col min="3345" max="3345" width="0" style="3454" hidden="1" customWidth="1"/>
    <col min="3346" max="3346" width="16" style="3454" customWidth="1"/>
    <col min="3347" max="3347" width="24.125" style="3454" customWidth="1"/>
    <col min="3348" max="3348" width="13.25" style="3454" customWidth="1"/>
    <col min="3349" max="3349" width="45.25" style="3454" customWidth="1"/>
    <col min="3350" max="3585" width="9" style="3454"/>
    <col min="3586" max="3586" width="28.875" style="3454" customWidth="1"/>
    <col min="3587" max="3587" width="17.125" style="3454" customWidth="1"/>
    <col min="3588" max="3588" width="12.75" style="3454" customWidth="1"/>
    <col min="3589" max="3589" width="14.625" style="3454" customWidth="1"/>
    <col min="3590" max="3591" width="18.875" style="3454" customWidth="1"/>
    <col min="3592" max="3592" width="22.125" style="3454" bestFit="1" customWidth="1"/>
    <col min="3593" max="3596" width="0" style="3454" hidden="1" customWidth="1"/>
    <col min="3597" max="3597" width="16" style="3454" bestFit="1" customWidth="1"/>
    <col min="3598" max="3598" width="14.75" style="3454" customWidth="1"/>
    <col min="3599" max="3599" width="11.875" style="3454" bestFit="1" customWidth="1"/>
    <col min="3600" max="3600" width="16" style="3454" customWidth="1"/>
    <col min="3601" max="3601" width="0" style="3454" hidden="1" customWidth="1"/>
    <col min="3602" max="3602" width="16" style="3454" customWidth="1"/>
    <col min="3603" max="3603" width="24.125" style="3454" customWidth="1"/>
    <col min="3604" max="3604" width="13.25" style="3454" customWidth="1"/>
    <col min="3605" max="3605" width="45.25" style="3454" customWidth="1"/>
    <col min="3606" max="3841" width="9" style="3454"/>
    <col min="3842" max="3842" width="28.875" style="3454" customWidth="1"/>
    <col min="3843" max="3843" width="17.125" style="3454" customWidth="1"/>
    <col min="3844" max="3844" width="12.75" style="3454" customWidth="1"/>
    <col min="3845" max="3845" width="14.625" style="3454" customWidth="1"/>
    <col min="3846" max="3847" width="18.875" style="3454" customWidth="1"/>
    <col min="3848" max="3848" width="22.125" style="3454" bestFit="1" customWidth="1"/>
    <col min="3849" max="3852" width="0" style="3454" hidden="1" customWidth="1"/>
    <col min="3853" max="3853" width="16" style="3454" bestFit="1" customWidth="1"/>
    <col min="3854" max="3854" width="14.75" style="3454" customWidth="1"/>
    <col min="3855" max="3855" width="11.875" style="3454" bestFit="1" customWidth="1"/>
    <col min="3856" max="3856" width="16" style="3454" customWidth="1"/>
    <col min="3857" max="3857" width="0" style="3454" hidden="1" customWidth="1"/>
    <col min="3858" max="3858" width="16" style="3454" customWidth="1"/>
    <col min="3859" max="3859" width="24.125" style="3454" customWidth="1"/>
    <col min="3860" max="3860" width="13.25" style="3454" customWidth="1"/>
    <col min="3861" max="3861" width="45.25" style="3454" customWidth="1"/>
    <col min="3862" max="4097" width="9" style="3454"/>
    <col min="4098" max="4098" width="28.875" style="3454" customWidth="1"/>
    <col min="4099" max="4099" width="17.125" style="3454" customWidth="1"/>
    <col min="4100" max="4100" width="12.75" style="3454" customWidth="1"/>
    <col min="4101" max="4101" width="14.625" style="3454" customWidth="1"/>
    <col min="4102" max="4103" width="18.875" style="3454" customWidth="1"/>
    <col min="4104" max="4104" width="22.125" style="3454" bestFit="1" customWidth="1"/>
    <col min="4105" max="4108" width="0" style="3454" hidden="1" customWidth="1"/>
    <col min="4109" max="4109" width="16" style="3454" bestFit="1" customWidth="1"/>
    <col min="4110" max="4110" width="14.75" style="3454" customWidth="1"/>
    <col min="4111" max="4111" width="11.875" style="3454" bestFit="1" customWidth="1"/>
    <col min="4112" max="4112" width="16" style="3454" customWidth="1"/>
    <col min="4113" max="4113" width="0" style="3454" hidden="1" customWidth="1"/>
    <col min="4114" max="4114" width="16" style="3454" customWidth="1"/>
    <col min="4115" max="4115" width="24.125" style="3454" customWidth="1"/>
    <col min="4116" max="4116" width="13.25" style="3454" customWidth="1"/>
    <col min="4117" max="4117" width="45.25" style="3454" customWidth="1"/>
    <col min="4118" max="4353" width="9" style="3454"/>
    <col min="4354" max="4354" width="28.875" style="3454" customWidth="1"/>
    <col min="4355" max="4355" width="17.125" style="3454" customWidth="1"/>
    <col min="4356" max="4356" width="12.75" style="3454" customWidth="1"/>
    <col min="4357" max="4357" width="14.625" style="3454" customWidth="1"/>
    <col min="4358" max="4359" width="18.875" style="3454" customWidth="1"/>
    <col min="4360" max="4360" width="22.125" style="3454" bestFit="1" customWidth="1"/>
    <col min="4361" max="4364" width="0" style="3454" hidden="1" customWidth="1"/>
    <col min="4365" max="4365" width="16" style="3454" bestFit="1" customWidth="1"/>
    <col min="4366" max="4366" width="14.75" style="3454" customWidth="1"/>
    <col min="4367" max="4367" width="11.875" style="3454" bestFit="1" customWidth="1"/>
    <col min="4368" max="4368" width="16" style="3454" customWidth="1"/>
    <col min="4369" max="4369" width="0" style="3454" hidden="1" customWidth="1"/>
    <col min="4370" max="4370" width="16" style="3454" customWidth="1"/>
    <col min="4371" max="4371" width="24.125" style="3454" customWidth="1"/>
    <col min="4372" max="4372" width="13.25" style="3454" customWidth="1"/>
    <col min="4373" max="4373" width="45.25" style="3454" customWidth="1"/>
    <col min="4374" max="4609" width="9" style="3454"/>
    <col min="4610" max="4610" width="28.875" style="3454" customWidth="1"/>
    <col min="4611" max="4611" width="17.125" style="3454" customWidth="1"/>
    <col min="4612" max="4612" width="12.75" style="3454" customWidth="1"/>
    <col min="4613" max="4613" width="14.625" style="3454" customWidth="1"/>
    <col min="4614" max="4615" width="18.875" style="3454" customWidth="1"/>
    <col min="4616" max="4616" width="22.125" style="3454" bestFit="1" customWidth="1"/>
    <col min="4617" max="4620" width="0" style="3454" hidden="1" customWidth="1"/>
    <col min="4621" max="4621" width="16" style="3454" bestFit="1" customWidth="1"/>
    <col min="4622" max="4622" width="14.75" style="3454" customWidth="1"/>
    <col min="4623" max="4623" width="11.875" style="3454" bestFit="1" customWidth="1"/>
    <col min="4624" max="4624" width="16" style="3454" customWidth="1"/>
    <col min="4625" max="4625" width="0" style="3454" hidden="1" customWidth="1"/>
    <col min="4626" max="4626" width="16" style="3454" customWidth="1"/>
    <col min="4627" max="4627" width="24.125" style="3454" customWidth="1"/>
    <col min="4628" max="4628" width="13.25" style="3454" customWidth="1"/>
    <col min="4629" max="4629" width="45.25" style="3454" customWidth="1"/>
    <col min="4630" max="4865" width="9" style="3454"/>
    <col min="4866" max="4866" width="28.875" style="3454" customWidth="1"/>
    <col min="4867" max="4867" width="17.125" style="3454" customWidth="1"/>
    <col min="4868" max="4868" width="12.75" style="3454" customWidth="1"/>
    <col min="4869" max="4869" width="14.625" style="3454" customWidth="1"/>
    <col min="4870" max="4871" width="18.875" style="3454" customWidth="1"/>
    <col min="4872" max="4872" width="22.125" style="3454" bestFit="1" customWidth="1"/>
    <col min="4873" max="4876" width="0" style="3454" hidden="1" customWidth="1"/>
    <col min="4877" max="4877" width="16" style="3454" bestFit="1" customWidth="1"/>
    <col min="4878" max="4878" width="14.75" style="3454" customWidth="1"/>
    <col min="4879" max="4879" width="11.875" style="3454" bestFit="1" customWidth="1"/>
    <col min="4880" max="4880" width="16" style="3454" customWidth="1"/>
    <col min="4881" max="4881" width="0" style="3454" hidden="1" customWidth="1"/>
    <col min="4882" max="4882" width="16" style="3454" customWidth="1"/>
    <col min="4883" max="4883" width="24.125" style="3454" customWidth="1"/>
    <col min="4884" max="4884" width="13.25" style="3454" customWidth="1"/>
    <col min="4885" max="4885" width="45.25" style="3454" customWidth="1"/>
    <col min="4886" max="5121" width="9" style="3454"/>
    <col min="5122" max="5122" width="28.875" style="3454" customWidth="1"/>
    <col min="5123" max="5123" width="17.125" style="3454" customWidth="1"/>
    <col min="5124" max="5124" width="12.75" style="3454" customWidth="1"/>
    <col min="5125" max="5125" width="14.625" style="3454" customWidth="1"/>
    <col min="5126" max="5127" width="18.875" style="3454" customWidth="1"/>
    <col min="5128" max="5128" width="22.125" style="3454" bestFit="1" customWidth="1"/>
    <col min="5129" max="5132" width="0" style="3454" hidden="1" customWidth="1"/>
    <col min="5133" max="5133" width="16" style="3454" bestFit="1" customWidth="1"/>
    <col min="5134" max="5134" width="14.75" style="3454" customWidth="1"/>
    <col min="5135" max="5135" width="11.875" style="3454" bestFit="1" customWidth="1"/>
    <col min="5136" max="5136" width="16" style="3454" customWidth="1"/>
    <col min="5137" max="5137" width="0" style="3454" hidden="1" customWidth="1"/>
    <col min="5138" max="5138" width="16" style="3454" customWidth="1"/>
    <col min="5139" max="5139" width="24.125" style="3454" customWidth="1"/>
    <col min="5140" max="5140" width="13.25" style="3454" customWidth="1"/>
    <col min="5141" max="5141" width="45.25" style="3454" customWidth="1"/>
    <col min="5142" max="5377" width="9" style="3454"/>
    <col min="5378" max="5378" width="28.875" style="3454" customWidth="1"/>
    <col min="5379" max="5379" width="17.125" style="3454" customWidth="1"/>
    <col min="5380" max="5380" width="12.75" style="3454" customWidth="1"/>
    <col min="5381" max="5381" width="14.625" style="3454" customWidth="1"/>
    <col min="5382" max="5383" width="18.875" style="3454" customWidth="1"/>
    <col min="5384" max="5384" width="22.125" style="3454" bestFit="1" customWidth="1"/>
    <col min="5385" max="5388" width="0" style="3454" hidden="1" customWidth="1"/>
    <col min="5389" max="5389" width="16" style="3454" bestFit="1" customWidth="1"/>
    <col min="5390" max="5390" width="14.75" style="3454" customWidth="1"/>
    <col min="5391" max="5391" width="11.875" style="3454" bestFit="1" customWidth="1"/>
    <col min="5392" max="5392" width="16" style="3454" customWidth="1"/>
    <col min="5393" max="5393" width="0" style="3454" hidden="1" customWidth="1"/>
    <col min="5394" max="5394" width="16" style="3454" customWidth="1"/>
    <col min="5395" max="5395" width="24.125" style="3454" customWidth="1"/>
    <col min="5396" max="5396" width="13.25" style="3454" customWidth="1"/>
    <col min="5397" max="5397" width="45.25" style="3454" customWidth="1"/>
    <col min="5398" max="5633" width="9" style="3454"/>
    <col min="5634" max="5634" width="28.875" style="3454" customWidth="1"/>
    <col min="5635" max="5635" width="17.125" style="3454" customWidth="1"/>
    <col min="5636" max="5636" width="12.75" style="3454" customWidth="1"/>
    <col min="5637" max="5637" width="14.625" style="3454" customWidth="1"/>
    <col min="5638" max="5639" width="18.875" style="3454" customWidth="1"/>
    <col min="5640" max="5640" width="22.125" style="3454" bestFit="1" customWidth="1"/>
    <col min="5641" max="5644" width="0" style="3454" hidden="1" customWidth="1"/>
    <col min="5645" max="5645" width="16" style="3454" bestFit="1" customWidth="1"/>
    <col min="5646" max="5646" width="14.75" style="3454" customWidth="1"/>
    <col min="5647" max="5647" width="11.875" style="3454" bestFit="1" customWidth="1"/>
    <col min="5648" max="5648" width="16" style="3454" customWidth="1"/>
    <col min="5649" max="5649" width="0" style="3454" hidden="1" customWidth="1"/>
    <col min="5650" max="5650" width="16" style="3454" customWidth="1"/>
    <col min="5651" max="5651" width="24.125" style="3454" customWidth="1"/>
    <col min="5652" max="5652" width="13.25" style="3454" customWidth="1"/>
    <col min="5653" max="5653" width="45.25" style="3454" customWidth="1"/>
    <col min="5654" max="5889" width="9" style="3454"/>
    <col min="5890" max="5890" width="28.875" style="3454" customWidth="1"/>
    <col min="5891" max="5891" width="17.125" style="3454" customWidth="1"/>
    <col min="5892" max="5892" width="12.75" style="3454" customWidth="1"/>
    <col min="5893" max="5893" width="14.625" style="3454" customWidth="1"/>
    <col min="5894" max="5895" width="18.875" style="3454" customWidth="1"/>
    <col min="5896" max="5896" width="22.125" style="3454" bestFit="1" customWidth="1"/>
    <col min="5897" max="5900" width="0" style="3454" hidden="1" customWidth="1"/>
    <col min="5901" max="5901" width="16" style="3454" bestFit="1" customWidth="1"/>
    <col min="5902" max="5902" width="14.75" style="3454" customWidth="1"/>
    <col min="5903" max="5903" width="11.875" style="3454" bestFit="1" customWidth="1"/>
    <col min="5904" max="5904" width="16" style="3454" customWidth="1"/>
    <col min="5905" max="5905" width="0" style="3454" hidden="1" customWidth="1"/>
    <col min="5906" max="5906" width="16" style="3454" customWidth="1"/>
    <col min="5907" max="5907" width="24.125" style="3454" customWidth="1"/>
    <col min="5908" max="5908" width="13.25" style="3454" customWidth="1"/>
    <col min="5909" max="5909" width="45.25" style="3454" customWidth="1"/>
    <col min="5910" max="6145" width="9" style="3454"/>
    <col min="6146" max="6146" width="28.875" style="3454" customWidth="1"/>
    <col min="6147" max="6147" width="17.125" style="3454" customWidth="1"/>
    <col min="6148" max="6148" width="12.75" style="3454" customWidth="1"/>
    <col min="6149" max="6149" width="14.625" style="3454" customWidth="1"/>
    <col min="6150" max="6151" width="18.875" style="3454" customWidth="1"/>
    <col min="6152" max="6152" width="22.125" style="3454" bestFit="1" customWidth="1"/>
    <col min="6153" max="6156" width="0" style="3454" hidden="1" customWidth="1"/>
    <col min="6157" max="6157" width="16" style="3454" bestFit="1" customWidth="1"/>
    <col min="6158" max="6158" width="14.75" style="3454" customWidth="1"/>
    <col min="6159" max="6159" width="11.875" style="3454" bestFit="1" customWidth="1"/>
    <col min="6160" max="6160" width="16" style="3454" customWidth="1"/>
    <col min="6161" max="6161" width="0" style="3454" hidden="1" customWidth="1"/>
    <col min="6162" max="6162" width="16" style="3454" customWidth="1"/>
    <col min="6163" max="6163" width="24.125" style="3454" customWidth="1"/>
    <col min="6164" max="6164" width="13.25" style="3454" customWidth="1"/>
    <col min="6165" max="6165" width="45.25" style="3454" customWidth="1"/>
    <col min="6166" max="6401" width="9" style="3454"/>
    <col min="6402" max="6402" width="28.875" style="3454" customWidth="1"/>
    <col min="6403" max="6403" width="17.125" style="3454" customWidth="1"/>
    <col min="6404" max="6404" width="12.75" style="3454" customWidth="1"/>
    <col min="6405" max="6405" width="14.625" style="3454" customWidth="1"/>
    <col min="6406" max="6407" width="18.875" style="3454" customWidth="1"/>
    <col min="6408" max="6408" width="22.125" style="3454" bestFit="1" customWidth="1"/>
    <col min="6409" max="6412" width="0" style="3454" hidden="1" customWidth="1"/>
    <col min="6413" max="6413" width="16" style="3454" bestFit="1" customWidth="1"/>
    <col min="6414" max="6414" width="14.75" style="3454" customWidth="1"/>
    <col min="6415" max="6415" width="11.875" style="3454" bestFit="1" customWidth="1"/>
    <col min="6416" max="6416" width="16" style="3454" customWidth="1"/>
    <col min="6417" max="6417" width="0" style="3454" hidden="1" customWidth="1"/>
    <col min="6418" max="6418" width="16" style="3454" customWidth="1"/>
    <col min="6419" max="6419" width="24.125" style="3454" customWidth="1"/>
    <col min="6420" max="6420" width="13.25" style="3454" customWidth="1"/>
    <col min="6421" max="6421" width="45.25" style="3454" customWidth="1"/>
    <col min="6422" max="6657" width="9" style="3454"/>
    <col min="6658" max="6658" width="28.875" style="3454" customWidth="1"/>
    <col min="6659" max="6659" width="17.125" style="3454" customWidth="1"/>
    <col min="6660" max="6660" width="12.75" style="3454" customWidth="1"/>
    <col min="6661" max="6661" width="14.625" style="3454" customWidth="1"/>
    <col min="6662" max="6663" width="18.875" style="3454" customWidth="1"/>
    <col min="6664" max="6664" width="22.125" style="3454" bestFit="1" customWidth="1"/>
    <col min="6665" max="6668" width="0" style="3454" hidden="1" customWidth="1"/>
    <col min="6669" max="6669" width="16" style="3454" bestFit="1" customWidth="1"/>
    <col min="6670" max="6670" width="14.75" style="3454" customWidth="1"/>
    <col min="6671" max="6671" width="11.875" style="3454" bestFit="1" customWidth="1"/>
    <col min="6672" max="6672" width="16" style="3454" customWidth="1"/>
    <col min="6673" max="6673" width="0" style="3454" hidden="1" customWidth="1"/>
    <col min="6674" max="6674" width="16" style="3454" customWidth="1"/>
    <col min="6675" max="6675" width="24.125" style="3454" customWidth="1"/>
    <col min="6676" max="6676" width="13.25" style="3454" customWidth="1"/>
    <col min="6677" max="6677" width="45.25" style="3454" customWidth="1"/>
    <col min="6678" max="6913" width="9" style="3454"/>
    <col min="6914" max="6914" width="28.875" style="3454" customWidth="1"/>
    <col min="6915" max="6915" width="17.125" style="3454" customWidth="1"/>
    <col min="6916" max="6916" width="12.75" style="3454" customWidth="1"/>
    <col min="6917" max="6917" width="14.625" style="3454" customWidth="1"/>
    <col min="6918" max="6919" width="18.875" style="3454" customWidth="1"/>
    <col min="6920" max="6920" width="22.125" style="3454" bestFit="1" customWidth="1"/>
    <col min="6921" max="6924" width="0" style="3454" hidden="1" customWidth="1"/>
    <col min="6925" max="6925" width="16" style="3454" bestFit="1" customWidth="1"/>
    <col min="6926" max="6926" width="14.75" style="3454" customWidth="1"/>
    <col min="6927" max="6927" width="11.875" style="3454" bestFit="1" customWidth="1"/>
    <col min="6928" max="6928" width="16" style="3454" customWidth="1"/>
    <col min="6929" max="6929" width="0" style="3454" hidden="1" customWidth="1"/>
    <col min="6930" max="6930" width="16" style="3454" customWidth="1"/>
    <col min="6931" max="6931" width="24.125" style="3454" customWidth="1"/>
    <col min="6932" max="6932" width="13.25" style="3454" customWidth="1"/>
    <col min="6933" max="6933" width="45.25" style="3454" customWidth="1"/>
    <col min="6934" max="7169" width="9" style="3454"/>
    <col min="7170" max="7170" width="28.875" style="3454" customWidth="1"/>
    <col min="7171" max="7171" width="17.125" style="3454" customWidth="1"/>
    <col min="7172" max="7172" width="12.75" style="3454" customWidth="1"/>
    <col min="7173" max="7173" width="14.625" style="3454" customWidth="1"/>
    <col min="7174" max="7175" width="18.875" style="3454" customWidth="1"/>
    <col min="7176" max="7176" width="22.125" style="3454" bestFit="1" customWidth="1"/>
    <col min="7177" max="7180" width="0" style="3454" hidden="1" customWidth="1"/>
    <col min="7181" max="7181" width="16" style="3454" bestFit="1" customWidth="1"/>
    <col min="7182" max="7182" width="14.75" style="3454" customWidth="1"/>
    <col min="7183" max="7183" width="11.875" style="3454" bestFit="1" customWidth="1"/>
    <col min="7184" max="7184" width="16" style="3454" customWidth="1"/>
    <col min="7185" max="7185" width="0" style="3454" hidden="1" customWidth="1"/>
    <col min="7186" max="7186" width="16" style="3454" customWidth="1"/>
    <col min="7187" max="7187" width="24.125" style="3454" customWidth="1"/>
    <col min="7188" max="7188" width="13.25" style="3454" customWidth="1"/>
    <col min="7189" max="7189" width="45.25" style="3454" customWidth="1"/>
    <col min="7190" max="7425" width="9" style="3454"/>
    <col min="7426" max="7426" width="28.875" style="3454" customWidth="1"/>
    <col min="7427" max="7427" width="17.125" style="3454" customWidth="1"/>
    <col min="7428" max="7428" width="12.75" style="3454" customWidth="1"/>
    <col min="7429" max="7429" width="14.625" style="3454" customWidth="1"/>
    <col min="7430" max="7431" width="18.875" style="3454" customWidth="1"/>
    <col min="7432" max="7432" width="22.125" style="3454" bestFit="1" customWidth="1"/>
    <col min="7433" max="7436" width="0" style="3454" hidden="1" customWidth="1"/>
    <col min="7437" max="7437" width="16" style="3454" bestFit="1" customWidth="1"/>
    <col min="7438" max="7438" width="14.75" style="3454" customWidth="1"/>
    <col min="7439" max="7439" width="11.875" style="3454" bestFit="1" customWidth="1"/>
    <col min="7440" max="7440" width="16" style="3454" customWidth="1"/>
    <col min="7441" max="7441" width="0" style="3454" hidden="1" customWidth="1"/>
    <col min="7442" max="7442" width="16" style="3454" customWidth="1"/>
    <col min="7443" max="7443" width="24.125" style="3454" customWidth="1"/>
    <col min="7444" max="7444" width="13.25" style="3454" customWidth="1"/>
    <col min="7445" max="7445" width="45.25" style="3454" customWidth="1"/>
    <col min="7446" max="7681" width="9" style="3454"/>
    <col min="7682" max="7682" width="28.875" style="3454" customWidth="1"/>
    <col min="7683" max="7683" width="17.125" style="3454" customWidth="1"/>
    <col min="7684" max="7684" width="12.75" style="3454" customWidth="1"/>
    <col min="7685" max="7685" width="14.625" style="3454" customWidth="1"/>
    <col min="7686" max="7687" width="18.875" style="3454" customWidth="1"/>
    <col min="7688" max="7688" width="22.125" style="3454" bestFit="1" customWidth="1"/>
    <col min="7689" max="7692" width="0" style="3454" hidden="1" customWidth="1"/>
    <col min="7693" max="7693" width="16" style="3454" bestFit="1" customWidth="1"/>
    <col min="7694" max="7694" width="14.75" style="3454" customWidth="1"/>
    <col min="7695" max="7695" width="11.875" style="3454" bestFit="1" customWidth="1"/>
    <col min="7696" max="7696" width="16" style="3454" customWidth="1"/>
    <col min="7697" max="7697" width="0" style="3454" hidden="1" customWidth="1"/>
    <col min="7698" max="7698" width="16" style="3454" customWidth="1"/>
    <col min="7699" max="7699" width="24.125" style="3454" customWidth="1"/>
    <col min="7700" max="7700" width="13.25" style="3454" customWidth="1"/>
    <col min="7701" max="7701" width="45.25" style="3454" customWidth="1"/>
    <col min="7702" max="7937" width="9" style="3454"/>
    <col min="7938" max="7938" width="28.875" style="3454" customWidth="1"/>
    <col min="7939" max="7939" width="17.125" style="3454" customWidth="1"/>
    <col min="7940" max="7940" width="12.75" style="3454" customWidth="1"/>
    <col min="7941" max="7941" width="14.625" style="3454" customWidth="1"/>
    <col min="7942" max="7943" width="18.875" style="3454" customWidth="1"/>
    <col min="7944" max="7944" width="22.125" style="3454" bestFit="1" customWidth="1"/>
    <col min="7945" max="7948" width="0" style="3454" hidden="1" customWidth="1"/>
    <col min="7949" max="7949" width="16" style="3454" bestFit="1" customWidth="1"/>
    <col min="7950" max="7950" width="14.75" style="3454" customWidth="1"/>
    <col min="7951" max="7951" width="11.875" style="3454" bestFit="1" customWidth="1"/>
    <col min="7952" max="7952" width="16" style="3454" customWidth="1"/>
    <col min="7953" max="7953" width="0" style="3454" hidden="1" customWidth="1"/>
    <col min="7954" max="7954" width="16" style="3454" customWidth="1"/>
    <col min="7955" max="7955" width="24.125" style="3454" customWidth="1"/>
    <col min="7956" max="7956" width="13.25" style="3454" customWidth="1"/>
    <col min="7957" max="7957" width="45.25" style="3454" customWidth="1"/>
    <col min="7958" max="8193" width="9" style="3454"/>
    <col min="8194" max="8194" width="28.875" style="3454" customWidth="1"/>
    <col min="8195" max="8195" width="17.125" style="3454" customWidth="1"/>
    <col min="8196" max="8196" width="12.75" style="3454" customWidth="1"/>
    <col min="8197" max="8197" width="14.625" style="3454" customWidth="1"/>
    <col min="8198" max="8199" width="18.875" style="3454" customWidth="1"/>
    <col min="8200" max="8200" width="22.125" style="3454" bestFit="1" customWidth="1"/>
    <col min="8201" max="8204" width="0" style="3454" hidden="1" customWidth="1"/>
    <col min="8205" max="8205" width="16" style="3454" bestFit="1" customWidth="1"/>
    <col min="8206" max="8206" width="14.75" style="3454" customWidth="1"/>
    <col min="8207" max="8207" width="11.875" style="3454" bestFit="1" customWidth="1"/>
    <col min="8208" max="8208" width="16" style="3454" customWidth="1"/>
    <col min="8209" max="8209" width="0" style="3454" hidden="1" customWidth="1"/>
    <col min="8210" max="8210" width="16" style="3454" customWidth="1"/>
    <col min="8211" max="8211" width="24.125" style="3454" customWidth="1"/>
    <col min="8212" max="8212" width="13.25" style="3454" customWidth="1"/>
    <col min="8213" max="8213" width="45.25" style="3454" customWidth="1"/>
    <col min="8214" max="8449" width="9" style="3454"/>
    <col min="8450" max="8450" width="28.875" style="3454" customWidth="1"/>
    <col min="8451" max="8451" width="17.125" style="3454" customWidth="1"/>
    <col min="8452" max="8452" width="12.75" style="3454" customWidth="1"/>
    <col min="8453" max="8453" width="14.625" style="3454" customWidth="1"/>
    <col min="8454" max="8455" width="18.875" style="3454" customWidth="1"/>
    <col min="8456" max="8456" width="22.125" style="3454" bestFit="1" customWidth="1"/>
    <col min="8457" max="8460" width="0" style="3454" hidden="1" customWidth="1"/>
    <col min="8461" max="8461" width="16" style="3454" bestFit="1" customWidth="1"/>
    <col min="8462" max="8462" width="14.75" style="3454" customWidth="1"/>
    <col min="8463" max="8463" width="11.875" style="3454" bestFit="1" customWidth="1"/>
    <col min="8464" max="8464" width="16" style="3454" customWidth="1"/>
    <col min="8465" max="8465" width="0" style="3454" hidden="1" customWidth="1"/>
    <col min="8466" max="8466" width="16" style="3454" customWidth="1"/>
    <col min="8467" max="8467" width="24.125" style="3454" customWidth="1"/>
    <col min="8468" max="8468" width="13.25" style="3454" customWidth="1"/>
    <col min="8469" max="8469" width="45.25" style="3454" customWidth="1"/>
    <col min="8470" max="8705" width="9" style="3454"/>
    <col min="8706" max="8706" width="28.875" style="3454" customWidth="1"/>
    <col min="8707" max="8707" width="17.125" style="3454" customWidth="1"/>
    <col min="8708" max="8708" width="12.75" style="3454" customWidth="1"/>
    <col min="8709" max="8709" width="14.625" style="3454" customWidth="1"/>
    <col min="8710" max="8711" width="18.875" style="3454" customWidth="1"/>
    <col min="8712" max="8712" width="22.125" style="3454" bestFit="1" customWidth="1"/>
    <col min="8713" max="8716" width="0" style="3454" hidden="1" customWidth="1"/>
    <col min="8717" max="8717" width="16" style="3454" bestFit="1" customWidth="1"/>
    <col min="8718" max="8718" width="14.75" style="3454" customWidth="1"/>
    <col min="8719" max="8719" width="11.875" style="3454" bestFit="1" customWidth="1"/>
    <col min="8720" max="8720" width="16" style="3454" customWidth="1"/>
    <col min="8721" max="8721" width="0" style="3454" hidden="1" customWidth="1"/>
    <col min="8722" max="8722" width="16" style="3454" customWidth="1"/>
    <col min="8723" max="8723" width="24.125" style="3454" customWidth="1"/>
    <col min="8724" max="8724" width="13.25" style="3454" customWidth="1"/>
    <col min="8725" max="8725" width="45.25" style="3454" customWidth="1"/>
    <col min="8726" max="8961" width="9" style="3454"/>
    <col min="8962" max="8962" width="28.875" style="3454" customWidth="1"/>
    <col min="8963" max="8963" width="17.125" style="3454" customWidth="1"/>
    <col min="8964" max="8964" width="12.75" style="3454" customWidth="1"/>
    <col min="8965" max="8965" width="14.625" style="3454" customWidth="1"/>
    <col min="8966" max="8967" width="18.875" style="3454" customWidth="1"/>
    <col min="8968" max="8968" width="22.125" style="3454" bestFit="1" customWidth="1"/>
    <col min="8969" max="8972" width="0" style="3454" hidden="1" customWidth="1"/>
    <col min="8973" max="8973" width="16" style="3454" bestFit="1" customWidth="1"/>
    <col min="8974" max="8974" width="14.75" style="3454" customWidth="1"/>
    <col min="8975" max="8975" width="11.875" style="3454" bestFit="1" customWidth="1"/>
    <col min="8976" max="8976" width="16" style="3454" customWidth="1"/>
    <col min="8977" max="8977" width="0" style="3454" hidden="1" customWidth="1"/>
    <col min="8978" max="8978" width="16" style="3454" customWidth="1"/>
    <col min="8979" max="8979" width="24.125" style="3454" customWidth="1"/>
    <col min="8980" max="8980" width="13.25" style="3454" customWidth="1"/>
    <col min="8981" max="8981" width="45.25" style="3454" customWidth="1"/>
    <col min="8982" max="9217" width="9" style="3454"/>
    <col min="9218" max="9218" width="28.875" style="3454" customWidth="1"/>
    <col min="9219" max="9219" width="17.125" style="3454" customWidth="1"/>
    <col min="9220" max="9220" width="12.75" style="3454" customWidth="1"/>
    <col min="9221" max="9221" width="14.625" style="3454" customWidth="1"/>
    <col min="9222" max="9223" width="18.875" style="3454" customWidth="1"/>
    <col min="9224" max="9224" width="22.125" style="3454" bestFit="1" customWidth="1"/>
    <col min="9225" max="9228" width="0" style="3454" hidden="1" customWidth="1"/>
    <col min="9229" max="9229" width="16" style="3454" bestFit="1" customWidth="1"/>
    <col min="9230" max="9230" width="14.75" style="3454" customWidth="1"/>
    <col min="9231" max="9231" width="11.875" style="3454" bestFit="1" customWidth="1"/>
    <col min="9232" max="9232" width="16" style="3454" customWidth="1"/>
    <col min="9233" max="9233" width="0" style="3454" hidden="1" customWidth="1"/>
    <col min="9234" max="9234" width="16" style="3454" customWidth="1"/>
    <col min="9235" max="9235" width="24.125" style="3454" customWidth="1"/>
    <col min="9236" max="9236" width="13.25" style="3454" customWidth="1"/>
    <col min="9237" max="9237" width="45.25" style="3454" customWidth="1"/>
    <col min="9238" max="9473" width="9" style="3454"/>
    <col min="9474" max="9474" width="28.875" style="3454" customWidth="1"/>
    <col min="9475" max="9475" width="17.125" style="3454" customWidth="1"/>
    <col min="9476" max="9476" width="12.75" style="3454" customWidth="1"/>
    <col min="9477" max="9477" width="14.625" style="3454" customWidth="1"/>
    <col min="9478" max="9479" width="18.875" style="3454" customWidth="1"/>
    <col min="9480" max="9480" width="22.125" style="3454" bestFit="1" customWidth="1"/>
    <col min="9481" max="9484" width="0" style="3454" hidden="1" customWidth="1"/>
    <col min="9485" max="9485" width="16" style="3454" bestFit="1" customWidth="1"/>
    <col min="9486" max="9486" width="14.75" style="3454" customWidth="1"/>
    <col min="9487" max="9487" width="11.875" style="3454" bestFit="1" customWidth="1"/>
    <col min="9488" max="9488" width="16" style="3454" customWidth="1"/>
    <col min="9489" max="9489" width="0" style="3454" hidden="1" customWidth="1"/>
    <col min="9490" max="9490" width="16" style="3454" customWidth="1"/>
    <col min="9491" max="9491" width="24.125" style="3454" customWidth="1"/>
    <col min="9492" max="9492" width="13.25" style="3454" customWidth="1"/>
    <col min="9493" max="9493" width="45.25" style="3454" customWidth="1"/>
    <col min="9494" max="9729" width="9" style="3454"/>
    <col min="9730" max="9730" width="28.875" style="3454" customWidth="1"/>
    <col min="9731" max="9731" width="17.125" style="3454" customWidth="1"/>
    <col min="9732" max="9732" width="12.75" style="3454" customWidth="1"/>
    <col min="9733" max="9733" width="14.625" style="3454" customWidth="1"/>
    <col min="9734" max="9735" width="18.875" style="3454" customWidth="1"/>
    <col min="9736" max="9736" width="22.125" style="3454" bestFit="1" customWidth="1"/>
    <col min="9737" max="9740" width="0" style="3454" hidden="1" customWidth="1"/>
    <col min="9741" max="9741" width="16" style="3454" bestFit="1" customWidth="1"/>
    <col min="9742" max="9742" width="14.75" style="3454" customWidth="1"/>
    <col min="9743" max="9743" width="11.875" style="3454" bestFit="1" customWidth="1"/>
    <col min="9744" max="9744" width="16" style="3454" customWidth="1"/>
    <col min="9745" max="9745" width="0" style="3454" hidden="1" customWidth="1"/>
    <col min="9746" max="9746" width="16" style="3454" customWidth="1"/>
    <col min="9747" max="9747" width="24.125" style="3454" customWidth="1"/>
    <col min="9748" max="9748" width="13.25" style="3454" customWidth="1"/>
    <col min="9749" max="9749" width="45.25" style="3454" customWidth="1"/>
    <col min="9750" max="9985" width="9" style="3454"/>
    <col min="9986" max="9986" width="28.875" style="3454" customWidth="1"/>
    <col min="9987" max="9987" width="17.125" style="3454" customWidth="1"/>
    <col min="9988" max="9988" width="12.75" style="3454" customWidth="1"/>
    <col min="9989" max="9989" width="14.625" style="3454" customWidth="1"/>
    <col min="9990" max="9991" width="18.875" style="3454" customWidth="1"/>
    <col min="9992" max="9992" width="22.125" style="3454" bestFit="1" customWidth="1"/>
    <col min="9993" max="9996" width="0" style="3454" hidden="1" customWidth="1"/>
    <col min="9997" max="9997" width="16" style="3454" bestFit="1" customWidth="1"/>
    <col min="9998" max="9998" width="14.75" style="3454" customWidth="1"/>
    <col min="9999" max="9999" width="11.875" style="3454" bestFit="1" customWidth="1"/>
    <col min="10000" max="10000" width="16" style="3454" customWidth="1"/>
    <col min="10001" max="10001" width="0" style="3454" hidden="1" customWidth="1"/>
    <col min="10002" max="10002" width="16" style="3454" customWidth="1"/>
    <col min="10003" max="10003" width="24.125" style="3454" customWidth="1"/>
    <col min="10004" max="10004" width="13.25" style="3454" customWidth="1"/>
    <col min="10005" max="10005" width="45.25" style="3454" customWidth="1"/>
    <col min="10006" max="10241" width="9" style="3454"/>
    <col min="10242" max="10242" width="28.875" style="3454" customWidth="1"/>
    <col min="10243" max="10243" width="17.125" style="3454" customWidth="1"/>
    <col min="10244" max="10244" width="12.75" style="3454" customWidth="1"/>
    <col min="10245" max="10245" width="14.625" style="3454" customWidth="1"/>
    <col min="10246" max="10247" width="18.875" style="3454" customWidth="1"/>
    <col min="10248" max="10248" width="22.125" style="3454" bestFit="1" customWidth="1"/>
    <col min="10249" max="10252" width="0" style="3454" hidden="1" customWidth="1"/>
    <col min="10253" max="10253" width="16" style="3454" bestFit="1" customWidth="1"/>
    <col min="10254" max="10254" width="14.75" style="3454" customWidth="1"/>
    <col min="10255" max="10255" width="11.875" style="3454" bestFit="1" customWidth="1"/>
    <col min="10256" max="10256" width="16" style="3454" customWidth="1"/>
    <col min="10257" max="10257" width="0" style="3454" hidden="1" customWidth="1"/>
    <col min="10258" max="10258" width="16" style="3454" customWidth="1"/>
    <col min="10259" max="10259" width="24.125" style="3454" customWidth="1"/>
    <col min="10260" max="10260" width="13.25" style="3454" customWidth="1"/>
    <col min="10261" max="10261" width="45.25" style="3454" customWidth="1"/>
    <col min="10262" max="10497" width="9" style="3454"/>
    <col min="10498" max="10498" width="28.875" style="3454" customWidth="1"/>
    <col min="10499" max="10499" width="17.125" style="3454" customWidth="1"/>
    <col min="10500" max="10500" width="12.75" style="3454" customWidth="1"/>
    <col min="10501" max="10501" width="14.625" style="3454" customWidth="1"/>
    <col min="10502" max="10503" width="18.875" style="3454" customWidth="1"/>
    <col min="10504" max="10504" width="22.125" style="3454" bestFit="1" customWidth="1"/>
    <col min="10505" max="10508" width="0" style="3454" hidden="1" customWidth="1"/>
    <col min="10509" max="10509" width="16" style="3454" bestFit="1" customWidth="1"/>
    <col min="10510" max="10510" width="14.75" style="3454" customWidth="1"/>
    <col min="10511" max="10511" width="11.875" style="3454" bestFit="1" customWidth="1"/>
    <col min="10512" max="10512" width="16" style="3454" customWidth="1"/>
    <col min="10513" max="10513" width="0" style="3454" hidden="1" customWidth="1"/>
    <col min="10514" max="10514" width="16" style="3454" customWidth="1"/>
    <col min="10515" max="10515" width="24.125" style="3454" customWidth="1"/>
    <col min="10516" max="10516" width="13.25" style="3454" customWidth="1"/>
    <col min="10517" max="10517" width="45.25" style="3454" customWidth="1"/>
    <col min="10518" max="10753" width="9" style="3454"/>
    <col min="10754" max="10754" width="28.875" style="3454" customWidth="1"/>
    <col min="10755" max="10755" width="17.125" style="3454" customWidth="1"/>
    <col min="10756" max="10756" width="12.75" style="3454" customWidth="1"/>
    <col min="10757" max="10757" width="14.625" style="3454" customWidth="1"/>
    <col min="10758" max="10759" width="18.875" style="3454" customWidth="1"/>
    <col min="10760" max="10760" width="22.125" style="3454" bestFit="1" customWidth="1"/>
    <col min="10761" max="10764" width="0" style="3454" hidden="1" customWidth="1"/>
    <col min="10765" max="10765" width="16" style="3454" bestFit="1" customWidth="1"/>
    <col min="10766" max="10766" width="14.75" style="3454" customWidth="1"/>
    <col min="10767" max="10767" width="11.875" style="3454" bestFit="1" customWidth="1"/>
    <col min="10768" max="10768" width="16" style="3454" customWidth="1"/>
    <col min="10769" max="10769" width="0" style="3454" hidden="1" customWidth="1"/>
    <col min="10770" max="10770" width="16" style="3454" customWidth="1"/>
    <col min="10771" max="10771" width="24.125" style="3454" customWidth="1"/>
    <col min="10772" max="10772" width="13.25" style="3454" customWidth="1"/>
    <col min="10773" max="10773" width="45.25" style="3454" customWidth="1"/>
    <col min="10774" max="11009" width="9" style="3454"/>
    <col min="11010" max="11010" width="28.875" style="3454" customWidth="1"/>
    <col min="11011" max="11011" width="17.125" style="3454" customWidth="1"/>
    <col min="11012" max="11012" width="12.75" style="3454" customWidth="1"/>
    <col min="11013" max="11013" width="14.625" style="3454" customWidth="1"/>
    <col min="11014" max="11015" width="18.875" style="3454" customWidth="1"/>
    <col min="11016" max="11016" width="22.125" style="3454" bestFit="1" customWidth="1"/>
    <col min="11017" max="11020" width="0" style="3454" hidden="1" customWidth="1"/>
    <col min="11021" max="11021" width="16" style="3454" bestFit="1" customWidth="1"/>
    <col min="11022" max="11022" width="14.75" style="3454" customWidth="1"/>
    <col min="11023" max="11023" width="11.875" style="3454" bestFit="1" customWidth="1"/>
    <col min="11024" max="11024" width="16" style="3454" customWidth="1"/>
    <col min="11025" max="11025" width="0" style="3454" hidden="1" customWidth="1"/>
    <col min="11026" max="11026" width="16" style="3454" customWidth="1"/>
    <col min="11027" max="11027" width="24.125" style="3454" customWidth="1"/>
    <col min="11028" max="11028" width="13.25" style="3454" customWidth="1"/>
    <col min="11029" max="11029" width="45.25" style="3454" customWidth="1"/>
    <col min="11030" max="11265" width="9" style="3454"/>
    <col min="11266" max="11266" width="28.875" style="3454" customWidth="1"/>
    <col min="11267" max="11267" width="17.125" style="3454" customWidth="1"/>
    <col min="11268" max="11268" width="12.75" style="3454" customWidth="1"/>
    <col min="11269" max="11269" width="14.625" style="3454" customWidth="1"/>
    <col min="11270" max="11271" width="18.875" style="3454" customWidth="1"/>
    <col min="11272" max="11272" width="22.125" style="3454" bestFit="1" customWidth="1"/>
    <col min="11273" max="11276" width="0" style="3454" hidden="1" customWidth="1"/>
    <col min="11277" max="11277" width="16" style="3454" bestFit="1" customWidth="1"/>
    <col min="11278" max="11278" width="14.75" style="3454" customWidth="1"/>
    <col min="11279" max="11279" width="11.875" style="3454" bestFit="1" customWidth="1"/>
    <col min="11280" max="11280" width="16" style="3454" customWidth="1"/>
    <col min="11281" max="11281" width="0" style="3454" hidden="1" customWidth="1"/>
    <col min="11282" max="11282" width="16" style="3454" customWidth="1"/>
    <col min="11283" max="11283" width="24.125" style="3454" customWidth="1"/>
    <col min="11284" max="11284" width="13.25" style="3454" customWidth="1"/>
    <col min="11285" max="11285" width="45.25" style="3454" customWidth="1"/>
    <col min="11286" max="11521" width="9" style="3454"/>
    <col min="11522" max="11522" width="28.875" style="3454" customWidth="1"/>
    <col min="11523" max="11523" width="17.125" style="3454" customWidth="1"/>
    <col min="11524" max="11524" width="12.75" style="3454" customWidth="1"/>
    <col min="11525" max="11525" width="14.625" style="3454" customWidth="1"/>
    <col min="11526" max="11527" width="18.875" style="3454" customWidth="1"/>
    <col min="11528" max="11528" width="22.125" style="3454" bestFit="1" customWidth="1"/>
    <col min="11529" max="11532" width="0" style="3454" hidden="1" customWidth="1"/>
    <col min="11533" max="11533" width="16" style="3454" bestFit="1" customWidth="1"/>
    <col min="11534" max="11534" width="14.75" style="3454" customWidth="1"/>
    <col min="11535" max="11535" width="11.875" style="3454" bestFit="1" customWidth="1"/>
    <col min="11536" max="11536" width="16" style="3454" customWidth="1"/>
    <col min="11537" max="11537" width="0" style="3454" hidden="1" customWidth="1"/>
    <col min="11538" max="11538" width="16" style="3454" customWidth="1"/>
    <col min="11539" max="11539" width="24.125" style="3454" customWidth="1"/>
    <col min="11540" max="11540" width="13.25" style="3454" customWidth="1"/>
    <col min="11541" max="11541" width="45.25" style="3454" customWidth="1"/>
    <col min="11542" max="11777" width="9" style="3454"/>
    <col min="11778" max="11778" width="28.875" style="3454" customWidth="1"/>
    <col min="11779" max="11779" width="17.125" style="3454" customWidth="1"/>
    <col min="11780" max="11780" width="12.75" style="3454" customWidth="1"/>
    <col min="11781" max="11781" width="14.625" style="3454" customWidth="1"/>
    <col min="11782" max="11783" width="18.875" style="3454" customWidth="1"/>
    <col min="11784" max="11784" width="22.125" style="3454" bestFit="1" customWidth="1"/>
    <col min="11785" max="11788" width="0" style="3454" hidden="1" customWidth="1"/>
    <col min="11789" max="11789" width="16" style="3454" bestFit="1" customWidth="1"/>
    <col min="11790" max="11790" width="14.75" style="3454" customWidth="1"/>
    <col min="11791" max="11791" width="11.875" style="3454" bestFit="1" customWidth="1"/>
    <col min="11792" max="11792" width="16" style="3454" customWidth="1"/>
    <col min="11793" max="11793" width="0" style="3454" hidden="1" customWidth="1"/>
    <col min="11794" max="11794" width="16" style="3454" customWidth="1"/>
    <col min="11795" max="11795" width="24.125" style="3454" customWidth="1"/>
    <col min="11796" max="11796" width="13.25" style="3454" customWidth="1"/>
    <col min="11797" max="11797" width="45.25" style="3454" customWidth="1"/>
    <col min="11798" max="12033" width="9" style="3454"/>
    <col min="12034" max="12034" width="28.875" style="3454" customWidth="1"/>
    <col min="12035" max="12035" width="17.125" style="3454" customWidth="1"/>
    <col min="12036" max="12036" width="12.75" style="3454" customWidth="1"/>
    <col min="12037" max="12037" width="14.625" style="3454" customWidth="1"/>
    <col min="12038" max="12039" width="18.875" style="3454" customWidth="1"/>
    <col min="12040" max="12040" width="22.125" style="3454" bestFit="1" customWidth="1"/>
    <col min="12041" max="12044" width="0" style="3454" hidden="1" customWidth="1"/>
    <col min="12045" max="12045" width="16" style="3454" bestFit="1" customWidth="1"/>
    <col min="12046" max="12046" width="14.75" style="3454" customWidth="1"/>
    <col min="12047" max="12047" width="11.875" style="3454" bestFit="1" customWidth="1"/>
    <col min="12048" max="12048" width="16" style="3454" customWidth="1"/>
    <col min="12049" max="12049" width="0" style="3454" hidden="1" customWidth="1"/>
    <col min="12050" max="12050" width="16" style="3454" customWidth="1"/>
    <col min="12051" max="12051" width="24.125" style="3454" customWidth="1"/>
    <col min="12052" max="12052" width="13.25" style="3454" customWidth="1"/>
    <col min="12053" max="12053" width="45.25" style="3454" customWidth="1"/>
    <col min="12054" max="12289" width="9" style="3454"/>
    <col min="12290" max="12290" width="28.875" style="3454" customWidth="1"/>
    <col min="12291" max="12291" width="17.125" style="3454" customWidth="1"/>
    <col min="12292" max="12292" width="12.75" style="3454" customWidth="1"/>
    <col min="12293" max="12293" width="14.625" style="3454" customWidth="1"/>
    <col min="12294" max="12295" width="18.875" style="3454" customWidth="1"/>
    <col min="12296" max="12296" width="22.125" style="3454" bestFit="1" customWidth="1"/>
    <col min="12297" max="12300" width="0" style="3454" hidden="1" customWidth="1"/>
    <col min="12301" max="12301" width="16" style="3454" bestFit="1" customWidth="1"/>
    <col min="12302" max="12302" width="14.75" style="3454" customWidth="1"/>
    <col min="12303" max="12303" width="11.875" style="3454" bestFit="1" customWidth="1"/>
    <col min="12304" max="12304" width="16" style="3454" customWidth="1"/>
    <col min="12305" max="12305" width="0" style="3454" hidden="1" customWidth="1"/>
    <col min="12306" max="12306" width="16" style="3454" customWidth="1"/>
    <col min="12307" max="12307" width="24.125" style="3454" customWidth="1"/>
    <col min="12308" max="12308" width="13.25" style="3454" customWidth="1"/>
    <col min="12309" max="12309" width="45.25" style="3454" customWidth="1"/>
    <col min="12310" max="12545" width="9" style="3454"/>
    <col min="12546" max="12546" width="28.875" style="3454" customWidth="1"/>
    <col min="12547" max="12547" width="17.125" style="3454" customWidth="1"/>
    <col min="12548" max="12548" width="12.75" style="3454" customWidth="1"/>
    <col min="12549" max="12549" width="14.625" style="3454" customWidth="1"/>
    <col min="12550" max="12551" width="18.875" style="3454" customWidth="1"/>
    <col min="12552" max="12552" width="22.125" style="3454" bestFit="1" customWidth="1"/>
    <col min="12553" max="12556" width="0" style="3454" hidden="1" customWidth="1"/>
    <col min="12557" max="12557" width="16" style="3454" bestFit="1" customWidth="1"/>
    <col min="12558" max="12558" width="14.75" style="3454" customWidth="1"/>
    <col min="12559" max="12559" width="11.875" style="3454" bestFit="1" customWidth="1"/>
    <col min="12560" max="12560" width="16" style="3454" customWidth="1"/>
    <col min="12561" max="12561" width="0" style="3454" hidden="1" customWidth="1"/>
    <col min="12562" max="12562" width="16" style="3454" customWidth="1"/>
    <col min="12563" max="12563" width="24.125" style="3454" customWidth="1"/>
    <col min="12564" max="12564" width="13.25" style="3454" customWidth="1"/>
    <col min="12565" max="12565" width="45.25" style="3454" customWidth="1"/>
    <col min="12566" max="12801" width="9" style="3454"/>
    <col min="12802" max="12802" width="28.875" style="3454" customWidth="1"/>
    <col min="12803" max="12803" width="17.125" style="3454" customWidth="1"/>
    <col min="12804" max="12804" width="12.75" style="3454" customWidth="1"/>
    <col min="12805" max="12805" width="14.625" style="3454" customWidth="1"/>
    <col min="12806" max="12807" width="18.875" style="3454" customWidth="1"/>
    <col min="12808" max="12808" width="22.125" style="3454" bestFit="1" customWidth="1"/>
    <col min="12809" max="12812" width="0" style="3454" hidden="1" customWidth="1"/>
    <col min="12813" max="12813" width="16" style="3454" bestFit="1" customWidth="1"/>
    <col min="12814" max="12814" width="14.75" style="3454" customWidth="1"/>
    <col min="12815" max="12815" width="11.875" style="3454" bestFit="1" customWidth="1"/>
    <col min="12816" max="12816" width="16" style="3454" customWidth="1"/>
    <col min="12817" max="12817" width="0" style="3454" hidden="1" customWidth="1"/>
    <col min="12818" max="12818" width="16" style="3454" customWidth="1"/>
    <col min="12819" max="12819" width="24.125" style="3454" customWidth="1"/>
    <col min="12820" max="12820" width="13.25" style="3454" customWidth="1"/>
    <col min="12821" max="12821" width="45.25" style="3454" customWidth="1"/>
    <col min="12822" max="13057" width="9" style="3454"/>
    <col min="13058" max="13058" width="28.875" style="3454" customWidth="1"/>
    <col min="13059" max="13059" width="17.125" style="3454" customWidth="1"/>
    <col min="13060" max="13060" width="12.75" style="3454" customWidth="1"/>
    <col min="13061" max="13061" width="14.625" style="3454" customWidth="1"/>
    <col min="13062" max="13063" width="18.875" style="3454" customWidth="1"/>
    <col min="13064" max="13064" width="22.125" style="3454" bestFit="1" customWidth="1"/>
    <col min="13065" max="13068" width="0" style="3454" hidden="1" customWidth="1"/>
    <col min="13069" max="13069" width="16" style="3454" bestFit="1" customWidth="1"/>
    <col min="13070" max="13070" width="14.75" style="3454" customWidth="1"/>
    <col min="13071" max="13071" width="11.875" style="3454" bestFit="1" customWidth="1"/>
    <col min="13072" max="13072" width="16" style="3454" customWidth="1"/>
    <col min="13073" max="13073" width="0" style="3454" hidden="1" customWidth="1"/>
    <col min="13074" max="13074" width="16" style="3454" customWidth="1"/>
    <col min="13075" max="13075" width="24.125" style="3454" customWidth="1"/>
    <col min="13076" max="13076" width="13.25" style="3454" customWidth="1"/>
    <col min="13077" max="13077" width="45.25" style="3454" customWidth="1"/>
    <col min="13078" max="13313" width="9" style="3454"/>
    <col min="13314" max="13314" width="28.875" style="3454" customWidth="1"/>
    <col min="13315" max="13315" width="17.125" style="3454" customWidth="1"/>
    <col min="13316" max="13316" width="12.75" style="3454" customWidth="1"/>
    <col min="13317" max="13317" width="14.625" style="3454" customWidth="1"/>
    <col min="13318" max="13319" width="18.875" style="3454" customWidth="1"/>
    <col min="13320" max="13320" width="22.125" style="3454" bestFit="1" customWidth="1"/>
    <col min="13321" max="13324" width="0" style="3454" hidden="1" customWidth="1"/>
    <col min="13325" max="13325" width="16" style="3454" bestFit="1" customWidth="1"/>
    <col min="13326" max="13326" width="14.75" style="3454" customWidth="1"/>
    <col min="13327" max="13327" width="11.875" style="3454" bestFit="1" customWidth="1"/>
    <col min="13328" max="13328" width="16" style="3454" customWidth="1"/>
    <col min="13329" max="13329" width="0" style="3454" hidden="1" customWidth="1"/>
    <col min="13330" max="13330" width="16" style="3454" customWidth="1"/>
    <col min="13331" max="13331" width="24.125" style="3454" customWidth="1"/>
    <col min="13332" max="13332" width="13.25" style="3454" customWidth="1"/>
    <col min="13333" max="13333" width="45.25" style="3454" customWidth="1"/>
    <col min="13334" max="13569" width="9" style="3454"/>
    <col min="13570" max="13570" width="28.875" style="3454" customWidth="1"/>
    <col min="13571" max="13571" width="17.125" style="3454" customWidth="1"/>
    <col min="13572" max="13572" width="12.75" style="3454" customWidth="1"/>
    <col min="13573" max="13573" width="14.625" style="3454" customWidth="1"/>
    <col min="13574" max="13575" width="18.875" style="3454" customWidth="1"/>
    <col min="13576" max="13576" width="22.125" style="3454" bestFit="1" customWidth="1"/>
    <col min="13577" max="13580" width="0" style="3454" hidden="1" customWidth="1"/>
    <col min="13581" max="13581" width="16" style="3454" bestFit="1" customWidth="1"/>
    <col min="13582" max="13582" width="14.75" style="3454" customWidth="1"/>
    <col min="13583" max="13583" width="11.875" style="3454" bestFit="1" customWidth="1"/>
    <col min="13584" max="13584" width="16" style="3454" customWidth="1"/>
    <col min="13585" max="13585" width="0" style="3454" hidden="1" customWidth="1"/>
    <col min="13586" max="13586" width="16" style="3454" customWidth="1"/>
    <col min="13587" max="13587" width="24.125" style="3454" customWidth="1"/>
    <col min="13588" max="13588" width="13.25" style="3454" customWidth="1"/>
    <col min="13589" max="13589" width="45.25" style="3454" customWidth="1"/>
    <col min="13590" max="13825" width="9" style="3454"/>
    <col min="13826" max="13826" width="28.875" style="3454" customWidth="1"/>
    <col min="13827" max="13827" width="17.125" style="3454" customWidth="1"/>
    <col min="13828" max="13828" width="12.75" style="3454" customWidth="1"/>
    <col min="13829" max="13829" width="14.625" style="3454" customWidth="1"/>
    <col min="13830" max="13831" width="18.875" style="3454" customWidth="1"/>
    <col min="13832" max="13832" width="22.125" style="3454" bestFit="1" customWidth="1"/>
    <col min="13833" max="13836" width="0" style="3454" hidden="1" customWidth="1"/>
    <col min="13837" max="13837" width="16" style="3454" bestFit="1" customWidth="1"/>
    <col min="13838" max="13838" width="14.75" style="3454" customWidth="1"/>
    <col min="13839" max="13839" width="11.875" style="3454" bestFit="1" customWidth="1"/>
    <col min="13840" max="13840" width="16" style="3454" customWidth="1"/>
    <col min="13841" max="13841" width="0" style="3454" hidden="1" customWidth="1"/>
    <col min="13842" max="13842" width="16" style="3454" customWidth="1"/>
    <col min="13843" max="13843" width="24.125" style="3454" customWidth="1"/>
    <col min="13844" max="13844" width="13.25" style="3454" customWidth="1"/>
    <col min="13845" max="13845" width="45.25" style="3454" customWidth="1"/>
    <col min="13846" max="14081" width="9" style="3454"/>
    <col min="14082" max="14082" width="28.875" style="3454" customWidth="1"/>
    <col min="14083" max="14083" width="17.125" style="3454" customWidth="1"/>
    <col min="14084" max="14084" width="12.75" style="3454" customWidth="1"/>
    <col min="14085" max="14085" width="14.625" style="3454" customWidth="1"/>
    <col min="14086" max="14087" width="18.875" style="3454" customWidth="1"/>
    <col min="14088" max="14088" width="22.125" style="3454" bestFit="1" customWidth="1"/>
    <col min="14089" max="14092" width="0" style="3454" hidden="1" customWidth="1"/>
    <col min="14093" max="14093" width="16" style="3454" bestFit="1" customWidth="1"/>
    <col min="14094" max="14094" width="14.75" style="3454" customWidth="1"/>
    <col min="14095" max="14095" width="11.875" style="3454" bestFit="1" customWidth="1"/>
    <col min="14096" max="14096" width="16" style="3454" customWidth="1"/>
    <col min="14097" max="14097" width="0" style="3454" hidden="1" customWidth="1"/>
    <col min="14098" max="14098" width="16" style="3454" customWidth="1"/>
    <col min="14099" max="14099" width="24.125" style="3454" customWidth="1"/>
    <col min="14100" max="14100" width="13.25" style="3454" customWidth="1"/>
    <col min="14101" max="14101" width="45.25" style="3454" customWidth="1"/>
    <col min="14102" max="14337" width="9" style="3454"/>
    <col min="14338" max="14338" width="28.875" style="3454" customWidth="1"/>
    <col min="14339" max="14339" width="17.125" style="3454" customWidth="1"/>
    <col min="14340" max="14340" width="12.75" style="3454" customWidth="1"/>
    <col min="14341" max="14341" width="14.625" style="3454" customWidth="1"/>
    <col min="14342" max="14343" width="18.875" style="3454" customWidth="1"/>
    <col min="14344" max="14344" width="22.125" style="3454" bestFit="1" customWidth="1"/>
    <col min="14345" max="14348" width="0" style="3454" hidden="1" customWidth="1"/>
    <col min="14349" max="14349" width="16" style="3454" bestFit="1" customWidth="1"/>
    <col min="14350" max="14350" width="14.75" style="3454" customWidth="1"/>
    <col min="14351" max="14351" width="11.875" style="3454" bestFit="1" customWidth="1"/>
    <col min="14352" max="14352" width="16" style="3454" customWidth="1"/>
    <col min="14353" max="14353" width="0" style="3454" hidden="1" customWidth="1"/>
    <col min="14354" max="14354" width="16" style="3454" customWidth="1"/>
    <col min="14355" max="14355" width="24.125" style="3454" customWidth="1"/>
    <col min="14356" max="14356" width="13.25" style="3454" customWidth="1"/>
    <col min="14357" max="14357" width="45.25" style="3454" customWidth="1"/>
    <col min="14358" max="14593" width="9" style="3454"/>
    <col min="14594" max="14594" width="28.875" style="3454" customWidth="1"/>
    <col min="14595" max="14595" width="17.125" style="3454" customWidth="1"/>
    <col min="14596" max="14596" width="12.75" style="3454" customWidth="1"/>
    <col min="14597" max="14597" width="14.625" style="3454" customWidth="1"/>
    <col min="14598" max="14599" width="18.875" style="3454" customWidth="1"/>
    <col min="14600" max="14600" width="22.125" style="3454" bestFit="1" customWidth="1"/>
    <col min="14601" max="14604" width="0" style="3454" hidden="1" customWidth="1"/>
    <col min="14605" max="14605" width="16" style="3454" bestFit="1" customWidth="1"/>
    <col min="14606" max="14606" width="14.75" style="3454" customWidth="1"/>
    <col min="14607" max="14607" width="11.875" style="3454" bestFit="1" customWidth="1"/>
    <col min="14608" max="14608" width="16" style="3454" customWidth="1"/>
    <col min="14609" max="14609" width="0" style="3454" hidden="1" customWidth="1"/>
    <col min="14610" max="14610" width="16" style="3454" customWidth="1"/>
    <col min="14611" max="14611" width="24.125" style="3454" customWidth="1"/>
    <col min="14612" max="14612" width="13.25" style="3454" customWidth="1"/>
    <col min="14613" max="14613" width="45.25" style="3454" customWidth="1"/>
    <col min="14614" max="14849" width="9" style="3454"/>
    <col min="14850" max="14850" width="28.875" style="3454" customWidth="1"/>
    <col min="14851" max="14851" width="17.125" style="3454" customWidth="1"/>
    <col min="14852" max="14852" width="12.75" style="3454" customWidth="1"/>
    <col min="14853" max="14853" width="14.625" style="3454" customWidth="1"/>
    <col min="14854" max="14855" width="18.875" style="3454" customWidth="1"/>
    <col min="14856" max="14856" width="22.125" style="3454" bestFit="1" customWidth="1"/>
    <col min="14857" max="14860" width="0" style="3454" hidden="1" customWidth="1"/>
    <col min="14861" max="14861" width="16" style="3454" bestFit="1" customWidth="1"/>
    <col min="14862" max="14862" width="14.75" style="3454" customWidth="1"/>
    <col min="14863" max="14863" width="11.875" style="3454" bestFit="1" customWidth="1"/>
    <col min="14864" max="14864" width="16" style="3454" customWidth="1"/>
    <col min="14865" max="14865" width="0" style="3454" hidden="1" customWidth="1"/>
    <col min="14866" max="14866" width="16" style="3454" customWidth="1"/>
    <col min="14867" max="14867" width="24.125" style="3454" customWidth="1"/>
    <col min="14868" max="14868" width="13.25" style="3454" customWidth="1"/>
    <col min="14869" max="14869" width="45.25" style="3454" customWidth="1"/>
    <col min="14870" max="15105" width="9" style="3454"/>
    <col min="15106" max="15106" width="28.875" style="3454" customWidth="1"/>
    <col min="15107" max="15107" width="17.125" style="3454" customWidth="1"/>
    <col min="15108" max="15108" width="12.75" style="3454" customWidth="1"/>
    <col min="15109" max="15109" width="14.625" style="3454" customWidth="1"/>
    <col min="15110" max="15111" width="18.875" style="3454" customWidth="1"/>
    <col min="15112" max="15112" width="22.125" style="3454" bestFit="1" customWidth="1"/>
    <col min="15113" max="15116" width="0" style="3454" hidden="1" customWidth="1"/>
    <col min="15117" max="15117" width="16" style="3454" bestFit="1" customWidth="1"/>
    <col min="15118" max="15118" width="14.75" style="3454" customWidth="1"/>
    <col min="15119" max="15119" width="11.875" style="3454" bestFit="1" customWidth="1"/>
    <col min="15120" max="15120" width="16" style="3454" customWidth="1"/>
    <col min="15121" max="15121" width="0" style="3454" hidden="1" customWidth="1"/>
    <col min="15122" max="15122" width="16" style="3454" customWidth="1"/>
    <col min="15123" max="15123" width="24.125" style="3454" customWidth="1"/>
    <col min="15124" max="15124" width="13.25" style="3454" customWidth="1"/>
    <col min="15125" max="15125" width="45.25" style="3454" customWidth="1"/>
    <col min="15126" max="15361" width="9" style="3454"/>
    <col min="15362" max="15362" width="28.875" style="3454" customWidth="1"/>
    <col min="15363" max="15363" width="17.125" style="3454" customWidth="1"/>
    <col min="15364" max="15364" width="12.75" style="3454" customWidth="1"/>
    <col min="15365" max="15365" width="14.625" style="3454" customWidth="1"/>
    <col min="15366" max="15367" width="18.875" style="3454" customWidth="1"/>
    <col min="15368" max="15368" width="22.125" style="3454" bestFit="1" customWidth="1"/>
    <col min="15369" max="15372" width="0" style="3454" hidden="1" customWidth="1"/>
    <col min="15373" max="15373" width="16" style="3454" bestFit="1" customWidth="1"/>
    <col min="15374" max="15374" width="14.75" style="3454" customWidth="1"/>
    <col min="15375" max="15375" width="11.875" style="3454" bestFit="1" customWidth="1"/>
    <col min="15376" max="15376" width="16" style="3454" customWidth="1"/>
    <col min="15377" max="15377" width="0" style="3454" hidden="1" customWidth="1"/>
    <col min="15378" max="15378" width="16" style="3454" customWidth="1"/>
    <col min="15379" max="15379" width="24.125" style="3454" customWidth="1"/>
    <col min="15380" max="15380" width="13.25" style="3454" customWidth="1"/>
    <col min="15381" max="15381" width="45.25" style="3454" customWidth="1"/>
    <col min="15382" max="15617" width="9" style="3454"/>
    <col min="15618" max="15618" width="28.875" style="3454" customWidth="1"/>
    <col min="15619" max="15619" width="17.125" style="3454" customWidth="1"/>
    <col min="15620" max="15620" width="12.75" style="3454" customWidth="1"/>
    <col min="15621" max="15621" width="14.625" style="3454" customWidth="1"/>
    <col min="15622" max="15623" width="18.875" style="3454" customWidth="1"/>
    <col min="15624" max="15624" width="22.125" style="3454" bestFit="1" customWidth="1"/>
    <col min="15625" max="15628" width="0" style="3454" hidden="1" customWidth="1"/>
    <col min="15629" max="15629" width="16" style="3454" bestFit="1" customWidth="1"/>
    <col min="15630" max="15630" width="14.75" style="3454" customWidth="1"/>
    <col min="15631" max="15631" width="11.875" style="3454" bestFit="1" customWidth="1"/>
    <col min="15632" max="15632" width="16" style="3454" customWidth="1"/>
    <col min="15633" max="15633" width="0" style="3454" hidden="1" customWidth="1"/>
    <col min="15634" max="15634" width="16" style="3454" customWidth="1"/>
    <col min="15635" max="15635" width="24.125" style="3454" customWidth="1"/>
    <col min="15636" max="15636" width="13.25" style="3454" customWidth="1"/>
    <col min="15637" max="15637" width="45.25" style="3454" customWidth="1"/>
    <col min="15638" max="15873" width="9" style="3454"/>
    <col min="15874" max="15874" width="28.875" style="3454" customWidth="1"/>
    <col min="15875" max="15875" width="17.125" style="3454" customWidth="1"/>
    <col min="15876" max="15876" width="12.75" style="3454" customWidth="1"/>
    <col min="15877" max="15877" width="14.625" style="3454" customWidth="1"/>
    <col min="15878" max="15879" width="18.875" style="3454" customWidth="1"/>
    <col min="15880" max="15880" width="22.125" style="3454" bestFit="1" customWidth="1"/>
    <col min="15881" max="15884" width="0" style="3454" hidden="1" customWidth="1"/>
    <col min="15885" max="15885" width="16" style="3454" bestFit="1" customWidth="1"/>
    <col min="15886" max="15886" width="14.75" style="3454" customWidth="1"/>
    <col min="15887" max="15887" width="11.875" style="3454" bestFit="1" customWidth="1"/>
    <col min="15888" max="15888" width="16" style="3454" customWidth="1"/>
    <col min="15889" max="15889" width="0" style="3454" hidden="1" customWidth="1"/>
    <col min="15890" max="15890" width="16" style="3454" customWidth="1"/>
    <col min="15891" max="15891" width="24.125" style="3454" customWidth="1"/>
    <col min="15892" max="15892" width="13.25" style="3454" customWidth="1"/>
    <col min="15893" max="15893" width="45.25" style="3454" customWidth="1"/>
    <col min="15894" max="16129" width="9" style="3454"/>
    <col min="16130" max="16130" width="28.875" style="3454" customWidth="1"/>
    <col min="16131" max="16131" width="17.125" style="3454" customWidth="1"/>
    <col min="16132" max="16132" width="12.75" style="3454" customWidth="1"/>
    <col min="16133" max="16133" width="14.625" style="3454" customWidth="1"/>
    <col min="16134" max="16135" width="18.875" style="3454" customWidth="1"/>
    <col min="16136" max="16136" width="22.125" style="3454" bestFit="1" customWidth="1"/>
    <col min="16137" max="16140" width="0" style="3454" hidden="1" customWidth="1"/>
    <col min="16141" max="16141" width="16" style="3454" bestFit="1" customWidth="1"/>
    <col min="16142" max="16142" width="14.75" style="3454" customWidth="1"/>
    <col min="16143" max="16143" width="11.875" style="3454" bestFit="1" customWidth="1"/>
    <col min="16144" max="16144" width="16" style="3454" customWidth="1"/>
    <col min="16145" max="16145" width="0" style="3454" hidden="1" customWidth="1"/>
    <col min="16146" max="16146" width="16" style="3454" customWidth="1"/>
    <col min="16147" max="16147" width="24.125" style="3454" customWidth="1"/>
    <col min="16148" max="16148" width="13.25" style="3454" customWidth="1"/>
    <col min="16149" max="16149" width="45.25" style="3454" customWidth="1"/>
    <col min="16150" max="16384" width="9" style="3454"/>
  </cols>
  <sheetData>
    <row r="1" spans="1:21" ht="17.25">
      <c r="A1" s="3453" t="s">
        <v>3434</v>
      </c>
    </row>
    <row r="2" spans="1:21">
      <c r="A2" s="3457" t="s">
        <v>3435</v>
      </c>
      <c r="B2" s="3457"/>
      <c r="F2" s="3680"/>
      <c r="G2" s="3680"/>
      <c r="H2" s="3681" t="s">
        <v>3436</v>
      </c>
      <c r="I2" s="3681"/>
      <c r="J2" s="3681"/>
      <c r="K2" s="3681"/>
      <c r="L2" s="3681"/>
      <c r="R2" s="3458">
        <v>45230</v>
      </c>
      <c r="U2" s="3459" t="s">
        <v>3437</v>
      </c>
    </row>
    <row r="3" spans="1:21">
      <c r="A3" s="3668" t="s">
        <v>3438</v>
      </c>
      <c r="B3" s="3668" t="s">
        <v>3439</v>
      </c>
      <c r="C3" s="3668" t="s">
        <v>3440</v>
      </c>
      <c r="D3" s="3668" t="s">
        <v>3441</v>
      </c>
      <c r="E3" s="3668" t="s">
        <v>3442</v>
      </c>
      <c r="F3" s="3460" t="s">
        <v>3443</v>
      </c>
      <c r="G3" s="3460" t="s">
        <v>3443</v>
      </c>
      <c r="H3" s="3682" t="s">
        <v>3444</v>
      </c>
      <c r="I3" s="3683"/>
      <c r="J3" s="3683"/>
      <c r="K3" s="3683"/>
      <c r="L3" s="3683"/>
      <c r="M3" s="3684"/>
      <c r="N3" s="3665" t="s">
        <v>3445</v>
      </c>
      <c r="O3" s="3666"/>
      <c r="P3" s="3666"/>
      <c r="Q3" s="3666"/>
      <c r="R3" s="3666"/>
      <c r="S3" s="3666"/>
      <c r="T3" s="3667"/>
      <c r="U3" s="3668" t="s">
        <v>3446</v>
      </c>
    </row>
    <row r="4" spans="1:21" s="3456" customFormat="1" ht="24">
      <c r="A4" s="3668"/>
      <c r="B4" s="3668"/>
      <c r="C4" s="3668"/>
      <c r="D4" s="3668"/>
      <c r="E4" s="3668"/>
      <c r="F4" s="3461" t="s">
        <v>3447</v>
      </c>
      <c r="G4" s="3461" t="s">
        <v>3448</v>
      </c>
      <c r="H4" s="3462" t="s">
        <v>3449</v>
      </c>
      <c r="I4" s="3462" t="s">
        <v>3450</v>
      </c>
      <c r="J4" s="3462" t="s">
        <v>3451</v>
      </c>
      <c r="K4" s="3462" t="s">
        <v>3452</v>
      </c>
      <c r="L4" s="3462" t="s">
        <v>3453</v>
      </c>
      <c r="M4" s="3462" t="s">
        <v>3454</v>
      </c>
      <c r="N4" s="3463" t="s">
        <v>3455</v>
      </c>
      <c r="O4" s="3464" t="s">
        <v>3456</v>
      </c>
      <c r="P4" s="3464" t="s">
        <v>3457</v>
      </c>
      <c r="Q4" s="3464" t="s">
        <v>3458</v>
      </c>
      <c r="R4" s="3463" t="s">
        <v>3459</v>
      </c>
      <c r="S4" s="3463" t="s">
        <v>3460</v>
      </c>
      <c r="T4" s="3463" t="s">
        <v>3461</v>
      </c>
      <c r="U4" s="3668"/>
    </row>
    <row r="5" spans="1:21" ht="24">
      <c r="A5" s="3642" t="s">
        <v>3462</v>
      </c>
      <c r="B5" s="3630">
        <v>1056185.3999999999</v>
      </c>
      <c r="C5" s="3628" t="s">
        <v>3652</v>
      </c>
      <c r="D5" s="3465" t="s">
        <v>3463</v>
      </c>
      <c r="E5" s="3466" t="s">
        <v>3464</v>
      </c>
      <c r="F5" s="3467">
        <v>108906</v>
      </c>
      <c r="G5" s="3467">
        <f>F5/($F$23-$F$17)*($G$23-$G$17)</f>
        <v>54304415.943323366</v>
      </c>
      <c r="H5" s="3468">
        <v>108906.8</v>
      </c>
      <c r="I5" s="3468"/>
      <c r="J5" s="3469"/>
      <c r="K5" s="3470">
        <f>H5</f>
        <v>108906.8</v>
      </c>
      <c r="L5" s="3471">
        <f>K5*ROUND($L$12/$K$12,4)</f>
        <v>54151009.379120007</v>
      </c>
      <c r="M5" s="3631" t="s">
        <v>3465</v>
      </c>
      <c r="N5" s="3472">
        <v>14055.77</v>
      </c>
      <c r="O5" s="3472">
        <v>43737.9</v>
      </c>
      <c r="P5" s="3472"/>
      <c r="Q5" s="3472">
        <v>9732</v>
      </c>
      <c r="R5" s="3472">
        <v>62741577.049999997</v>
      </c>
      <c r="S5" s="3473"/>
      <c r="T5" s="3474" t="s">
        <v>3466</v>
      </c>
      <c r="U5" s="3475" t="s">
        <v>3467</v>
      </c>
    </row>
    <row r="6" spans="1:21" ht="24">
      <c r="A6" s="3642"/>
      <c r="B6" s="3630"/>
      <c r="C6" s="3628"/>
      <c r="D6" s="3476" t="s">
        <v>3468</v>
      </c>
      <c r="E6" s="3550" t="s">
        <v>3653</v>
      </c>
      <c r="F6" s="3477">
        <f>($B$5-$F$5-$F$19-$F$20-$F$21-$F$22-F11-F14-F15-F16-F17)*O6/($O$23-$O$5-$O$19-O17-O16-O15-O14-O11)</f>
        <v>59830.502213564323</v>
      </c>
      <c r="G6" s="3477">
        <f t="shared" ref="G6:G11" si="0">F6/($F$23-$F$17)*($G$23-$G$17)</f>
        <v>29833622.374371715</v>
      </c>
      <c r="H6" s="3468">
        <v>61427.65</v>
      </c>
      <c r="I6" s="3468"/>
      <c r="J6" s="3478"/>
      <c r="K6" s="3470">
        <f>H6</f>
        <v>61427.65</v>
      </c>
      <c r="L6" s="3471">
        <f>K6*ROUND($L$12/$K$12,4)</f>
        <v>30543264.987010002</v>
      </c>
      <c r="M6" s="3646"/>
      <c r="N6" s="3479">
        <v>25989.48</v>
      </c>
      <c r="O6" s="3472">
        <v>26066.47</v>
      </c>
      <c r="P6" s="3472">
        <v>25989.48</v>
      </c>
      <c r="Q6" s="3472">
        <v>26015.07</v>
      </c>
      <c r="R6" s="3472">
        <v>105001938.94</v>
      </c>
      <c r="S6" s="3480" t="s">
        <v>3469</v>
      </c>
      <c r="T6" s="3481"/>
      <c r="U6" s="3475" t="s">
        <v>3470</v>
      </c>
    </row>
    <row r="7" spans="1:21" ht="12.75">
      <c r="A7" s="3629"/>
      <c r="B7" s="3630"/>
      <c r="C7" s="3628"/>
      <c r="D7" s="3465" t="s">
        <v>3471</v>
      </c>
      <c r="E7" s="3550" t="s">
        <v>3472</v>
      </c>
      <c r="F7" s="3477">
        <f>($B$5-$F$5-$F$19-$F$20-$F$21-$F$22-F17-F16-F15-F14-F11)*O7/($O$23-$O$5-$O$19-O17-O16-O15-O14-O11)</f>
        <v>43530.828967658519</v>
      </c>
      <c r="G7" s="3477">
        <f t="shared" si="0"/>
        <v>21706023.934561893</v>
      </c>
      <c r="H7" s="3468">
        <f>56106.57-H8</f>
        <v>43954.58</v>
      </c>
      <c r="I7" s="3468"/>
      <c r="J7" s="3469"/>
      <c r="K7" s="3470">
        <f>H7+I7+J7</f>
        <v>43954.58</v>
      </c>
      <c r="L7" s="3471">
        <f>K7*ROUND($L$12/$K$12,4)</f>
        <v>21855245.713172004</v>
      </c>
      <c r="M7" s="3646"/>
      <c r="N7" s="3472">
        <v>20298.18</v>
      </c>
      <c r="O7" s="3472">
        <v>18965.16</v>
      </c>
      <c r="P7" s="3472">
        <v>20262</v>
      </c>
      <c r="Q7" s="3482">
        <v>20262</v>
      </c>
      <c r="R7" s="3472">
        <v>74558941.159999996</v>
      </c>
      <c r="S7" s="3636" t="s">
        <v>3473</v>
      </c>
      <c r="T7" s="3635" t="s">
        <v>3474</v>
      </c>
      <c r="U7" s="3475" t="s">
        <v>3475</v>
      </c>
    </row>
    <row r="8" spans="1:21" ht="12.75">
      <c r="A8" s="3629"/>
      <c r="B8" s="3630"/>
      <c r="C8" s="3628"/>
      <c r="D8" s="3465" t="s">
        <v>3476</v>
      </c>
      <c r="E8" s="3550" t="s">
        <v>3477</v>
      </c>
      <c r="F8" s="3477">
        <f>($B$5-$F$5-$F$19-$F$20-$F$21-$F$22-F17-F16-F15-F14-F11)*O8/($O$23-$O$5-$O$19-O17-O16-O15-O14-O11)</f>
        <v>15682.809993233115</v>
      </c>
      <c r="G8" s="3477">
        <f t="shared" si="0"/>
        <v>7820008.4204051131</v>
      </c>
      <c r="H8" s="3669">
        <v>12151.99</v>
      </c>
      <c r="I8" s="3669"/>
      <c r="J8" s="3671"/>
      <c r="K8" s="3673">
        <f>H8+I8+J8</f>
        <v>12151.99</v>
      </c>
      <c r="L8" s="3675">
        <f>K8*ROUND($L$12/$K$12,4)</f>
        <v>6042253.7845660001</v>
      </c>
      <c r="M8" s="3646"/>
      <c r="N8" s="3472">
        <v>6572.9</v>
      </c>
      <c r="O8" s="3472">
        <v>6832.56</v>
      </c>
      <c r="P8" s="3472">
        <v>6791</v>
      </c>
      <c r="Q8" s="3482">
        <v>6791</v>
      </c>
      <c r="R8" s="3472">
        <v>26939078.739999998</v>
      </c>
      <c r="S8" s="3637"/>
      <c r="T8" s="3639"/>
      <c r="U8" s="3475" t="s">
        <v>3475</v>
      </c>
    </row>
    <row r="9" spans="1:21" ht="36">
      <c r="A9" s="3629"/>
      <c r="B9" s="3630"/>
      <c r="C9" s="3628"/>
      <c r="D9" s="3483" t="s">
        <v>3478</v>
      </c>
      <c r="E9" s="3550" t="s">
        <v>3479</v>
      </c>
      <c r="F9" s="3477">
        <f>($B$5-$F$5-$F$19-$F$20-$F$21-$F$22-F17-F16-F15-F14-F11)*O9/($O$23-$O$5-$O$19-O17-O16-O15-O14-O11)</f>
        <v>53.434703338494927</v>
      </c>
      <c r="G9" s="3477">
        <f t="shared" si="0"/>
        <v>26644.448936713474</v>
      </c>
      <c r="H9" s="3670"/>
      <c r="I9" s="3670"/>
      <c r="J9" s="3672"/>
      <c r="K9" s="3674"/>
      <c r="L9" s="3676"/>
      <c r="M9" s="3646"/>
      <c r="N9" s="3484"/>
      <c r="O9" s="3472">
        <v>23.28</v>
      </c>
      <c r="P9" s="3472"/>
      <c r="Q9" s="3472"/>
      <c r="R9" s="3472"/>
      <c r="S9" s="3638"/>
      <c r="T9" s="3634"/>
      <c r="U9" s="3475" t="s">
        <v>3480</v>
      </c>
    </row>
    <row r="10" spans="1:21" ht="12.75">
      <c r="A10" s="3629"/>
      <c r="B10" s="3630"/>
      <c r="C10" s="3628"/>
      <c r="D10" s="3483" t="s">
        <v>3478</v>
      </c>
      <c r="E10" s="3485" t="s">
        <v>3481</v>
      </c>
      <c r="F10" s="3477">
        <f>($B$5-$F$5-$F$19-$F$20-$F$21-$F$22-F17-F16-F15-F14-F11)*O10/($O$23-$O$5-$O$19-O17-O15-O16-O14-O11)</f>
        <v>3282.7453915255769</v>
      </c>
      <c r="G10" s="3477">
        <f t="shared" si="0"/>
        <v>1636893.9376841756</v>
      </c>
      <c r="H10" s="3486"/>
      <c r="I10" s="3468"/>
      <c r="J10" s="3487"/>
      <c r="K10" s="3470"/>
      <c r="L10" s="3488">
        <f>K10*ROUND($L$23/$K$23,4)</f>
        <v>0</v>
      </c>
      <c r="M10" s="3632"/>
      <c r="N10" s="3472">
        <v>1430.2</v>
      </c>
      <c r="O10" s="3472">
        <v>1430.2</v>
      </c>
      <c r="P10" s="3472"/>
      <c r="Q10" s="3472"/>
      <c r="R10" s="3472"/>
      <c r="S10" s="3473"/>
      <c r="T10" s="3489"/>
      <c r="U10" s="3475" t="s">
        <v>3482</v>
      </c>
    </row>
    <row r="11" spans="1:21" ht="12.75">
      <c r="A11" s="3629"/>
      <c r="B11" s="3630"/>
      <c r="C11" s="3629" t="s">
        <v>3483</v>
      </c>
      <c r="D11" s="3483" t="s">
        <v>3484</v>
      </c>
      <c r="E11" s="3550" t="s">
        <v>3485</v>
      </c>
      <c r="F11" s="3677">
        <v>123966.83</v>
      </c>
      <c r="G11" s="3677">
        <f t="shared" si="0"/>
        <v>61814282.954981878</v>
      </c>
      <c r="H11" s="3468">
        <v>80008.929999999993</v>
      </c>
      <c r="I11" s="3468"/>
      <c r="J11" s="3490"/>
      <c r="K11" s="3470">
        <v>80008.929999999993</v>
      </c>
      <c r="L11" s="3470">
        <v>39782309.609999999</v>
      </c>
      <c r="M11" s="3661" t="s">
        <v>3486</v>
      </c>
      <c r="N11" s="3472">
        <v>23255.32</v>
      </c>
      <c r="O11" s="3663">
        <v>59723.22</v>
      </c>
      <c r="P11" s="3489">
        <v>22670</v>
      </c>
      <c r="Q11" s="3482">
        <v>23255.32</v>
      </c>
      <c r="R11" s="3472">
        <v>133715141.73</v>
      </c>
      <c r="S11" s="3636" t="s">
        <v>3487</v>
      </c>
      <c r="T11" s="3635" t="s">
        <v>3488</v>
      </c>
      <c r="U11" s="3475"/>
    </row>
    <row r="12" spans="1:21" ht="12.75">
      <c r="A12" s="3629"/>
      <c r="B12" s="3630"/>
      <c r="C12" s="3629"/>
      <c r="D12" s="3483" t="s">
        <v>3489</v>
      </c>
      <c r="E12" s="3550" t="s">
        <v>3490</v>
      </c>
      <c r="F12" s="3678"/>
      <c r="G12" s="3678"/>
      <c r="H12" s="3468">
        <v>80008.929999999993</v>
      </c>
      <c r="I12" s="3468"/>
      <c r="J12" s="3490"/>
      <c r="K12" s="3470">
        <v>80008.929999999993</v>
      </c>
      <c r="L12" s="3470">
        <v>39782309.609999999</v>
      </c>
      <c r="M12" s="3662"/>
      <c r="N12" s="3472">
        <v>23254.07</v>
      </c>
      <c r="O12" s="3663"/>
      <c r="P12" s="3489">
        <v>22882</v>
      </c>
      <c r="Q12" s="3482">
        <v>23254.07</v>
      </c>
      <c r="R12" s="3472">
        <v>151630350.46000001</v>
      </c>
      <c r="S12" s="3637"/>
      <c r="T12" s="3639"/>
      <c r="U12" s="3475"/>
    </row>
    <row r="13" spans="1:21" ht="12.75">
      <c r="A13" s="3629"/>
      <c r="B13" s="3630"/>
      <c r="C13" s="3629"/>
      <c r="D13" s="3483" t="s">
        <v>3491</v>
      </c>
      <c r="E13" s="3550" t="s">
        <v>3492</v>
      </c>
      <c r="F13" s="3679"/>
      <c r="G13" s="3679"/>
      <c r="H13" s="3468">
        <v>12992.66</v>
      </c>
      <c r="I13" s="3468"/>
      <c r="J13" s="3468"/>
      <c r="K13" s="3470">
        <v>12992.66</v>
      </c>
      <c r="L13" s="3470">
        <v>6460254.1600000001</v>
      </c>
      <c r="M13" s="3662"/>
      <c r="N13" s="3472">
        <v>12673.96</v>
      </c>
      <c r="O13" s="3663"/>
      <c r="P13" s="3489">
        <v>14171</v>
      </c>
      <c r="Q13" s="3482">
        <v>12673.96</v>
      </c>
      <c r="R13" s="3472">
        <v>98413975.890000001</v>
      </c>
      <c r="S13" s="3637"/>
      <c r="T13" s="3639"/>
      <c r="U13" s="3475"/>
    </row>
    <row r="14" spans="1:21" ht="12.75">
      <c r="A14" s="3629"/>
      <c r="B14" s="3630"/>
      <c r="C14" s="3629"/>
      <c r="D14" s="3483" t="s">
        <v>3493</v>
      </c>
      <c r="E14" s="3550" t="s">
        <v>3494</v>
      </c>
      <c r="F14" s="3477">
        <v>1334.5</v>
      </c>
      <c r="G14" s="3477">
        <f>F14/($F$23-$F$17)*($G$23-$G$17)</f>
        <v>665429.29752598586</v>
      </c>
      <c r="H14" s="3468">
        <v>2473.4499999999998</v>
      </c>
      <c r="I14" s="3468"/>
      <c r="J14" s="3490"/>
      <c r="K14" s="3470">
        <v>2473.4499999999998</v>
      </c>
      <c r="L14" s="3470">
        <v>1229857.1399999999</v>
      </c>
      <c r="M14" s="3662"/>
      <c r="N14" s="3472">
        <v>642.91999999999996</v>
      </c>
      <c r="O14" s="3472">
        <v>642.91999999999996</v>
      </c>
      <c r="P14" s="3472">
        <v>643</v>
      </c>
      <c r="Q14" s="3472">
        <v>642.77</v>
      </c>
      <c r="R14" s="3472">
        <v>7349650.4000000004</v>
      </c>
      <c r="S14" s="3638"/>
      <c r="T14" s="3634"/>
      <c r="U14" s="3475"/>
    </row>
    <row r="15" spans="1:21" ht="12.75">
      <c r="A15" s="3629"/>
      <c r="B15" s="3630"/>
      <c r="C15" s="3653" t="s">
        <v>3495</v>
      </c>
      <c r="D15" s="3491" t="s">
        <v>3496</v>
      </c>
      <c r="E15" s="3550" t="s">
        <v>3497</v>
      </c>
      <c r="F15" s="3477">
        <v>56652.69</v>
      </c>
      <c r="G15" s="3477">
        <f>F15/($F$23-$F$17)*($G$23-$G$17)</f>
        <v>28249051.861863956</v>
      </c>
      <c r="H15" s="3468">
        <v>53610.84</v>
      </c>
      <c r="I15" s="3468"/>
      <c r="J15" s="3490"/>
      <c r="K15" s="3470">
        <v>53610.84</v>
      </c>
      <c r="L15" s="3470">
        <v>26656562.399999999</v>
      </c>
      <c r="M15" s="3656" t="s">
        <v>3498</v>
      </c>
      <c r="N15" s="3472">
        <v>26448.400000000001</v>
      </c>
      <c r="O15" s="3472">
        <v>27293.439999999999</v>
      </c>
      <c r="P15" s="3492">
        <v>27344.5</v>
      </c>
      <c r="Q15" s="3493">
        <v>26029</v>
      </c>
      <c r="R15" s="3472">
        <v>138085454.59</v>
      </c>
      <c r="S15" s="3636" t="s">
        <v>3499</v>
      </c>
      <c r="T15" s="3635" t="s">
        <v>3500</v>
      </c>
      <c r="U15" s="3475"/>
    </row>
    <row r="16" spans="1:21" ht="12.75">
      <c r="A16" s="3629"/>
      <c r="B16" s="3630"/>
      <c r="C16" s="3654"/>
      <c r="D16" s="3629" t="s">
        <v>3501</v>
      </c>
      <c r="E16" s="3664" t="s">
        <v>3502</v>
      </c>
      <c r="F16" s="3494">
        <v>38400.99</v>
      </c>
      <c r="G16" s="3477">
        <f>F16/($F$23-$F$17)*($G$23-$G$17)</f>
        <v>19148103.259649612</v>
      </c>
      <c r="H16" s="3468">
        <v>40066.28</v>
      </c>
      <c r="I16" s="3468"/>
      <c r="J16" s="3490"/>
      <c r="K16" s="3470">
        <v>40066.28</v>
      </c>
      <c r="L16" s="3470">
        <v>19921890.670000002</v>
      </c>
      <c r="M16" s="3656"/>
      <c r="N16" s="3472">
        <v>19345.399999999998</v>
      </c>
      <c r="O16" s="3482">
        <f>26448.4-7948.04</f>
        <v>18500.36</v>
      </c>
      <c r="P16" s="3482">
        <v>18435</v>
      </c>
      <c r="Q16" s="3482">
        <v>12559</v>
      </c>
      <c r="R16" s="3663">
        <v>149973992.33000001</v>
      </c>
      <c r="S16" s="3637"/>
      <c r="T16" s="3639"/>
      <c r="U16" s="3475"/>
    </row>
    <row r="17" spans="1:21" ht="24">
      <c r="A17" s="3629"/>
      <c r="B17" s="3630"/>
      <c r="C17" s="3654"/>
      <c r="D17" s="3629"/>
      <c r="E17" s="3664"/>
      <c r="F17" s="3495">
        <v>16497.66</v>
      </c>
      <c r="G17" s="3496">
        <v>6731633.8899999997</v>
      </c>
      <c r="H17" s="3497">
        <v>13544.56</v>
      </c>
      <c r="I17" s="3497"/>
      <c r="J17" s="3497"/>
      <c r="K17" s="3497">
        <v>13544.56</v>
      </c>
      <c r="L17" s="3497">
        <v>6731633.8899999997</v>
      </c>
      <c r="M17" s="3656"/>
      <c r="N17" s="3472">
        <v>7948.0400000000009</v>
      </c>
      <c r="O17" s="3482">
        <v>7948.04</v>
      </c>
      <c r="P17" s="3498"/>
      <c r="Q17" s="3498"/>
      <c r="R17" s="3663"/>
      <c r="S17" s="3638"/>
      <c r="T17" s="3634"/>
      <c r="U17" s="3475" t="s">
        <v>3503</v>
      </c>
    </row>
    <row r="18" spans="1:21" ht="12.75">
      <c r="A18" s="3629"/>
      <c r="B18" s="3630"/>
      <c r="C18" s="3655"/>
      <c r="D18" s="3491" t="s">
        <v>3478</v>
      </c>
      <c r="E18" s="3499" t="s">
        <v>3504</v>
      </c>
      <c r="F18" s="3477">
        <f>(B5-F5-F19-F20-F21-F22-F17-F16-F15-F14-F11)*O18/(O23-O19-O5-O17-O16-O15-O14-O11)</f>
        <v>103.28873068008029</v>
      </c>
      <c r="G18" s="3477">
        <f>F18/($F$23-$F$17)*($G$23-$G$17)</f>
        <v>51503.445109626511</v>
      </c>
      <c r="H18" s="3468"/>
      <c r="I18" s="3468"/>
      <c r="J18" s="3468"/>
      <c r="K18" s="3468"/>
      <c r="L18" s="3468"/>
      <c r="M18" s="3631" t="s">
        <v>3505</v>
      </c>
      <c r="N18" s="3472">
        <v>45</v>
      </c>
      <c r="O18" s="3489">
        <v>45</v>
      </c>
      <c r="P18" s="3500"/>
      <c r="Q18" s="3500"/>
      <c r="R18" s="3489"/>
      <c r="S18" s="3501"/>
      <c r="T18" s="3500"/>
      <c r="U18" s="3475"/>
    </row>
    <row r="19" spans="1:21" ht="12.75">
      <c r="A19" s="3629"/>
      <c r="B19" s="3630"/>
      <c r="C19" s="3491" t="s">
        <v>3506</v>
      </c>
      <c r="D19" s="3491"/>
      <c r="E19" s="3483" t="s">
        <v>3507</v>
      </c>
      <c r="F19" s="3502">
        <v>76374.350000000006</v>
      </c>
      <c r="G19" s="3467">
        <f t="shared" ref="G19:G22" si="1">F19/($F$23-$F$17)*($G$23-$G$17)</f>
        <v>38082974.949047424</v>
      </c>
      <c r="H19" s="3468"/>
      <c r="I19" s="3468">
        <v>233843.73</v>
      </c>
      <c r="J19" s="3490"/>
      <c r="K19" s="3470">
        <v>233843.73</v>
      </c>
      <c r="L19" s="3470">
        <v>116272566.92</v>
      </c>
      <c r="M19" s="3646"/>
      <c r="N19" s="3633">
        <v>331113.28999999998</v>
      </c>
      <c r="O19" s="3633">
        <v>305626.81</v>
      </c>
      <c r="P19" s="3503"/>
      <c r="Q19" s="3472"/>
      <c r="R19" s="3472"/>
      <c r="S19" s="3473"/>
      <c r="T19" s="3489"/>
      <c r="U19" s="3475"/>
    </row>
    <row r="20" spans="1:21" ht="12.75">
      <c r="A20" s="3629"/>
      <c r="B20" s="3630"/>
      <c r="C20" s="3653" t="s">
        <v>3508</v>
      </c>
      <c r="D20" s="3491"/>
      <c r="E20" s="3483" t="s">
        <v>3509</v>
      </c>
      <c r="F20" s="3502">
        <v>18353.330000000002</v>
      </c>
      <c r="G20" s="3467">
        <f t="shared" si="1"/>
        <v>9151624.9450450391</v>
      </c>
      <c r="H20" s="3468"/>
      <c r="I20" s="3468"/>
      <c r="J20" s="3490"/>
      <c r="K20" s="3470"/>
      <c r="L20" s="3470"/>
      <c r="M20" s="3646"/>
      <c r="N20" s="3639"/>
      <c r="O20" s="3639"/>
      <c r="P20" s="3503"/>
      <c r="Q20" s="3472"/>
      <c r="R20" s="3472"/>
      <c r="S20" s="3473"/>
      <c r="T20" s="3489"/>
      <c r="U20" s="3475"/>
    </row>
    <row r="21" spans="1:21" ht="12.75">
      <c r="A21" s="3629"/>
      <c r="B21" s="3630"/>
      <c r="C21" s="3655"/>
      <c r="D21" s="3491"/>
      <c r="E21" s="3483" t="s">
        <v>3510</v>
      </c>
      <c r="F21" s="3502">
        <v>180148.77</v>
      </c>
      <c r="G21" s="3467">
        <f t="shared" si="1"/>
        <v>89828602.076635748</v>
      </c>
      <c r="H21" s="3468"/>
      <c r="I21" s="3468"/>
      <c r="J21" s="3490"/>
      <c r="K21" s="3470"/>
      <c r="L21" s="3470"/>
      <c r="M21" s="3646"/>
      <c r="N21" s="3639"/>
      <c r="O21" s="3639"/>
      <c r="P21" s="3503"/>
      <c r="Q21" s="3472"/>
      <c r="R21" s="3472"/>
      <c r="S21" s="3473"/>
      <c r="T21" s="3489"/>
      <c r="U21" s="3475"/>
    </row>
    <row r="22" spans="1:21" ht="12.75">
      <c r="A22" s="3629"/>
      <c r="B22" s="3630"/>
      <c r="C22" s="3491" t="s">
        <v>3511</v>
      </c>
      <c r="D22" s="3491"/>
      <c r="E22" s="3491" t="s">
        <v>3511</v>
      </c>
      <c r="F22" s="3502">
        <v>313066.67</v>
      </c>
      <c r="G22" s="3467">
        <f t="shared" si="1"/>
        <v>156106207.79085773</v>
      </c>
      <c r="H22" s="3468"/>
      <c r="I22" s="3468"/>
      <c r="J22" s="3468">
        <v>313195</v>
      </c>
      <c r="K22" s="3470">
        <v>313195</v>
      </c>
      <c r="L22" s="3470">
        <f>L23-SUM(L5:L19)</f>
        <v>155727865.26613194</v>
      </c>
      <c r="M22" s="3632"/>
      <c r="N22" s="3634"/>
      <c r="O22" s="3634"/>
      <c r="P22" s="3489"/>
      <c r="Q22" s="3472"/>
      <c r="R22" s="3472"/>
      <c r="S22" s="3473"/>
      <c r="T22" s="3489"/>
      <c r="U22" s="3475" t="s">
        <v>3512</v>
      </c>
    </row>
    <row r="23" spans="1:21" ht="12.75">
      <c r="A23" s="3629"/>
      <c r="B23" s="3630"/>
      <c r="C23" s="3504"/>
      <c r="D23" s="3491"/>
      <c r="E23" s="3505" t="s">
        <v>3513</v>
      </c>
      <c r="F23" s="3506">
        <f>SUM(F5:F22)</f>
        <v>1056185.4000000001</v>
      </c>
      <c r="G23" s="3506">
        <v>525157023.52999997</v>
      </c>
      <c r="H23" s="3507">
        <f>SUM(H5:H22)</f>
        <v>509146.67</v>
      </c>
      <c r="I23" s="3507">
        <f>SUM(I5:I22)</f>
        <v>233843.73</v>
      </c>
      <c r="J23" s="3507">
        <f>SUM(J5:J22)</f>
        <v>313195</v>
      </c>
      <c r="K23" s="3507">
        <v>1056185.3999999999</v>
      </c>
      <c r="L23" s="3507">
        <v>525157023.52999997</v>
      </c>
      <c r="M23" s="3508"/>
      <c r="N23" s="3509">
        <f>SUM(N5:N22)</f>
        <v>513072.93</v>
      </c>
      <c r="O23" s="3509">
        <f>SUM(O5:O22)</f>
        <v>516835.36</v>
      </c>
      <c r="P23" s="3509">
        <f>SUM(P5:P22)</f>
        <v>159187.97999999998</v>
      </c>
      <c r="Q23" s="3509">
        <f>SUM(Q5:Q22)</f>
        <v>161214.19</v>
      </c>
      <c r="R23" s="3509">
        <f>SUM(R5:R22)</f>
        <v>948410101.29000008</v>
      </c>
      <c r="S23" s="3510"/>
      <c r="T23" s="3511"/>
      <c r="U23" s="3512">
        <v>0</v>
      </c>
    </row>
    <row r="24" spans="1:21" ht="12.75">
      <c r="A24" s="3642" t="s">
        <v>3514</v>
      </c>
      <c r="B24" s="3630">
        <v>356119.31</v>
      </c>
      <c r="C24" s="3629" t="s">
        <v>3515</v>
      </c>
      <c r="D24" s="3491" t="s">
        <v>3516</v>
      </c>
      <c r="E24" s="3466" t="s">
        <v>3517</v>
      </c>
      <c r="F24" s="3513">
        <f>(B24-F38)*(O24/O39)</f>
        <v>9790.4946761968004</v>
      </c>
      <c r="G24" s="3513">
        <f>(F24/$F$39)*$G$39</f>
        <v>12289584.881331408</v>
      </c>
      <c r="H24" s="3468">
        <v>4228.22</v>
      </c>
      <c r="I24" s="3468"/>
      <c r="J24" s="3468"/>
      <c r="K24" s="3468">
        <v>4228.22</v>
      </c>
      <c r="L24" s="3468">
        <v>5307501.8499999996</v>
      </c>
      <c r="M24" s="3656" t="s">
        <v>3518</v>
      </c>
      <c r="N24" s="3472">
        <v>5378.09</v>
      </c>
      <c r="O24" s="3472">
        <v>5378.09</v>
      </c>
      <c r="P24" s="3472">
        <v>5378</v>
      </c>
      <c r="Q24" s="3482">
        <v>4860</v>
      </c>
      <c r="R24" s="3472">
        <f>31271451.59-95000</f>
        <v>31176451.59</v>
      </c>
      <c r="S24" s="3636" t="s">
        <v>3519</v>
      </c>
      <c r="T24" s="3635" t="s">
        <v>3520</v>
      </c>
      <c r="U24" s="3475"/>
    </row>
    <row r="25" spans="1:21" ht="12.75">
      <c r="A25" s="3629"/>
      <c r="B25" s="3630"/>
      <c r="C25" s="3629"/>
      <c r="D25" s="3491" t="s">
        <v>3521</v>
      </c>
      <c r="E25" s="3466" t="s">
        <v>3522</v>
      </c>
      <c r="F25" s="3513">
        <f>(B24-F38)*(O25/O39)</f>
        <v>29414.100548650451</v>
      </c>
      <c r="G25" s="3513">
        <f t="shared" ref="G25:G38" si="2">(F25/$F$39)*$G$39</f>
        <v>36922249.319998518</v>
      </c>
      <c r="H25" s="3514">
        <v>38013.03</v>
      </c>
      <c r="I25" s="3468"/>
      <c r="J25" s="3468"/>
      <c r="K25" s="3468">
        <v>38013.03</v>
      </c>
      <c r="L25" s="3468">
        <v>47716113.869999997</v>
      </c>
      <c r="M25" s="3656"/>
      <c r="N25" s="3472">
        <v>16157.68</v>
      </c>
      <c r="O25" s="3472">
        <v>16157.68</v>
      </c>
      <c r="P25" s="3472">
        <v>16158</v>
      </c>
      <c r="Q25" s="3482">
        <v>16216.02</v>
      </c>
      <c r="R25" s="3472">
        <v>60427559.43</v>
      </c>
      <c r="S25" s="3637"/>
      <c r="T25" s="3639"/>
      <c r="U25" s="3475"/>
    </row>
    <row r="26" spans="1:21" ht="24">
      <c r="A26" s="3629"/>
      <c r="B26" s="3630"/>
      <c r="C26" s="3629"/>
      <c r="D26" s="3491" t="s">
        <v>3523</v>
      </c>
      <c r="E26" s="3466" t="s">
        <v>3524</v>
      </c>
      <c r="F26" s="3513">
        <f>(B24-F38)*(O26/O39)</f>
        <v>18759.588241060992</v>
      </c>
      <c r="G26" s="3513">
        <f t="shared" si="2"/>
        <v>23548100.443572659</v>
      </c>
      <c r="H26" s="3468">
        <v>24162.3</v>
      </c>
      <c r="I26" s="3468"/>
      <c r="J26" s="3468"/>
      <c r="K26" s="3468">
        <v>24162.3</v>
      </c>
      <c r="L26" s="3468">
        <v>30329891.039999999</v>
      </c>
      <c r="M26" s="3656"/>
      <c r="N26" s="3472">
        <v>10304.969999999999</v>
      </c>
      <c r="O26" s="3472">
        <v>10304.969999999999</v>
      </c>
      <c r="P26" s="3472">
        <v>10305</v>
      </c>
      <c r="Q26" s="3482">
        <v>10335</v>
      </c>
      <c r="R26" s="3472">
        <v>40760858.289999999</v>
      </c>
      <c r="S26" s="3637"/>
      <c r="T26" s="3639"/>
      <c r="U26" s="3515" t="s">
        <v>3525</v>
      </c>
    </row>
    <row r="27" spans="1:21" ht="12.75">
      <c r="A27" s="3629"/>
      <c r="B27" s="3630"/>
      <c r="C27" s="3629"/>
      <c r="D27" s="3491" t="s">
        <v>3526</v>
      </c>
      <c r="E27" s="3466" t="s">
        <v>3527</v>
      </c>
      <c r="F27" s="3513">
        <f>(B24-F38)*(O27/O39)</f>
        <v>30021.854723022447</v>
      </c>
      <c r="G27" s="3513">
        <f t="shared" si="2"/>
        <v>37685136.871644638</v>
      </c>
      <c r="H27" s="3468">
        <v>38844.22</v>
      </c>
      <c r="I27" s="3468"/>
      <c r="J27" s="3468"/>
      <c r="K27" s="3468">
        <v>38844.22</v>
      </c>
      <c r="L27" s="3468">
        <v>48759470.75</v>
      </c>
      <c r="M27" s="3656"/>
      <c r="N27" s="3472">
        <v>16491.53</v>
      </c>
      <c r="O27" s="3472">
        <v>16491.53</v>
      </c>
      <c r="P27" s="3472">
        <v>16492</v>
      </c>
      <c r="Q27" s="3482">
        <v>16426.87</v>
      </c>
      <c r="R27" s="3472">
        <v>62142353.049999997</v>
      </c>
      <c r="S27" s="3637"/>
      <c r="T27" s="3639"/>
      <c r="U27" s="3475"/>
    </row>
    <row r="28" spans="1:21" ht="12.75">
      <c r="A28" s="3629"/>
      <c r="B28" s="3630"/>
      <c r="C28" s="3629"/>
      <c r="D28" s="3491" t="s">
        <v>3528</v>
      </c>
      <c r="E28" s="3466" t="s">
        <v>3529</v>
      </c>
      <c r="F28" s="3513">
        <f>(B24-F38)*(O28/O39)</f>
        <v>25688.732209646103</v>
      </c>
      <c r="G28" s="3513">
        <f t="shared" si="2"/>
        <v>32245955.431832757</v>
      </c>
      <c r="H28" s="3468">
        <v>33040.35</v>
      </c>
      <c r="I28" s="3468"/>
      <c r="J28" s="3468"/>
      <c r="K28" s="3468">
        <v>33040.35</v>
      </c>
      <c r="L28" s="3468">
        <v>41474123.549999997</v>
      </c>
      <c r="M28" s="3656"/>
      <c r="N28" s="3472">
        <v>14111.27</v>
      </c>
      <c r="O28" s="3472">
        <v>14111.27</v>
      </c>
      <c r="P28" s="3472">
        <v>14111</v>
      </c>
      <c r="Q28" s="3482">
        <v>14172.97</v>
      </c>
      <c r="R28" s="3472">
        <v>52329140.299999997</v>
      </c>
      <c r="S28" s="3638"/>
      <c r="T28" s="3634"/>
      <c r="U28" s="3475"/>
    </row>
    <row r="29" spans="1:21" ht="60">
      <c r="A29" s="3629"/>
      <c r="B29" s="3630"/>
      <c r="C29" s="3629"/>
      <c r="D29" s="3491" t="s">
        <v>3530</v>
      </c>
      <c r="E29" s="3466" t="s">
        <v>3531</v>
      </c>
      <c r="F29" s="3513">
        <f>(B24-F38)*(O29/O39)</f>
        <v>26353.957701331041</v>
      </c>
      <c r="G29" s="3513">
        <f t="shared" si="2"/>
        <v>33080984.244540639</v>
      </c>
      <c r="H29" s="3468">
        <v>49650.47</v>
      </c>
      <c r="I29" s="3468"/>
      <c r="J29" s="3468"/>
      <c r="K29" s="3468">
        <v>49650.47</v>
      </c>
      <c r="L29" s="3468">
        <v>62324089.399999999</v>
      </c>
      <c r="M29" s="3516" t="s">
        <v>3532</v>
      </c>
      <c r="N29" s="3472">
        <v>14476.69</v>
      </c>
      <c r="O29" s="3472">
        <v>14476.69</v>
      </c>
      <c r="P29" s="3472">
        <v>15268.92</v>
      </c>
      <c r="Q29" s="3472">
        <v>15131.39</v>
      </c>
      <c r="R29" s="3472">
        <v>50123662.479999997</v>
      </c>
      <c r="S29" s="3473" t="s">
        <v>3533</v>
      </c>
      <c r="T29" s="3474" t="s">
        <v>3520</v>
      </c>
      <c r="U29" s="3475" t="s">
        <v>3534</v>
      </c>
    </row>
    <row r="30" spans="1:21" ht="24">
      <c r="A30" s="3629"/>
      <c r="B30" s="3630"/>
      <c r="C30" s="3629"/>
      <c r="D30" s="3491" t="s">
        <v>3535</v>
      </c>
      <c r="E30" s="3517" t="s">
        <v>3536</v>
      </c>
      <c r="F30" s="3513">
        <f>(B24-F38)*(O30/O39)</f>
        <v>32983.238654781941</v>
      </c>
      <c r="G30" s="3513">
        <f t="shared" si="2"/>
        <v>41402434.14816048</v>
      </c>
      <c r="H30" s="3468">
        <v>26806.84</v>
      </c>
      <c r="I30" s="3468"/>
      <c r="J30" s="3468"/>
      <c r="K30" s="3468">
        <v>26806.84</v>
      </c>
      <c r="L30" s="3468">
        <v>33649467.82</v>
      </c>
      <c r="M30" s="3631" t="s">
        <v>3537</v>
      </c>
      <c r="N30" s="3472">
        <v>18012.03</v>
      </c>
      <c r="O30" s="3472">
        <v>18118.27</v>
      </c>
      <c r="P30" s="3472">
        <v>18012.03</v>
      </c>
      <c r="Q30" s="3472">
        <v>18012.03</v>
      </c>
      <c r="R30" s="3472">
        <v>44837203.119999997</v>
      </c>
      <c r="S30" s="3518" t="s">
        <v>3538</v>
      </c>
      <c r="T30" s="3474"/>
      <c r="U30" s="3475" t="s">
        <v>3539</v>
      </c>
    </row>
    <row r="31" spans="1:21" ht="24">
      <c r="A31" s="3629"/>
      <c r="B31" s="3630"/>
      <c r="C31" s="3629"/>
      <c r="D31" s="3491" t="s">
        <v>3540</v>
      </c>
      <c r="E31" s="3517" t="s">
        <v>3541</v>
      </c>
      <c r="F31" s="3513">
        <f>(B24-F38)*(O31/O39)</f>
        <v>36650.534930996204</v>
      </c>
      <c r="G31" s="3513">
        <f t="shared" si="2"/>
        <v>46005832.685427591</v>
      </c>
      <c r="H31" s="3468">
        <v>26540.22</v>
      </c>
      <c r="I31" s="3468"/>
      <c r="J31" s="3468"/>
      <c r="K31" s="3468">
        <v>26540.22</v>
      </c>
      <c r="L31" s="3468">
        <v>33314791.260000002</v>
      </c>
      <c r="M31" s="3646"/>
      <c r="N31" s="3472">
        <v>20236.68</v>
      </c>
      <c r="O31" s="3472">
        <v>20132.78</v>
      </c>
      <c r="P31" s="3492">
        <v>20236.68</v>
      </c>
      <c r="Q31" s="3493">
        <v>20713.53</v>
      </c>
      <c r="R31" s="3472">
        <v>67890952.939999998</v>
      </c>
      <c r="S31" s="3519" t="s">
        <v>3542</v>
      </c>
      <c r="T31" s="3474"/>
      <c r="U31" s="3475" t="s">
        <v>3543</v>
      </c>
    </row>
    <row r="32" spans="1:21" ht="12.75">
      <c r="A32" s="3629"/>
      <c r="B32" s="3630"/>
      <c r="C32" s="3629"/>
      <c r="D32" s="3491" t="s">
        <v>3544</v>
      </c>
      <c r="E32" s="3517" t="s">
        <v>3545</v>
      </c>
      <c r="F32" s="3513">
        <f>(B24-F38)*(O32/O39)</f>
        <v>36670.523371417366</v>
      </c>
      <c r="G32" s="3513">
        <f t="shared" si="2"/>
        <v>46030923.310909323</v>
      </c>
      <c r="H32" s="3468">
        <v>26540.22</v>
      </c>
      <c r="I32" s="3468"/>
      <c r="J32" s="3468"/>
      <c r="K32" s="3468">
        <v>26540.22</v>
      </c>
      <c r="L32" s="3468">
        <v>33314791.260000002</v>
      </c>
      <c r="M32" s="3646"/>
      <c r="N32" s="3472">
        <v>20236.68</v>
      </c>
      <c r="O32" s="3472">
        <v>20143.759999999998</v>
      </c>
      <c r="P32" s="3492">
        <v>20236.68</v>
      </c>
      <c r="Q32" s="3493">
        <v>19769.22</v>
      </c>
      <c r="R32" s="3472">
        <v>65531615.409999996</v>
      </c>
      <c r="S32" s="3636" t="s">
        <v>3546</v>
      </c>
      <c r="T32" s="3474"/>
      <c r="U32" s="3475" t="s">
        <v>3543</v>
      </c>
    </row>
    <row r="33" spans="1:21" ht="12.75">
      <c r="A33" s="3629"/>
      <c r="B33" s="3630"/>
      <c r="C33" s="3629"/>
      <c r="D33" s="3491" t="s">
        <v>3547</v>
      </c>
      <c r="E33" s="3517" t="s">
        <v>3548</v>
      </c>
      <c r="F33" s="3513">
        <f>(B24-F38)*(O33/O39)</f>
        <v>36642.361151625446</v>
      </c>
      <c r="G33" s="3513">
        <f t="shared" si="2"/>
        <v>45995572.493404567</v>
      </c>
      <c r="H33" s="3468">
        <v>26540.22</v>
      </c>
      <c r="I33" s="3468"/>
      <c r="J33" s="3468"/>
      <c r="K33" s="3468">
        <v>26540.22</v>
      </c>
      <c r="L33" s="3468">
        <v>33314791.260000002</v>
      </c>
      <c r="M33" s="3646"/>
      <c r="N33" s="3472">
        <v>20236.68</v>
      </c>
      <c r="O33" s="3472">
        <v>20128.29</v>
      </c>
      <c r="P33" s="3472">
        <v>20236.68</v>
      </c>
      <c r="Q33" s="3482">
        <v>20449.419999999998</v>
      </c>
      <c r="R33" s="3472">
        <v>67890952.939999998</v>
      </c>
      <c r="S33" s="3637"/>
      <c r="T33" s="3474"/>
      <c r="U33" s="3475" t="s">
        <v>3543</v>
      </c>
    </row>
    <row r="34" spans="1:21" ht="12.75">
      <c r="A34" s="3629"/>
      <c r="B34" s="3630"/>
      <c r="C34" s="3629"/>
      <c r="D34" s="3491" t="s">
        <v>3549</v>
      </c>
      <c r="E34" s="3517" t="s">
        <v>3550</v>
      </c>
      <c r="F34" s="3513">
        <f>(B24-F38)*(O34/O39)</f>
        <v>36629.67267897194</v>
      </c>
      <c r="G34" s="3513">
        <f t="shared" si="2"/>
        <v>45979645.202001318</v>
      </c>
      <c r="H34" s="3468">
        <v>26540.22</v>
      </c>
      <c r="I34" s="3468"/>
      <c r="J34" s="3468"/>
      <c r="K34" s="3468">
        <v>26540.22</v>
      </c>
      <c r="L34" s="3468">
        <v>33314791.260000002</v>
      </c>
      <c r="M34" s="3646"/>
      <c r="N34" s="3472">
        <v>20236.68</v>
      </c>
      <c r="O34" s="3472">
        <v>20121.32</v>
      </c>
      <c r="P34" s="3472">
        <v>20236.68</v>
      </c>
      <c r="Q34" s="3482">
        <v>20536.16</v>
      </c>
      <c r="R34" s="3472">
        <v>67890952.939999998</v>
      </c>
      <c r="S34" s="3638"/>
      <c r="T34" s="3474"/>
      <c r="U34" s="3475" t="s">
        <v>3543</v>
      </c>
    </row>
    <row r="35" spans="1:21" ht="12.75">
      <c r="A35" s="3629"/>
      <c r="B35" s="3630"/>
      <c r="C35" s="3629"/>
      <c r="D35" s="3483" t="s">
        <v>3551</v>
      </c>
      <c r="E35" s="3517" t="s">
        <v>3552</v>
      </c>
      <c r="F35" s="3513">
        <f>(B24-F38)*(O35/O39)</f>
        <v>117.96456641996556</v>
      </c>
      <c r="G35" s="3513">
        <f t="shared" si="2"/>
        <v>148075.8225151076</v>
      </c>
      <c r="H35" s="3468"/>
      <c r="I35" s="3468"/>
      <c r="J35" s="3468"/>
      <c r="K35" s="3468"/>
      <c r="L35" s="3468"/>
      <c r="M35" s="3646"/>
      <c r="N35" s="3472"/>
      <c r="O35" s="3472">
        <v>64.8</v>
      </c>
      <c r="P35" s="3520"/>
      <c r="Q35" s="3500"/>
      <c r="R35" s="3472"/>
      <c r="S35" s="3501"/>
      <c r="T35" s="3474"/>
      <c r="U35" s="3475"/>
    </row>
    <row r="36" spans="1:21" ht="12.75">
      <c r="A36" s="3629"/>
      <c r="B36" s="3630"/>
      <c r="C36" s="3629"/>
      <c r="D36" s="3483" t="s">
        <v>3551</v>
      </c>
      <c r="E36" s="3517" t="s">
        <v>3553</v>
      </c>
      <c r="F36" s="3513">
        <f>(B24-F38)*(O36/O39)</f>
        <v>591.64327293964209</v>
      </c>
      <c r="G36" s="3513">
        <f t="shared" si="2"/>
        <v>742664.23329336382</v>
      </c>
      <c r="H36" s="3468"/>
      <c r="I36" s="3468"/>
      <c r="J36" s="3468"/>
      <c r="K36" s="3468"/>
      <c r="L36" s="3468"/>
      <c r="M36" s="3646"/>
      <c r="N36" s="3472">
        <v>325</v>
      </c>
      <c r="O36" s="3472">
        <v>325</v>
      </c>
      <c r="P36" s="3472"/>
      <c r="Q36" s="3472"/>
      <c r="R36" s="3472"/>
      <c r="S36" s="3473"/>
      <c r="T36" s="3474"/>
      <c r="U36" s="3521" t="s">
        <v>3554</v>
      </c>
    </row>
    <row r="37" spans="1:21" ht="12.75">
      <c r="A37" s="3629"/>
      <c r="B37" s="3630"/>
      <c r="C37" s="3629"/>
      <c r="D37" s="3483" t="s">
        <v>3551</v>
      </c>
      <c r="E37" s="3466" t="s">
        <v>3555</v>
      </c>
      <c r="F37" s="3513">
        <f>(B24-F38)*(O37/O39)</f>
        <v>591.64327293964209</v>
      </c>
      <c r="G37" s="3513">
        <f t="shared" si="2"/>
        <v>742664.23329336382</v>
      </c>
      <c r="H37" s="3468"/>
      <c r="I37" s="3468"/>
      <c r="J37" s="3468"/>
      <c r="K37" s="3468"/>
      <c r="L37" s="3468"/>
      <c r="M37" s="3646"/>
      <c r="N37" s="3472">
        <v>325</v>
      </c>
      <c r="O37" s="3472">
        <v>325</v>
      </c>
      <c r="P37" s="3472"/>
      <c r="Q37" s="3472"/>
      <c r="R37" s="3472"/>
      <c r="S37" s="3473"/>
      <c r="T37" s="3474"/>
      <c r="U37" s="3521" t="s">
        <v>3554</v>
      </c>
    </row>
    <row r="38" spans="1:21" ht="12.75">
      <c r="A38" s="3629"/>
      <c r="B38" s="3630"/>
      <c r="C38" s="3629"/>
      <c r="D38" s="3491"/>
      <c r="E38" s="3466" t="s">
        <v>3556</v>
      </c>
      <c r="F38" s="3522">
        <v>35213</v>
      </c>
      <c r="G38" s="3522">
        <f t="shared" si="2"/>
        <v>44201357.20807413</v>
      </c>
      <c r="H38" s="3468"/>
      <c r="I38" s="3468">
        <v>35213</v>
      </c>
      <c r="J38" s="3468"/>
      <c r="K38" s="3468">
        <v>35213</v>
      </c>
      <c r="L38" s="3468">
        <v>44201357.210000001</v>
      </c>
      <c r="M38" s="3632"/>
      <c r="N38" s="3472"/>
      <c r="O38" s="3472"/>
      <c r="P38" s="3472"/>
      <c r="Q38" s="3472"/>
      <c r="R38" s="3472"/>
      <c r="S38" s="3473"/>
      <c r="T38" s="3489"/>
      <c r="U38" s="3475"/>
    </row>
    <row r="39" spans="1:21" ht="12.75">
      <c r="A39" s="3629"/>
      <c r="B39" s="3630"/>
      <c r="C39" s="3629"/>
      <c r="D39" s="3491"/>
      <c r="E39" s="3505" t="s">
        <v>3557</v>
      </c>
      <c r="F39" s="3523">
        <f>SUM(F24:F38)</f>
        <v>356119.31000000006</v>
      </c>
      <c r="G39" s="3523">
        <v>447021180.52999997</v>
      </c>
      <c r="H39" s="3507">
        <v>320906.30999999994</v>
      </c>
      <c r="I39" s="3507">
        <v>35213</v>
      </c>
      <c r="J39" s="3507">
        <v>0</v>
      </c>
      <c r="K39" s="3507">
        <v>356119.30999999994</v>
      </c>
      <c r="L39" s="3507">
        <v>447021180.52999997</v>
      </c>
      <c r="M39" s="3508"/>
      <c r="N39" s="3509">
        <v>176528.98</v>
      </c>
      <c r="O39" s="3509">
        <f>SUM(O24:O38)</f>
        <v>176279.45</v>
      </c>
      <c r="P39" s="3509">
        <f>SUM(P24:P38)</f>
        <v>176671.66999999998</v>
      </c>
      <c r="Q39" s="3509">
        <f>SUM(Q24:Q38)</f>
        <v>176622.61000000002</v>
      </c>
      <c r="R39" s="3509">
        <f>SUM(R24:R38)</f>
        <v>611001702.49000001</v>
      </c>
      <c r="S39" s="3510"/>
      <c r="T39" s="3511"/>
      <c r="U39" s="3512">
        <v>0</v>
      </c>
    </row>
    <row r="40" spans="1:21" ht="12.75">
      <c r="A40" s="3647" t="s">
        <v>3558</v>
      </c>
      <c r="B40" s="3650">
        <v>497445.96</v>
      </c>
      <c r="C40" s="3653" t="s">
        <v>3559</v>
      </c>
      <c r="D40" s="3491" t="s">
        <v>3560</v>
      </c>
      <c r="E40" s="3466" t="s">
        <v>3561</v>
      </c>
      <c r="F40" s="3524">
        <v>15991.62</v>
      </c>
      <c r="G40" s="3524">
        <v>22791971.109999999</v>
      </c>
      <c r="H40" s="3468">
        <v>15991.62</v>
      </c>
      <c r="I40" s="3468"/>
      <c r="J40" s="3468"/>
      <c r="K40" s="3468">
        <v>15991.62</v>
      </c>
      <c r="L40" s="3468">
        <v>22791971.109999999</v>
      </c>
      <c r="M40" s="3631" t="s">
        <v>3562</v>
      </c>
      <c r="N40" s="3472">
        <v>10789.11</v>
      </c>
      <c r="O40" s="3472">
        <v>10789.11</v>
      </c>
      <c r="P40" s="3472"/>
      <c r="Q40" s="3472"/>
      <c r="R40" s="3472">
        <v>42257100</v>
      </c>
      <c r="S40" s="3525"/>
      <c r="T40" s="3511"/>
      <c r="U40" s="3512" t="s">
        <v>3563</v>
      </c>
    </row>
    <row r="41" spans="1:21" ht="12.75">
      <c r="A41" s="3648"/>
      <c r="B41" s="3651"/>
      <c r="C41" s="3654"/>
      <c r="D41" s="3491" t="s">
        <v>3564</v>
      </c>
      <c r="E41" s="3466" t="s">
        <v>3565</v>
      </c>
      <c r="F41" s="3513">
        <f>($B$40-$F$40-$F$51)*O41/($O$52-$O$40-$O$51)</f>
        <v>18057.864081534692</v>
      </c>
      <c r="G41" s="3513">
        <f>F41/($F$52-$F$40)*($G$52-$G$40)</f>
        <v>22667256.424730625</v>
      </c>
      <c r="H41" s="3468">
        <v>36536.090000000004</v>
      </c>
      <c r="I41" s="3468"/>
      <c r="J41" s="3468"/>
      <c r="K41" s="3468">
        <v>36536.090000000004</v>
      </c>
      <c r="L41" s="3468">
        <v>45862174.899999999</v>
      </c>
      <c r="M41" s="3646"/>
      <c r="N41" s="3472">
        <v>11443.27</v>
      </c>
      <c r="O41" s="3472">
        <v>11443.27</v>
      </c>
      <c r="P41" s="3472">
        <v>14621</v>
      </c>
      <c r="Q41" s="3482">
        <v>5000</v>
      </c>
      <c r="R41" s="3472">
        <v>90934418.430000007</v>
      </c>
      <c r="S41" s="3636" t="s">
        <v>3566</v>
      </c>
      <c r="T41" s="3635" t="s">
        <v>3562</v>
      </c>
      <c r="U41" s="3475"/>
    </row>
    <row r="42" spans="1:21" ht="12.75">
      <c r="A42" s="3648"/>
      <c r="B42" s="3651"/>
      <c r="C42" s="3654"/>
      <c r="D42" s="3491" t="s">
        <v>3567</v>
      </c>
      <c r="E42" s="3466" t="s">
        <v>3568</v>
      </c>
      <c r="F42" s="3513">
        <f t="shared" ref="F42:F49" si="3">($B$40-$F$40-$F$51)*O42/($O$52-$O$40-$O$51)</f>
        <v>15053.398648074121</v>
      </c>
      <c r="G42" s="3513">
        <f t="shared" ref="G42:G48" si="4">F42/($F$52-$F$40)*($G$52-$G$40)</f>
        <v>18895880.801789157</v>
      </c>
      <c r="H42" s="3468">
        <v>20258.38</v>
      </c>
      <c r="I42" s="3468"/>
      <c r="J42" s="3468"/>
      <c r="K42" s="3468">
        <v>20258.38</v>
      </c>
      <c r="L42" s="3468">
        <v>25429468.960000001</v>
      </c>
      <c r="M42" s="3646"/>
      <c r="N42" s="3472">
        <v>9539.34</v>
      </c>
      <c r="O42" s="3472">
        <v>9539.34</v>
      </c>
      <c r="P42" s="3472">
        <v>10826</v>
      </c>
      <c r="Q42" s="3482">
        <v>9520</v>
      </c>
      <c r="R42" s="3472">
        <v>73058382.480000004</v>
      </c>
      <c r="S42" s="3637"/>
      <c r="T42" s="3639"/>
      <c r="U42" s="3475"/>
    </row>
    <row r="43" spans="1:21" ht="12.75">
      <c r="A43" s="3648"/>
      <c r="B43" s="3651"/>
      <c r="C43" s="3654"/>
      <c r="D43" s="3491" t="s">
        <v>3569</v>
      </c>
      <c r="E43" s="3466" t="s">
        <v>3570</v>
      </c>
      <c r="F43" s="3513">
        <f t="shared" si="3"/>
        <v>27350.067351071684</v>
      </c>
      <c r="G43" s="3513">
        <f t="shared" si="4"/>
        <v>34331357.633505173</v>
      </c>
      <c r="H43" s="3468">
        <v>35538.04</v>
      </c>
      <c r="I43" s="3468"/>
      <c r="J43" s="3468"/>
      <c r="K43" s="3468">
        <v>35538.04</v>
      </c>
      <c r="L43" s="3468">
        <v>44609365.859999999</v>
      </c>
      <c r="M43" s="3646"/>
      <c r="N43" s="3472">
        <v>17331.740000000002</v>
      </c>
      <c r="O43" s="3472">
        <v>17331.740000000002</v>
      </c>
      <c r="P43" s="3472">
        <v>17204</v>
      </c>
      <c r="Q43" s="3482">
        <v>19503</v>
      </c>
      <c r="R43" s="3472">
        <v>118507670.43000001</v>
      </c>
      <c r="S43" s="3637"/>
      <c r="T43" s="3639"/>
      <c r="U43" s="3475"/>
    </row>
    <row r="44" spans="1:21" ht="12.75">
      <c r="A44" s="3648"/>
      <c r="B44" s="3651"/>
      <c r="C44" s="3654"/>
      <c r="D44" s="3491" t="s">
        <v>3571</v>
      </c>
      <c r="E44" s="3466" t="s">
        <v>3572</v>
      </c>
      <c r="F44" s="3513">
        <f t="shared" si="3"/>
        <v>27350.067351071684</v>
      </c>
      <c r="G44" s="3513">
        <f t="shared" si="4"/>
        <v>34331357.633505173</v>
      </c>
      <c r="H44" s="3468">
        <v>36633.86</v>
      </c>
      <c r="I44" s="3468"/>
      <c r="J44" s="3468"/>
      <c r="K44" s="3468">
        <v>36633.86</v>
      </c>
      <c r="L44" s="3468">
        <v>45984901.350000001</v>
      </c>
      <c r="M44" s="3646"/>
      <c r="N44" s="3472">
        <v>17331.740000000002</v>
      </c>
      <c r="O44" s="3472">
        <v>17331.740000000002</v>
      </c>
      <c r="P44" s="3472">
        <v>17197</v>
      </c>
      <c r="Q44" s="3482">
        <v>18551</v>
      </c>
      <c r="R44" s="3472">
        <v>113224282.16</v>
      </c>
      <c r="S44" s="3638"/>
      <c r="T44" s="3634"/>
      <c r="U44" s="3475"/>
    </row>
    <row r="45" spans="1:21" ht="12.75">
      <c r="A45" s="3648"/>
      <c r="B45" s="3651"/>
      <c r="C45" s="3654"/>
      <c r="D45" s="3491" t="s">
        <v>3573</v>
      </c>
      <c r="E45" s="3466" t="s">
        <v>3574</v>
      </c>
      <c r="F45" s="3513">
        <f t="shared" si="3"/>
        <v>5476.7863902483778</v>
      </c>
      <c r="G45" s="3513">
        <f t="shared" si="4"/>
        <v>6874773.2805331927</v>
      </c>
      <c r="H45" s="3468">
        <v>7267.1</v>
      </c>
      <c r="I45" s="3468"/>
      <c r="J45" s="3468"/>
      <c r="K45" s="3468">
        <v>7267.1</v>
      </c>
      <c r="L45" s="3468">
        <v>9122076.5899999999</v>
      </c>
      <c r="M45" s="3646"/>
      <c r="N45" s="3472">
        <v>3470.64</v>
      </c>
      <c r="O45" s="3472">
        <v>3470.64</v>
      </c>
      <c r="P45" s="3520"/>
      <c r="Q45" s="3498"/>
      <c r="R45" s="3472">
        <v>21539099.149999999</v>
      </c>
      <c r="S45" s="3473"/>
      <c r="T45" s="3489"/>
      <c r="U45" s="3475" t="s">
        <v>3575</v>
      </c>
    </row>
    <row r="46" spans="1:21" s="3527" customFormat="1" ht="24">
      <c r="A46" s="3648"/>
      <c r="B46" s="3651"/>
      <c r="C46" s="3654"/>
      <c r="D46" s="3483" t="s">
        <v>3551</v>
      </c>
      <c r="E46" s="3466" t="s">
        <v>3576</v>
      </c>
      <c r="F46" s="3513">
        <f t="shared" si="3"/>
        <v>1729.2407343204645</v>
      </c>
      <c r="G46" s="3513">
        <f t="shared" si="4"/>
        <v>2170641.1659733891</v>
      </c>
      <c r="H46" s="3468">
        <v>1095.82</v>
      </c>
      <c r="I46" s="3526"/>
      <c r="J46" s="3468"/>
      <c r="K46" s="3468">
        <v>1095.82</v>
      </c>
      <c r="L46" s="3468">
        <v>1375535.49</v>
      </c>
      <c r="M46" s="3646"/>
      <c r="N46" s="3472">
        <v>1095.82</v>
      </c>
      <c r="O46" s="3472">
        <v>1095.82</v>
      </c>
      <c r="P46" s="3472"/>
      <c r="Q46" s="3472"/>
      <c r="R46" s="3472"/>
      <c r="S46" s="3473" t="s">
        <v>3577</v>
      </c>
      <c r="T46" s="3474" t="s">
        <v>3562</v>
      </c>
      <c r="U46" s="3521" t="s">
        <v>3578</v>
      </c>
    </row>
    <row r="47" spans="1:21" s="3527" customFormat="1" ht="12.75">
      <c r="A47" s="3648"/>
      <c r="B47" s="3651"/>
      <c r="C47" s="3654"/>
      <c r="D47" s="3483" t="s">
        <v>3551</v>
      </c>
      <c r="E47" s="3466" t="s">
        <v>3579</v>
      </c>
      <c r="F47" s="3513">
        <f t="shared" si="3"/>
        <v>7872.4149160822199</v>
      </c>
      <c r="G47" s="3513">
        <f t="shared" si="4"/>
        <v>9881902.2437533047</v>
      </c>
      <c r="H47" s="3468">
        <v>3622.89</v>
      </c>
      <c r="I47" s="3526"/>
      <c r="J47" s="3468"/>
      <c r="K47" s="3468">
        <v>3622.89</v>
      </c>
      <c r="L47" s="3468">
        <v>4547657.26</v>
      </c>
      <c r="M47" s="3646"/>
      <c r="N47" s="3472"/>
      <c r="O47" s="3472">
        <v>4988.75</v>
      </c>
      <c r="P47" s="3472"/>
      <c r="Q47" s="3472"/>
      <c r="R47" s="3472">
        <v>5850000</v>
      </c>
      <c r="S47" s="3657" t="s">
        <v>3580</v>
      </c>
      <c r="T47" s="3659" t="s">
        <v>3562</v>
      </c>
      <c r="U47" s="3466"/>
    </row>
    <row r="48" spans="1:21" s="3527" customFormat="1" ht="12.75">
      <c r="A48" s="3648"/>
      <c r="B48" s="3651"/>
      <c r="C48" s="3654"/>
      <c r="D48" s="3483" t="s">
        <v>3551</v>
      </c>
      <c r="E48" s="3466" t="s">
        <v>3581</v>
      </c>
      <c r="F48" s="3513">
        <f t="shared" si="3"/>
        <v>1403.3925847796345</v>
      </c>
      <c r="G48" s="3513">
        <f t="shared" si="4"/>
        <v>1761618.065133977</v>
      </c>
      <c r="H48" s="3468">
        <v>1832.76</v>
      </c>
      <c r="I48" s="3526"/>
      <c r="J48" s="3468"/>
      <c r="K48" s="3468">
        <v>1832.76</v>
      </c>
      <c r="L48" s="3468">
        <v>2300584.4300000002</v>
      </c>
      <c r="M48" s="3646"/>
      <c r="N48" s="3472"/>
      <c r="O48" s="3472">
        <v>889.33</v>
      </c>
      <c r="P48" s="3472"/>
      <c r="Q48" s="3472"/>
      <c r="R48" s="3484"/>
      <c r="S48" s="3658"/>
      <c r="T48" s="3660"/>
      <c r="U48" s="3521" t="s">
        <v>3578</v>
      </c>
    </row>
    <row r="49" spans="1:21" s="3527" customFormat="1" ht="24">
      <c r="A49" s="3648"/>
      <c r="B49" s="3651"/>
      <c r="C49" s="3654"/>
      <c r="D49" s="3483" t="s">
        <v>3582</v>
      </c>
      <c r="E49" s="3517" t="s">
        <v>3583</v>
      </c>
      <c r="F49" s="3513">
        <f t="shared" si="3"/>
        <v>61272.107942817071</v>
      </c>
      <c r="G49" s="3513">
        <f>F49/($F$52-$F$40)*($G$52-$G$40)</f>
        <v>76912229.273218229</v>
      </c>
      <c r="H49" s="3528">
        <v>32400</v>
      </c>
      <c r="I49" s="3528"/>
      <c r="J49" s="3528"/>
      <c r="K49" s="3528">
        <v>32400</v>
      </c>
      <c r="L49" s="3528">
        <v>40670319.859999999</v>
      </c>
      <c r="M49" s="3646"/>
      <c r="N49" s="3472">
        <v>49731.45</v>
      </c>
      <c r="O49" s="3472">
        <v>38828.14</v>
      </c>
      <c r="P49" s="3472">
        <v>37375.370000000003</v>
      </c>
      <c r="Q49" s="3472">
        <v>36596.78</v>
      </c>
      <c r="R49" s="3529">
        <f>199404864.13+14136984.16</f>
        <v>213541848.28999999</v>
      </c>
      <c r="S49" s="3473" t="s">
        <v>3584</v>
      </c>
      <c r="T49" s="3474" t="s">
        <v>3562</v>
      </c>
      <c r="U49" s="3521" t="s">
        <v>3585</v>
      </c>
    </row>
    <row r="50" spans="1:21" s="3527" customFormat="1" ht="12.75">
      <c r="A50" s="3648"/>
      <c r="B50" s="3651"/>
      <c r="C50" s="3654"/>
      <c r="D50" s="3483" t="s">
        <v>3586</v>
      </c>
      <c r="E50" s="3517" t="s">
        <v>3587</v>
      </c>
      <c r="F50" s="3530">
        <f>B40*(O50/O52)</f>
        <v>0</v>
      </c>
      <c r="G50" s="3513">
        <f>F50/($F$52-$F$40)*($G$52-$G$40)</f>
        <v>0</v>
      </c>
      <c r="H50" s="3528"/>
      <c r="I50" s="3528"/>
      <c r="J50" s="3528"/>
      <c r="K50" s="3528"/>
      <c r="L50" s="3528"/>
      <c r="M50" s="3646"/>
      <c r="N50" s="3472"/>
      <c r="O50" s="3472"/>
      <c r="P50" s="3472"/>
      <c r="Q50" s="3472"/>
      <c r="R50" s="3472"/>
      <c r="S50" s="3473"/>
      <c r="T50" s="3474"/>
      <c r="U50" s="3521"/>
    </row>
    <row r="51" spans="1:21" s="3527" customFormat="1" ht="12.75">
      <c r="A51" s="3648"/>
      <c r="B51" s="3651"/>
      <c r="C51" s="3654"/>
      <c r="D51" s="3483"/>
      <c r="E51" s="3517" t="s">
        <v>3588</v>
      </c>
      <c r="F51" s="3522">
        <v>315889</v>
      </c>
      <c r="G51" s="3522">
        <f>F51/($F$52-$F$40)*($G$52-$G$40)</f>
        <v>396521810.79785782</v>
      </c>
      <c r="H51" s="3528"/>
      <c r="I51" s="3528">
        <v>306269.40000000002</v>
      </c>
      <c r="J51" s="3528"/>
      <c r="K51" s="3528">
        <v>306269.40000000002</v>
      </c>
      <c r="L51" s="3528">
        <v>384446742.62</v>
      </c>
      <c r="M51" s="3632"/>
      <c r="N51" s="3472"/>
      <c r="O51" s="3472">
        <v>132950.6</v>
      </c>
      <c r="P51" s="3472"/>
      <c r="Q51" s="3472"/>
      <c r="R51" s="3472"/>
      <c r="S51" s="3473"/>
      <c r="T51" s="3489"/>
      <c r="U51" s="3521"/>
    </row>
    <row r="52" spans="1:21" ht="12.75">
      <c r="A52" s="3649"/>
      <c r="B52" s="3652"/>
      <c r="C52" s="3655"/>
      <c r="D52" s="3491"/>
      <c r="E52" s="3531" t="s">
        <v>3557</v>
      </c>
      <c r="F52" s="3532">
        <f>SUM(F40:F51)</f>
        <v>497445.95999999996</v>
      </c>
      <c r="G52" s="3532">
        <v>627140798.43000007</v>
      </c>
      <c r="H52" s="3533">
        <v>191176.56000000003</v>
      </c>
      <c r="I52" s="3533">
        <v>306269.40000000002</v>
      </c>
      <c r="J52" s="3533">
        <v>0</v>
      </c>
      <c r="K52" s="3533">
        <v>497445.96000000008</v>
      </c>
      <c r="L52" s="3533">
        <v>627140798.43000007</v>
      </c>
      <c r="M52" s="3534">
        <v>0</v>
      </c>
      <c r="N52" s="3509">
        <f>SUM(N40:N51)</f>
        <v>120733.11000000002</v>
      </c>
      <c r="O52" s="3509">
        <f>SUM(O40:O51)</f>
        <v>248658.48000000004</v>
      </c>
      <c r="P52" s="3509">
        <f>SUM(P40:P51)</f>
        <v>97223.37</v>
      </c>
      <c r="Q52" s="3509">
        <f>SUM(Q40:Q51)</f>
        <v>89170.78</v>
      </c>
      <c r="R52" s="3509">
        <f>SUM(R40:R51)</f>
        <v>678912800.93999994</v>
      </c>
      <c r="S52" s="3510"/>
      <c r="T52" s="3511"/>
      <c r="U52" s="3512">
        <v>0</v>
      </c>
    </row>
    <row r="53" spans="1:21" ht="12.75">
      <c r="A53" s="3642" t="s">
        <v>3589</v>
      </c>
      <c r="B53" s="3630">
        <v>167318.6</v>
      </c>
      <c r="C53" s="3629" t="s">
        <v>3590</v>
      </c>
      <c r="D53" s="3491" t="s">
        <v>3591</v>
      </c>
      <c r="E53" s="3466" t="s">
        <v>3592</v>
      </c>
      <c r="F53" s="3513">
        <f>B53*(O53/O60)</f>
        <v>29050.047222265544</v>
      </c>
      <c r="G53" s="3513">
        <f t="shared" ref="G53:G59" si="5">F53/$F$60*$G$60</f>
        <v>36465268.901726536</v>
      </c>
      <c r="H53" s="3468">
        <v>38023.910000000003</v>
      </c>
      <c r="I53" s="3468"/>
      <c r="J53" s="3468"/>
      <c r="K53" s="3468">
        <v>38023.910000000003</v>
      </c>
      <c r="L53" s="3468">
        <v>47729771.049999997</v>
      </c>
      <c r="M53" s="3643" t="s">
        <v>3593</v>
      </c>
      <c r="N53" s="3472">
        <v>21151.99</v>
      </c>
      <c r="O53" s="3472">
        <v>21151.99</v>
      </c>
      <c r="P53" s="3472">
        <v>19965.59</v>
      </c>
      <c r="Q53" s="3482">
        <v>20741.91</v>
      </c>
      <c r="R53" s="3472">
        <v>47130940.25</v>
      </c>
      <c r="S53" s="3636" t="s">
        <v>3594</v>
      </c>
      <c r="T53" s="3635" t="s">
        <v>3595</v>
      </c>
      <c r="U53" s="3475"/>
    </row>
    <row r="54" spans="1:21" ht="12.75">
      <c r="A54" s="3629"/>
      <c r="B54" s="3630"/>
      <c r="C54" s="3629"/>
      <c r="D54" s="3491" t="s">
        <v>3596</v>
      </c>
      <c r="E54" s="3466" t="s">
        <v>3597</v>
      </c>
      <c r="F54" s="3513">
        <f>B53*(O54/O60)</f>
        <v>27420.650838072102</v>
      </c>
      <c r="G54" s="3513">
        <f t="shared" si="5"/>
        <v>34419958.033812538</v>
      </c>
      <c r="H54" s="3468">
        <v>40375.760000000002</v>
      </c>
      <c r="I54" s="3468"/>
      <c r="J54" s="3468"/>
      <c r="K54" s="3468">
        <v>40375.760000000002</v>
      </c>
      <c r="L54" s="3468">
        <v>50681946.719999999</v>
      </c>
      <c r="M54" s="3644"/>
      <c r="N54" s="3472">
        <v>19965.59</v>
      </c>
      <c r="O54" s="3472">
        <v>19965.59</v>
      </c>
      <c r="P54" s="3472">
        <v>21151.99</v>
      </c>
      <c r="Q54" s="3482">
        <v>21758.3</v>
      </c>
      <c r="R54" s="3472">
        <v>47487468.450000003</v>
      </c>
      <c r="S54" s="3638"/>
      <c r="T54" s="3634"/>
      <c r="U54" s="3475"/>
    </row>
    <row r="55" spans="1:21" ht="12.75">
      <c r="A55" s="3629"/>
      <c r="B55" s="3630"/>
      <c r="C55" s="3629"/>
      <c r="D55" s="3491" t="s">
        <v>3598</v>
      </c>
      <c r="E55" s="3466" t="s">
        <v>3599</v>
      </c>
      <c r="F55" s="3513">
        <f>B53*(O55/O60)</f>
        <v>27646.670530373784</v>
      </c>
      <c r="G55" s="3513">
        <f t="shared" si="5"/>
        <v>34703670.786284387</v>
      </c>
      <c r="H55" s="3468">
        <v>22250.93</v>
      </c>
      <c r="I55" s="3468"/>
      <c r="J55" s="3468"/>
      <c r="K55" s="3468">
        <v>22250.93</v>
      </c>
      <c r="L55" s="3468">
        <v>27930630.870000001</v>
      </c>
      <c r="M55" s="3644"/>
      <c r="N55" s="3472">
        <v>20130.16</v>
      </c>
      <c r="O55" s="3472">
        <v>20130.16</v>
      </c>
      <c r="P55" s="3472">
        <v>20130.16</v>
      </c>
      <c r="Q55" s="3482">
        <v>20895.66</v>
      </c>
      <c r="R55" s="3472">
        <v>63043481.149999999</v>
      </c>
      <c r="S55" s="3636" t="s">
        <v>3600</v>
      </c>
      <c r="T55" s="3635" t="s">
        <v>3595</v>
      </c>
      <c r="U55" s="3475"/>
    </row>
    <row r="56" spans="1:21" ht="12.75">
      <c r="A56" s="3629"/>
      <c r="B56" s="3630"/>
      <c r="C56" s="3629"/>
      <c r="D56" s="3491" t="s">
        <v>3601</v>
      </c>
      <c r="E56" s="3466" t="s">
        <v>3602</v>
      </c>
      <c r="F56" s="3513">
        <f>B53*(O56/O60)</f>
        <v>41067.106500831251</v>
      </c>
      <c r="G56" s="3513">
        <f t="shared" si="5"/>
        <v>51549764.105748862</v>
      </c>
      <c r="H56" s="3468">
        <v>33334</v>
      </c>
      <c r="I56" s="3468"/>
      <c r="J56" s="3468"/>
      <c r="K56" s="3468">
        <v>33334</v>
      </c>
      <c r="L56" s="3468">
        <v>41842729.700000003</v>
      </c>
      <c r="M56" s="3644"/>
      <c r="N56" s="3472">
        <v>29901.88</v>
      </c>
      <c r="O56" s="3472">
        <v>29901.88</v>
      </c>
      <c r="P56" s="3472">
        <v>29901.88</v>
      </c>
      <c r="Q56" s="3482">
        <v>30846.61</v>
      </c>
      <c r="R56" s="3472">
        <v>90688536.069999993</v>
      </c>
      <c r="S56" s="3637"/>
      <c r="T56" s="3639"/>
      <c r="U56" s="3475"/>
    </row>
    <row r="57" spans="1:21" ht="12.75">
      <c r="A57" s="3629"/>
      <c r="B57" s="3630"/>
      <c r="C57" s="3629"/>
      <c r="D57" s="3491" t="s">
        <v>3603</v>
      </c>
      <c r="E57" s="3466" t="s">
        <v>3604</v>
      </c>
      <c r="F57" s="3513">
        <f>B53*(O57/O60)</f>
        <v>41067.106500831251</v>
      </c>
      <c r="G57" s="3513">
        <f t="shared" si="5"/>
        <v>51549764.105748862</v>
      </c>
      <c r="H57" s="3468">
        <v>33334</v>
      </c>
      <c r="I57" s="3468"/>
      <c r="J57" s="3468"/>
      <c r="K57" s="3468">
        <v>33334</v>
      </c>
      <c r="L57" s="3468">
        <v>41842729.700000003</v>
      </c>
      <c r="M57" s="3644"/>
      <c r="N57" s="3472">
        <v>29901.88</v>
      </c>
      <c r="O57" s="3472">
        <v>29901.88</v>
      </c>
      <c r="P57" s="3472">
        <v>29901.88</v>
      </c>
      <c r="Q57" s="3482">
        <v>31062.61</v>
      </c>
      <c r="R57" s="3472">
        <v>97388846.799999997</v>
      </c>
      <c r="S57" s="3637"/>
      <c r="T57" s="3639"/>
      <c r="U57" s="3475"/>
    </row>
    <row r="58" spans="1:21" ht="12.75">
      <c r="A58" s="3629"/>
      <c r="B58" s="3630"/>
      <c r="C58" s="3629"/>
      <c r="D58" s="3483" t="s">
        <v>3605</v>
      </c>
      <c r="E58" s="3466" t="s">
        <v>3606</v>
      </c>
      <c r="F58" s="3513">
        <f>B53*(O58/O60)</f>
        <v>1040.1822601655672</v>
      </c>
      <c r="G58" s="3513">
        <f t="shared" si="5"/>
        <v>1305695.8404759855</v>
      </c>
      <c r="H58" s="3468"/>
      <c r="I58" s="3468"/>
      <c r="J58" s="3468"/>
      <c r="K58" s="3468"/>
      <c r="L58" s="3468"/>
      <c r="M58" s="3644"/>
      <c r="N58" s="3472">
        <v>757.38</v>
      </c>
      <c r="O58" s="3472">
        <v>757.38</v>
      </c>
      <c r="P58" s="3472"/>
      <c r="Q58" s="3472"/>
      <c r="R58" s="3472"/>
      <c r="S58" s="3637"/>
      <c r="T58" s="3639"/>
      <c r="U58" s="3475" t="s">
        <v>3607</v>
      </c>
    </row>
    <row r="59" spans="1:21" ht="12.75">
      <c r="A59" s="3629"/>
      <c r="B59" s="3630"/>
      <c r="C59" s="3629"/>
      <c r="D59" s="3483" t="s">
        <v>3605</v>
      </c>
      <c r="E59" s="3466" t="s">
        <v>3608</v>
      </c>
      <c r="F59" s="3513">
        <f>B53*(O59/O60)</f>
        <v>26.836147460502236</v>
      </c>
      <c r="G59" s="3513">
        <f t="shared" si="5"/>
        <v>33686.256202831813</v>
      </c>
      <c r="H59" s="3468"/>
      <c r="I59" s="3468"/>
      <c r="J59" s="3468"/>
      <c r="K59" s="3468"/>
      <c r="L59" s="3468"/>
      <c r="M59" s="3645"/>
      <c r="N59" s="3472">
        <v>19.54</v>
      </c>
      <c r="O59" s="3472">
        <v>19.54</v>
      </c>
      <c r="P59" s="3472"/>
      <c r="Q59" s="3472"/>
      <c r="R59" s="3472"/>
      <c r="S59" s="3638"/>
      <c r="T59" s="3634"/>
      <c r="U59" s="3475" t="s">
        <v>3607</v>
      </c>
    </row>
    <row r="60" spans="1:21" ht="12.75">
      <c r="A60" s="3629"/>
      <c r="B60" s="3630"/>
      <c r="C60" s="3629"/>
      <c r="D60" s="3491"/>
      <c r="E60" s="3505" t="s">
        <v>3557</v>
      </c>
      <c r="F60" s="3535">
        <f>SUM(F53:F59)</f>
        <v>167318.6</v>
      </c>
      <c r="G60" s="3535">
        <v>210027808.03</v>
      </c>
      <c r="H60" s="3507">
        <v>167318.6</v>
      </c>
      <c r="I60" s="3507">
        <v>0</v>
      </c>
      <c r="J60" s="3507">
        <v>0</v>
      </c>
      <c r="K60" s="3507">
        <v>167318.6</v>
      </c>
      <c r="L60" s="3507">
        <v>210027808.04000002</v>
      </c>
      <c r="M60" s="3508"/>
      <c r="N60" s="3509">
        <v>121828.42000000001</v>
      </c>
      <c r="O60" s="3509">
        <v>121828.42000000001</v>
      </c>
      <c r="P60" s="3509">
        <f>SUM(P53:P59)</f>
        <v>121051.50000000001</v>
      </c>
      <c r="Q60" s="3509">
        <f>SUM(Q53:Q59)</f>
        <v>125305.09</v>
      </c>
      <c r="R60" s="3509">
        <f>SUM(R53:R59)</f>
        <v>345739272.71999997</v>
      </c>
      <c r="S60" s="3510"/>
      <c r="T60" s="3511"/>
      <c r="U60" s="3512">
        <v>0</v>
      </c>
    </row>
    <row r="61" spans="1:21" ht="12.75">
      <c r="A61" s="3628" t="s">
        <v>3609</v>
      </c>
      <c r="B61" s="3630">
        <v>41555.199999999997</v>
      </c>
      <c r="C61" s="3629" t="s">
        <v>3610</v>
      </c>
      <c r="D61" s="3491" t="s">
        <v>3611</v>
      </c>
      <c r="E61" s="3466" t="s">
        <v>3612</v>
      </c>
      <c r="F61" s="3513">
        <f>B61*(O61/O63)</f>
        <v>20269.917521278432</v>
      </c>
      <c r="G61" s="3513">
        <f>F61/F63*G63</f>
        <v>38751447.338434659</v>
      </c>
      <c r="H61" s="3468">
        <v>20777.599999999999</v>
      </c>
      <c r="I61" s="3468"/>
      <c r="J61" s="3468"/>
      <c r="K61" s="3468">
        <v>20777.599999999999</v>
      </c>
      <c r="L61" s="3468">
        <v>39722020.149999999</v>
      </c>
      <c r="M61" s="3631" t="s">
        <v>3613</v>
      </c>
      <c r="N61" s="3472">
        <v>64780</v>
      </c>
      <c r="O61" s="3472">
        <v>56485.43</v>
      </c>
      <c r="P61" s="3633">
        <v>48107</v>
      </c>
      <c r="Q61" s="3633">
        <v>38601.269999999997</v>
      </c>
      <c r="R61" s="3472">
        <v>363902088.52999997</v>
      </c>
      <c r="S61" s="3636" t="s">
        <v>3614</v>
      </c>
      <c r="T61" s="3640" t="s">
        <v>3613</v>
      </c>
      <c r="U61" s="3475" t="s">
        <v>3615</v>
      </c>
    </row>
    <row r="62" spans="1:21" ht="12.75">
      <c r="A62" s="3629"/>
      <c r="B62" s="3630"/>
      <c r="C62" s="3629"/>
      <c r="D62" s="3491" t="s">
        <v>3616</v>
      </c>
      <c r="E62" s="3466" t="s">
        <v>3617</v>
      </c>
      <c r="F62" s="3513">
        <f>B61*(O62/O63)</f>
        <v>21285.282478721565</v>
      </c>
      <c r="G62" s="3513">
        <f>F62/F63*G63</f>
        <v>40692592.961565338</v>
      </c>
      <c r="H62" s="3468">
        <v>20777.599999999999</v>
      </c>
      <c r="I62" s="3468"/>
      <c r="J62" s="3468"/>
      <c r="K62" s="3468">
        <v>20777.599999999999</v>
      </c>
      <c r="L62" s="3468">
        <v>39722020.149999999</v>
      </c>
      <c r="M62" s="3632"/>
      <c r="N62" s="3472">
        <v>56720</v>
      </c>
      <c r="O62" s="3472">
        <v>59314.91</v>
      </c>
      <c r="P62" s="3634"/>
      <c r="Q62" s="3634"/>
      <c r="R62" s="3472">
        <v>433597466.81999999</v>
      </c>
      <c r="S62" s="3638"/>
      <c r="T62" s="3641"/>
      <c r="U62" s="3475" t="s">
        <v>3618</v>
      </c>
    </row>
    <row r="63" spans="1:21" ht="12.75">
      <c r="A63" s="3629"/>
      <c r="B63" s="3630"/>
      <c r="C63" s="3629"/>
      <c r="D63" s="3491"/>
      <c r="E63" s="3505" t="s">
        <v>3513</v>
      </c>
      <c r="F63" s="3535">
        <f>SUM(F61:F62)</f>
        <v>41555.199999999997</v>
      </c>
      <c r="G63" s="3535">
        <v>79444040.299999997</v>
      </c>
      <c r="H63" s="3507">
        <v>41555.199999999997</v>
      </c>
      <c r="I63" s="3507">
        <v>0</v>
      </c>
      <c r="J63" s="3507">
        <v>0</v>
      </c>
      <c r="K63" s="3507">
        <v>41555.199999999997</v>
      </c>
      <c r="L63" s="3507">
        <v>79444040.299999997</v>
      </c>
      <c r="M63" s="3508"/>
      <c r="N63" s="3509">
        <v>121500</v>
      </c>
      <c r="O63" s="3509">
        <v>115800.34</v>
      </c>
      <c r="P63" s="3509">
        <f>SUM(P61)</f>
        <v>48107</v>
      </c>
      <c r="Q63" s="3509">
        <f>SUM(Q61)</f>
        <v>38601.269999999997</v>
      </c>
      <c r="R63" s="3509">
        <f>SUM(R61:R62)</f>
        <v>797499555.3499999</v>
      </c>
      <c r="S63" s="3510"/>
      <c r="T63" s="3511"/>
      <c r="U63" s="3512">
        <v>0</v>
      </c>
    </row>
    <row r="64" spans="1:21" ht="12.75">
      <c r="A64" s="3536" t="s">
        <v>3619</v>
      </c>
      <c r="B64" s="3537">
        <v>2118624.4700000002</v>
      </c>
      <c r="C64" s="3536"/>
      <c r="D64" s="3538"/>
      <c r="E64" s="3536"/>
      <c r="F64" s="3537">
        <f>F23+F39+F52+F60+F63</f>
        <v>2118624.4700000002</v>
      </c>
      <c r="G64" s="3537">
        <f>G23+G39+G52+G60+G63</f>
        <v>1888790850.8199999</v>
      </c>
      <c r="H64" s="3539">
        <v>1182035.3199999998</v>
      </c>
      <c r="I64" s="3539">
        <v>623393.9</v>
      </c>
      <c r="J64" s="3539">
        <v>313195.25</v>
      </c>
      <c r="K64" s="3539">
        <v>2118624.4699999997</v>
      </c>
      <c r="L64" s="3539">
        <v>1888790850.8300002</v>
      </c>
      <c r="M64" s="3540"/>
      <c r="N64" s="3539">
        <v>675159.13</v>
      </c>
      <c r="O64" s="3539">
        <f>O23+O39+O52+O60+O63-O19-O6</f>
        <v>847708.77</v>
      </c>
      <c r="P64" s="3539">
        <f t="shared" ref="P64:Q64" si="6">P23+P39+P52+P60+P63-P19-P6</f>
        <v>576252.04</v>
      </c>
      <c r="Q64" s="3539">
        <f t="shared" si="6"/>
        <v>564898.87000000011</v>
      </c>
      <c r="R64" s="3539">
        <f>R23+R39+R52+R60+R63</f>
        <v>3381563432.79</v>
      </c>
      <c r="S64" s="3541"/>
      <c r="T64" s="3542"/>
      <c r="U64" s="3543"/>
    </row>
    <row r="65" spans="1:20" s="3454" customFormat="1">
      <c r="A65" s="3544" t="s">
        <v>3620</v>
      </c>
      <c r="B65" s="3544"/>
      <c r="D65" s="3455"/>
      <c r="M65" s="3456"/>
      <c r="S65" s="3456"/>
      <c r="T65" s="3455"/>
    </row>
    <row r="66" spans="1:20" s="3454" customFormat="1">
      <c r="A66" s="3454" t="s">
        <v>3621</v>
      </c>
      <c r="D66" s="3455"/>
      <c r="M66" s="3456"/>
      <c r="S66" s="3456"/>
      <c r="T66" s="3455"/>
    </row>
    <row r="67" spans="1:20" s="3454" customFormat="1" ht="12.75">
      <c r="A67" s="3454" t="s">
        <v>3622</v>
      </c>
      <c r="D67" s="3455"/>
      <c r="M67" s="3456"/>
      <c r="O67" s="3457" t="s">
        <v>3623</v>
      </c>
      <c r="P67" s="3457"/>
      <c r="Q67" s="3457" t="s">
        <v>3624</v>
      </c>
      <c r="R67" s="3545">
        <v>3362607830.2399998</v>
      </c>
      <c r="S67" s="3456"/>
      <c r="T67" s="3546"/>
    </row>
    <row r="68" spans="1:20" s="3454" customFormat="1" ht="12.75">
      <c r="D68" s="3455"/>
      <c r="M68" s="3456"/>
      <c r="N68" s="3627" t="s">
        <v>3625</v>
      </c>
      <c r="O68" s="3454" t="s">
        <v>3626</v>
      </c>
      <c r="Q68" s="3454" t="s">
        <v>3627</v>
      </c>
      <c r="R68" s="3547">
        <v>-2749308.51</v>
      </c>
      <c r="S68" s="3627" t="s">
        <v>3628</v>
      </c>
      <c r="T68" s="3455"/>
    </row>
    <row r="69" spans="1:20" s="3454" customFormat="1" ht="12.75">
      <c r="D69" s="3455"/>
      <c r="M69" s="3456"/>
      <c r="N69" s="3627"/>
      <c r="O69" s="3454" t="s">
        <v>3629</v>
      </c>
      <c r="Q69" s="3454" t="s">
        <v>3630</v>
      </c>
      <c r="R69" s="3547">
        <v>-95000</v>
      </c>
      <c r="S69" s="3627"/>
      <c r="T69" s="3455"/>
    </row>
    <row r="70" spans="1:20" s="3454" customFormat="1" ht="12.75">
      <c r="D70" s="3455"/>
      <c r="M70" s="3456"/>
      <c r="N70" s="3627"/>
      <c r="O70" s="3454" t="s">
        <v>3631</v>
      </c>
      <c r="Q70" s="3454" t="s">
        <v>3632</v>
      </c>
      <c r="R70" s="3547">
        <v>-26400</v>
      </c>
      <c r="S70" s="3627"/>
      <c r="T70" s="3455"/>
    </row>
    <row r="71" spans="1:20" s="3454" customFormat="1" ht="12.75">
      <c r="D71" s="3455"/>
      <c r="M71" s="3456"/>
      <c r="N71" s="3627"/>
      <c r="O71" s="3454" t="s">
        <v>3631</v>
      </c>
      <c r="Q71" s="3454" t="s">
        <v>3633</v>
      </c>
      <c r="R71" s="3547">
        <v>-61600</v>
      </c>
      <c r="S71" s="3627"/>
      <c r="T71" s="3455"/>
    </row>
    <row r="72" spans="1:20" s="3454" customFormat="1" ht="12.75">
      <c r="D72" s="3455"/>
      <c r="M72" s="3456"/>
      <c r="N72" s="3627"/>
      <c r="O72" s="3454" t="s">
        <v>3626</v>
      </c>
      <c r="Q72" s="3454" t="s">
        <v>3634</v>
      </c>
      <c r="R72" s="3547">
        <v>-281912</v>
      </c>
      <c r="S72" s="3627"/>
      <c r="T72" s="3455"/>
    </row>
    <row r="73" spans="1:20" s="3454" customFormat="1" ht="12.75">
      <c r="D73" s="3455"/>
      <c r="M73" s="3456"/>
      <c r="N73" s="3627"/>
      <c r="O73" s="3454" t="s">
        <v>3583</v>
      </c>
      <c r="R73" s="3547">
        <v>14136984.16</v>
      </c>
      <c r="S73" s="3548" t="s">
        <v>3635</v>
      </c>
      <c r="T73" s="3455"/>
    </row>
    <row r="74" spans="1:20" s="3454" customFormat="1" ht="12.75">
      <c r="D74" s="3455"/>
      <c r="M74" s="3456"/>
      <c r="N74" s="3627"/>
      <c r="O74" s="3454" t="s">
        <v>3636</v>
      </c>
      <c r="R74" s="3547">
        <v>4913618.3899999997</v>
      </c>
      <c r="S74" s="3548" t="s">
        <v>3637</v>
      </c>
      <c r="T74" s="3455"/>
    </row>
    <row r="75" spans="1:20" s="3454" customFormat="1" ht="12.75">
      <c r="D75" s="3455"/>
      <c r="M75" s="3456"/>
      <c r="Q75" s="3454" t="s">
        <v>3638</v>
      </c>
      <c r="R75" s="3545">
        <f>SUM(R67:R74)</f>
        <v>3378444212.2799993</v>
      </c>
      <c r="S75" s="3547"/>
      <c r="T75" s="3455"/>
    </row>
    <row r="76" spans="1:20" s="3454" customFormat="1" ht="12.75">
      <c r="D76" s="3455"/>
      <c r="M76" s="3456"/>
      <c r="R76" s="3549">
        <f>R64-R75</f>
        <v>3119220.5100007057</v>
      </c>
      <c r="S76" s="3547"/>
      <c r="T76" s="3455"/>
    </row>
    <row r="77" spans="1:20" s="3454" customFormat="1" ht="12.75">
      <c r="D77" s="3455"/>
      <c r="M77" s="3456"/>
      <c r="R77" s="3547">
        <v>3362607830.2399998</v>
      </c>
      <c r="S77" s="3547"/>
      <c r="T77" s="3455"/>
    </row>
    <row r="78" spans="1:20" s="3454" customFormat="1" ht="12.75">
      <c r="D78" s="3455"/>
      <c r="M78" s="3456"/>
      <c r="R78" s="3547">
        <f>R77-R67</f>
        <v>0</v>
      </c>
      <c r="S78" s="3547"/>
      <c r="T78" s="3455"/>
    </row>
    <row r="79" spans="1:20" s="3454" customFormat="1" ht="12.75">
      <c r="D79" s="3455"/>
      <c r="M79" s="3456"/>
      <c r="R79" s="3547"/>
      <c r="S79" s="3547"/>
      <c r="T79" s="3455"/>
    </row>
    <row r="80" spans="1:20" s="3454" customFormat="1" ht="12.75">
      <c r="D80" s="3455"/>
      <c r="M80" s="3456"/>
      <c r="R80" s="3545"/>
      <c r="S80" s="3547"/>
      <c r="T80" s="3455"/>
    </row>
    <row r="81" spans="17:19" s="3454" customFormat="1" ht="12.75">
      <c r="R81" s="3547"/>
      <c r="S81" s="3547"/>
    </row>
    <row r="82" spans="17:19" s="3454" customFormat="1" ht="12.75">
      <c r="Q82" s="3547"/>
      <c r="R82" s="3547"/>
      <c r="S82" s="3547"/>
    </row>
    <row r="83" spans="17:19" s="3454" customFormat="1" ht="12.75">
      <c r="R83" s="3547"/>
      <c r="S83" s="3547"/>
    </row>
    <row r="84" spans="17:19" s="3454" customFormat="1" ht="12.75">
      <c r="R84" s="3547"/>
      <c r="S84" s="3547"/>
    </row>
  </sheetData>
  <mergeCells count="73">
    <mergeCell ref="F2:G2"/>
    <mergeCell ref="H2:L2"/>
    <mergeCell ref="A3:A4"/>
    <mergeCell ref="B3:B4"/>
    <mergeCell ref="C3:C4"/>
    <mergeCell ref="D3:D4"/>
    <mergeCell ref="E3:E4"/>
    <mergeCell ref="H3:M3"/>
    <mergeCell ref="N3:T3"/>
    <mergeCell ref="U3:U4"/>
    <mergeCell ref="A5:A23"/>
    <mergeCell ref="B5:B23"/>
    <mergeCell ref="C5:C10"/>
    <mergeCell ref="M5:M10"/>
    <mergeCell ref="S7:S9"/>
    <mergeCell ref="T7:T9"/>
    <mergeCell ref="H8:H9"/>
    <mergeCell ref="I8:I9"/>
    <mergeCell ref="J8:J9"/>
    <mergeCell ref="K8:K9"/>
    <mergeCell ref="L8:L9"/>
    <mergeCell ref="C11:C14"/>
    <mergeCell ref="F11:F13"/>
    <mergeCell ref="G11:G13"/>
    <mergeCell ref="M11:M14"/>
    <mergeCell ref="O11:O13"/>
    <mergeCell ref="S11:S14"/>
    <mergeCell ref="T11:T14"/>
    <mergeCell ref="C15:C18"/>
    <mergeCell ref="M15:M17"/>
    <mergeCell ref="S15:S17"/>
    <mergeCell ref="T15:T17"/>
    <mergeCell ref="D16:D17"/>
    <mergeCell ref="E16:E17"/>
    <mergeCell ref="R16:R17"/>
    <mergeCell ref="M18:M22"/>
    <mergeCell ref="N19:N22"/>
    <mergeCell ref="O19:O22"/>
    <mergeCell ref="C20:C21"/>
    <mergeCell ref="S24:S28"/>
    <mergeCell ref="T24:T28"/>
    <mergeCell ref="M30:M38"/>
    <mergeCell ref="S32:S34"/>
    <mergeCell ref="A40:A52"/>
    <mergeCell ref="B40:B52"/>
    <mergeCell ref="C40:C52"/>
    <mergeCell ref="M40:M51"/>
    <mergeCell ref="S41:S44"/>
    <mergeCell ref="T41:T44"/>
    <mergeCell ref="A24:A39"/>
    <mergeCell ref="B24:B39"/>
    <mergeCell ref="C24:C39"/>
    <mergeCell ref="M24:M28"/>
    <mergeCell ref="S47:S48"/>
    <mergeCell ref="T47:T48"/>
    <mergeCell ref="A53:A60"/>
    <mergeCell ref="B53:B60"/>
    <mergeCell ref="C53:C60"/>
    <mergeCell ref="M53:M59"/>
    <mergeCell ref="S53:S54"/>
    <mergeCell ref="T53:T54"/>
    <mergeCell ref="S55:S59"/>
    <mergeCell ref="T55:T59"/>
    <mergeCell ref="S61:S62"/>
    <mergeCell ref="T61:T62"/>
    <mergeCell ref="N68:N74"/>
    <mergeCell ref="S68:S72"/>
    <mergeCell ref="A61:A63"/>
    <mergeCell ref="B61:B63"/>
    <mergeCell ref="C61:C63"/>
    <mergeCell ref="M61:M62"/>
    <mergeCell ref="P61:P62"/>
    <mergeCell ref="Q61:Q62"/>
  </mergeCells>
  <phoneticPr fontId="134" type="noConversion"/>
  <pageMargins left="0.7" right="0.7" top="0.75" bottom="0.75" header="0.3" footer="0.3"/>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1" sqref="G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94" t="s">
        <v>1131</v>
      </c>
      <c r="B2" s="3694"/>
      <c r="C2" s="3694"/>
      <c r="D2" s="796" t="s">
        <v>1107</v>
      </c>
      <c r="E2" s="1639" t="s">
        <v>1108</v>
      </c>
      <c r="F2" s="2659"/>
      <c r="G2" s="2650"/>
      <c r="H2" s="2651"/>
      <c r="I2" s="2325" t="s">
        <v>1132</v>
      </c>
      <c r="J2" s="2659"/>
      <c r="K2" s="2659"/>
      <c r="L2" s="2659"/>
      <c r="M2" s="2659"/>
      <c r="N2" s="2661"/>
      <c r="O2" s="2659"/>
      <c r="P2" s="2659"/>
    </row>
    <row r="3" spans="1:16" ht="15.75" thickBot="1">
      <c r="A3" s="3695" t="s">
        <v>1105</v>
      </c>
      <c r="B3" s="3695"/>
      <c r="C3" s="3695"/>
      <c r="D3" s="43">
        <f>'数据-基础表'!AY6</f>
        <v>236852.67</v>
      </c>
      <c r="E3" s="43">
        <f>'数据-基础表'!AZ5</f>
        <v>114107.98</v>
      </c>
      <c r="F3" s="2659"/>
      <c r="G3" s="1145"/>
      <c r="H3" s="1026" t="s">
        <v>1106</v>
      </c>
      <c r="I3" s="855">
        <f>ROUND('数据-基础表'!B3/'数据-基础表'!A3,2)</f>
        <v>0.48</v>
      </c>
      <c r="J3" s="2659"/>
      <c r="K3" s="2659"/>
      <c r="L3" s="2659"/>
      <c r="M3" s="2659"/>
      <c r="N3" s="2661"/>
      <c r="O3" s="2659"/>
      <c r="P3" s="2659"/>
    </row>
    <row r="4" spans="1:16" ht="15">
      <c r="A4" s="3696"/>
      <c r="B4" s="3697"/>
      <c r="C4" s="3698"/>
      <c r="D4" s="1641" t="s">
        <v>1107</v>
      </c>
      <c r="E4" s="1642" t="s">
        <v>1108</v>
      </c>
      <c r="F4" s="2659"/>
      <c r="G4" s="2652" t="s">
        <v>1133</v>
      </c>
      <c r="H4" s="1026" t="s">
        <v>1113</v>
      </c>
      <c r="I4" s="855">
        <f>ROUND(SUMIF('数据-基础表'!I9:AS9,"地上",'数据-基础表'!I5:AS5)/'数据-基础表'!A3,2)</f>
        <v>0.48</v>
      </c>
      <c r="J4" s="2659"/>
      <c r="K4" s="2659"/>
      <c r="L4" s="2659"/>
      <c r="M4" s="2659"/>
      <c r="N4" s="2661"/>
      <c r="O4" s="2659"/>
      <c r="P4" s="2659"/>
    </row>
    <row r="5" spans="1:16">
      <c r="A5" s="44" t="s">
        <v>1109</v>
      </c>
      <c r="B5" s="3699" t="s">
        <v>1110</v>
      </c>
      <c r="C5" s="3699"/>
      <c r="D5" s="45">
        <f>ROUND($D$3*E5/$E$3,2)</f>
        <v>0</v>
      </c>
      <c r="E5" s="46">
        <f>SUMIF('数据-基础表'!$11:$11,"住宅",'数据-基础表'!$5:$5)</f>
        <v>0</v>
      </c>
      <c r="F5" s="2659"/>
      <c r="G5" s="1145"/>
      <c r="H5" s="1026" t="s">
        <v>1106</v>
      </c>
      <c r="I5" s="855">
        <f>ROUND(E31/D31,2)</f>
        <v>0.48</v>
      </c>
      <c r="J5" s="2659"/>
      <c r="K5" s="2659"/>
      <c r="L5" s="2659"/>
      <c r="M5" s="2659"/>
      <c r="N5" s="2659"/>
      <c r="O5" s="2659"/>
      <c r="P5" s="2659"/>
    </row>
    <row r="6" spans="1:16" ht="15" thickBot="1">
      <c r="A6" s="1644"/>
      <c r="B6" s="3699" t="s">
        <v>1111</v>
      </c>
      <c r="C6" s="3699"/>
      <c r="D6" s="45">
        <f>ROUND($D$3*E6/$E$3,2)</f>
        <v>236852.67</v>
      </c>
      <c r="E6" s="46">
        <f>E3-E5</f>
        <v>114107.98</v>
      </c>
      <c r="F6" s="2659"/>
      <c r="G6" s="2653" t="s">
        <v>1112</v>
      </c>
      <c r="H6" s="1146" t="s">
        <v>1113</v>
      </c>
      <c r="I6" s="2654">
        <f>ROUND(F31/D31,2)</f>
        <v>0.48</v>
      </c>
      <c r="J6" s="2659"/>
      <c r="K6" s="2659"/>
      <c r="L6" s="2659"/>
      <c r="M6" s="2659"/>
      <c r="N6" s="2659"/>
      <c r="O6" s="2659"/>
      <c r="P6" s="2659"/>
    </row>
    <row r="7" spans="1:16" ht="15.75" thickBot="1">
      <c r="A7" s="3691"/>
      <c r="B7" s="3692"/>
      <c r="C7" s="3693"/>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236852.67</v>
      </c>
      <c r="E8" s="48">
        <f>SUMIF('数据-基础表'!BB10:BK10,"地上",'数据-基础表'!BB5:BK5)</f>
        <v>114107.98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236852.67</v>
      </c>
      <c r="E16" s="50">
        <f>SUM(E8:E15)</f>
        <v>114107.98</v>
      </c>
      <c r="F16" s="2659"/>
      <c r="G16" s="2660"/>
      <c r="H16" s="1648" t="s">
        <v>1135</v>
      </c>
      <c r="I16" s="1649"/>
      <c r="J16" s="1139"/>
      <c r="K16" s="3688" t="s">
        <v>1135</v>
      </c>
      <c r="L16" s="3689"/>
      <c r="M16" s="3689"/>
      <c r="N16" s="3689"/>
      <c r="O16" s="3689"/>
      <c r="P16" s="3690"/>
    </row>
    <row r="17" spans="1:19" ht="15">
      <c r="A17" s="1650" t="s">
        <v>1136</v>
      </c>
      <c r="B17" s="1651" t="s">
        <v>1137</v>
      </c>
      <c r="C17" s="1652" t="s">
        <v>1138</v>
      </c>
      <c r="D17" s="1653" t="s">
        <v>1126</v>
      </c>
      <c r="E17" s="1654" t="s">
        <v>1127</v>
      </c>
      <c r="F17" s="1655"/>
      <c r="G17" s="1656"/>
      <c r="H17" s="1657" t="s">
        <v>1139</v>
      </c>
      <c r="I17" s="1658" t="s">
        <v>1124</v>
      </c>
      <c r="J17" s="1139"/>
      <c r="K17" s="3685" t="s">
        <v>1140</v>
      </c>
      <c r="L17" s="3686"/>
      <c r="M17" s="3687"/>
      <c r="N17" s="3685" t="s">
        <v>1141</v>
      </c>
      <c r="O17" s="3686"/>
      <c r="P17" s="368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3414</v>
      </c>
      <c r="D19" s="45">
        <f>ROUND($D$3*E19/$E$3,2)</f>
        <v>236852.67</v>
      </c>
      <c r="E19" s="53">
        <f t="shared" ref="E19:E26" si="1">SUM(F19:G19)</f>
        <v>114107.98</v>
      </c>
      <c r="F19" s="2795">
        <f>'数据-基础表'!I13+'数据-基础表'!I14+'数据-基础表'!I15+'数据-基础表'!I16</f>
        <v>114107.98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236852.67</v>
      </c>
      <c r="S19" s="1027">
        <f t="shared" si="5"/>
        <v>114107.98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236852.67</v>
      </c>
      <c r="E27" s="1141">
        <f>IF(SUM(E19:E26)='数据-基础表'!BA5,SUM(E19:E26),IF(F27="地上面积有误","面积有误","地下面积有误"))</f>
        <v>114107.98</v>
      </c>
      <c r="F27" s="1140">
        <f>IF(SUM(F19:F26)=E8,SUM(F19:F26),"地上面积有误")</f>
        <v>114107.98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236852.67</v>
      </c>
      <c r="S27" s="1026">
        <f>IF(SUM(S19:S26)=$E$3,SUM(S19:S26),SUM(S19:S26)&amp;"误差"&amp;ROUND(SUM(S19:S26)-E3,2))</f>
        <v>114107.98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236852.67</v>
      </c>
      <c r="E31" s="676">
        <f>E27+E30</f>
        <v>114107.98</v>
      </c>
      <c r="F31" s="677">
        <f>F27+F30</f>
        <v>114107.98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M21" sqref="M2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45301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仓储</v>
      </c>
      <c r="B6" s="1713" t="str">
        <f>IF(A6=0,"","经营性")</f>
        <v>经营性</v>
      </c>
      <c r="C6" s="1714" t="s">
        <v>3</v>
      </c>
      <c r="D6" s="858">
        <f>SUMIF(项目基本情况!C$12:I$12,C6,项目基本情况!C$14:I$14)</f>
        <v>50</v>
      </c>
      <c r="E6" s="857">
        <f>IF(B6="","",SUMIF(项目基本情况!C$12:I$12,C6,项目基本情况!C$13:I$13))</f>
        <v>57180</v>
      </c>
      <c r="F6" s="64">
        <f>SUMIF(项目基本情况!C$12:I$12,C6,项目基本情况!C$15:I$15)</f>
        <v>32.54</v>
      </c>
      <c r="G6" s="65">
        <f>IF(ISERROR(ROUND(POWER(1+H6,D6-F6)*(POWER(1+H6,F6)-1)/(POWER(1+H6,D6)-1),3)),0,ROUND(POWER(1+H6,D6-F6)*(POWER(1+H6,F6)-1)/(POWER(1+H6,D6)-1),3))</f>
        <v>0.872</v>
      </c>
      <c r="H6" s="732">
        <v>0.05</v>
      </c>
      <c r="I6" s="3551">
        <v>0.06</v>
      </c>
      <c r="J6" s="66">
        <v>7.0000000000000007E-2</v>
      </c>
      <c r="K6" s="1030">
        <f>SUMIF('数据-汇总表'!C$19:C$33,A6,'数据-汇总表'!E$19:E$33)</f>
        <v>114107.98</v>
      </c>
      <c r="L6" s="733">
        <v>3400</v>
      </c>
      <c r="M6" s="67">
        <f t="shared" ref="M6:M14" si="0">ROUND(K6*L6/10000,0)</f>
        <v>38797</v>
      </c>
      <c r="N6" s="731">
        <f>ROUND(M21,2)</f>
        <v>0.78</v>
      </c>
      <c r="O6" s="67" t="str">
        <f>IF($N$5="成新度","——",ROUND(M6*N6,0))</f>
        <v>——</v>
      </c>
      <c r="P6" s="68" t="str">
        <f>IF($N$5="成新度","——",M6-O6)</f>
        <v>——</v>
      </c>
      <c r="Q6" s="734">
        <v>0.2</v>
      </c>
      <c r="R6" s="69">
        <f ca="1">SUMIF('数据-汇总表'!C$19:C$33,A6,'数据-汇总表'!R$19:R$27)</f>
        <v>236852.67</v>
      </c>
      <c r="S6" s="51">
        <f>IF('数据-汇总表'!$I$17="按面积比例",SUMIF('数据-汇总表'!C$19:C$33,A6,'数据-汇总表'!K$19:K$33),SUMIF('数据-汇总表'!C$19:C$33,A6,'数据-汇总表'!N$19:N$33))</f>
        <v>0</v>
      </c>
      <c r="T6" s="1172">
        <f>ROUND($L$14*S6/10000,0)</f>
        <v>0</v>
      </c>
      <c r="U6" s="3428">
        <v>4.5</v>
      </c>
      <c r="V6" s="3553">
        <v>0</v>
      </c>
      <c r="W6" s="70">
        <v>0.05</v>
      </c>
      <c r="X6" s="1040"/>
      <c r="Y6" s="71">
        <f>N6</f>
        <v>0.78</v>
      </c>
      <c r="Z6" s="72"/>
      <c r="AA6" s="66"/>
      <c r="AB6" s="66"/>
      <c r="AC6" s="1040"/>
      <c r="AD6" s="73"/>
      <c r="AE6" s="1041">
        <f ca="1">IF(AN6="",0,SUMIF(INDIRECT("'"&amp;AN6&amp;"'"&amp;"!E:E"),$AE$5,INDIRECT("'"&amp;AN6&amp;"'"&amp;"!F:F")))</f>
        <v>32.54</v>
      </c>
      <c r="AF6" s="1348"/>
      <c r="AG6" s="138">
        <f>IF(AF6="",0,AE6-AF6)</f>
        <v>0</v>
      </c>
      <c r="AH6" s="74"/>
      <c r="AI6" s="76">
        <v>365</v>
      </c>
      <c r="AJ6" s="77"/>
      <c r="AK6" s="78">
        <v>5.0000000000000001E-3</v>
      </c>
      <c r="AL6" s="79">
        <v>1E-3</v>
      </c>
      <c r="AM6" s="80">
        <v>0.01</v>
      </c>
      <c r="AN6" s="1715" t="s">
        <v>3416</v>
      </c>
      <c r="AO6" s="52">
        <f ca="1">SUMIF(INDIRECT("'"&amp;AN6&amp;"'"&amp;"!A:A"),"总价",INDIRECT("'"&amp;AN6&amp;"'"&amp;"!B:B"))</f>
        <v>202546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0.872</v>
      </c>
      <c r="H16" s="90">
        <f>ROUND(SUMPRODUCT(H6:H13,K6:K13)/SUMPRODUCT((H6:H13&gt;0)*(K6:K13)),3)</f>
        <v>0.05</v>
      </c>
      <c r="I16" s="91"/>
      <c r="J16" s="91"/>
      <c r="K16" s="92">
        <f>SUM(K6:K15)</f>
        <v>114107.98</v>
      </c>
      <c r="L16" s="93">
        <f>ROUND(M16*10000/SUM(K6:K14),0)</f>
        <v>3400</v>
      </c>
      <c r="M16" s="93">
        <f>SUM(M6:M14)</f>
        <v>38797</v>
      </c>
      <c r="N16" s="94">
        <f>ROUND(SUMPRODUCT(M6:M14,N6:N14)/M16,3)</f>
        <v>0.78</v>
      </c>
      <c r="O16" s="93">
        <f>SUM(O6:O14)</f>
        <v>0</v>
      </c>
      <c r="P16" s="93">
        <f>SUM(P6:P14)</f>
        <v>0</v>
      </c>
      <c r="Q16" s="95">
        <f>ROUND(SUMPRODUCT(Q6:Q13,K6:K13)/SUMPRODUCT((Q6:Q13&gt;0)*(K6:K13)),2)</f>
        <v>0.2</v>
      </c>
      <c r="R16" s="1034">
        <f ca="1">SUM(R6:R13)</f>
        <v>236852.67</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t="s">
        <v>3654</v>
      </c>
      <c r="L19" s="2672">
        <f>指标表!E3</f>
        <v>60366.14</v>
      </c>
      <c r="M19" s="2671">
        <f>指标表!I3</f>
        <v>0.75</v>
      </c>
      <c r="N19" s="2671">
        <f>M19*L19</f>
        <v>45274.604999999996</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3552" t="s">
        <v>3655</v>
      </c>
      <c r="L20" s="2672">
        <f>指标表!E4</f>
        <v>53741.84</v>
      </c>
      <c r="M20" s="2671">
        <f>指标表!I4</f>
        <v>0.82</v>
      </c>
      <c r="N20" s="2671">
        <f>M20*L20</f>
        <v>44068.308799999992</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f>L19+L20</f>
        <v>114107.98</v>
      </c>
      <c r="M21" s="2671">
        <f>N21/L21</f>
        <v>0.78296814823993888</v>
      </c>
      <c r="N21" s="2671">
        <f>N19+N20</f>
        <v>89342.91379999998</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2168</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700" t="s">
        <v>2286</v>
      </c>
      <c r="B1" s="3701"/>
      <c r="C1" s="3701"/>
      <c r="D1" s="3701"/>
      <c r="E1" s="3701"/>
      <c r="F1" s="3701"/>
      <c r="G1" s="370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4" zoomScale="80" zoomScaleNormal="80" zoomScaleSheetLayoutView="80" workbookViewId="0">
      <selection activeCell="E14" sqref="E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114107.98</v>
      </c>
      <c r="C1" s="2686"/>
      <c r="D1" s="2686"/>
      <c r="E1" s="2686"/>
      <c r="F1" s="2686"/>
      <c r="G1" s="2687"/>
      <c r="H1" s="2688"/>
      <c r="I1" s="2688"/>
      <c r="J1" s="2688"/>
      <c r="K1" s="2688"/>
    </row>
    <row r="2" spans="1:11" ht="16.5">
      <c r="A2" s="2512" t="s">
        <v>653</v>
      </c>
      <c r="B2" s="2512">
        <f>SUM(C14:C23)</f>
        <v>236852.67</v>
      </c>
      <c r="C2" s="2686"/>
      <c r="D2" s="2686"/>
      <c r="E2" s="2686"/>
      <c r="F2" s="2686"/>
      <c r="G2" s="2687"/>
      <c r="H2" s="2688"/>
      <c r="I2" s="2688"/>
      <c r="J2" s="2688"/>
      <c r="K2" s="2688"/>
    </row>
    <row r="3" spans="1:11" ht="16.5">
      <c r="A3" s="2512" t="s">
        <v>662</v>
      </c>
      <c r="B3" s="2514">
        <f>项目基本情况!D3</f>
        <v>45301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184177</v>
      </c>
      <c r="C5" s="2512">
        <f ca="1">IF(B5=D14,结果表!H102,ROUND(B5*10000/$B$1,0))</f>
        <v>16141</v>
      </c>
      <c r="D5" s="2512">
        <f ca="1">ROUND(B5*10000/$B$2,0)</f>
        <v>7776</v>
      </c>
      <c r="E5" s="2686"/>
      <c r="F5" s="2687"/>
      <c r="G5" s="2687"/>
      <c r="H5" s="2688"/>
      <c r="I5" s="2688"/>
      <c r="J5" s="2688"/>
      <c r="K5" s="2688"/>
    </row>
    <row r="6" spans="1:11" ht="16.5">
      <c r="A6" s="2512" t="s">
        <v>656</v>
      </c>
      <c r="B6" s="2512">
        <f ca="1">SUM(G14:G23)</f>
        <v>184177</v>
      </c>
      <c r="C6" s="2512">
        <f ca="1">IF(B6=G14,结果表!H108,ROUND(B6*10000/$B$1,0))</f>
        <v>16141</v>
      </c>
      <c r="D6" s="2512">
        <f ca="1">ROUND(B6*10000/$B$2,0)</f>
        <v>7776</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114107.98</v>
      </c>
      <c r="C14" s="2518">
        <f>结果表!C118</f>
        <v>236852.67</v>
      </c>
      <c r="D14" s="2518">
        <f ca="1">结果表!H118</f>
        <v>184177</v>
      </c>
      <c r="E14" s="2518">
        <f ca="1">ROUND(D14*10000/B14,0)</f>
        <v>16141</v>
      </c>
      <c r="F14" s="2518">
        <f ca="1">ROUND(D14*10000/C14,0)</f>
        <v>7776</v>
      </c>
      <c r="G14" s="2518">
        <f ca="1">D14</f>
        <v>184177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54" t="str">
        <f>项目基本情况!B1</f>
        <v>北京市房地产抵押价值预评估</v>
      </c>
      <c r="C37" s="3554"/>
      <c r="D37" s="3554"/>
      <c r="E37" s="3554"/>
      <c r="F37" s="3554"/>
      <c r="G37" s="3554"/>
      <c r="H37" s="3554"/>
      <c r="I37" s="355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I22" sqref="I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769" t="str">
        <f>项目基本情况!S2</f>
        <v>北京市房地产</v>
      </c>
      <c r="B2" s="3770"/>
      <c r="C2" s="3770"/>
      <c r="D2" s="3770"/>
      <c r="E2" s="3770"/>
      <c r="F2" s="3770"/>
      <c r="G2" s="3770"/>
      <c r="H2" s="3770"/>
      <c r="I2" s="3771"/>
    </row>
    <row r="3" spans="1:12" ht="12.75">
      <c r="A3" s="3773" t="s">
        <v>1264</v>
      </c>
      <c r="B3" s="3774"/>
      <c r="C3" s="3774"/>
      <c r="D3" s="3774"/>
      <c r="E3" s="3774"/>
      <c r="F3" s="3774"/>
      <c r="G3" s="3774"/>
      <c r="H3" s="3774"/>
      <c r="I3" s="3774"/>
    </row>
    <row r="4" spans="1:12" ht="14.25">
      <c r="A4" s="1754" t="s">
        <v>1265</v>
      </c>
      <c r="B4" s="1755" t="s">
        <v>1266</v>
      </c>
      <c r="C4" s="1756" t="s">
        <v>3432</v>
      </c>
      <c r="D4" s="1756" t="s">
        <v>3416</v>
      </c>
      <c r="E4" s="3778" t="s">
        <v>1267</v>
      </c>
      <c r="F4" s="3779"/>
      <c r="G4" s="3779"/>
      <c r="H4" s="3779"/>
      <c r="I4" s="378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17" t="s">
        <v>1268</v>
      </c>
      <c r="B5" s="3772">
        <v>25</v>
      </c>
      <c r="C5" s="3775"/>
      <c r="D5" s="3763"/>
      <c r="E5" s="131" t="s">
        <v>1269</v>
      </c>
      <c r="F5" s="1757"/>
      <c r="G5" s="1757"/>
      <c r="H5" s="1757"/>
      <c r="I5" s="1373"/>
    </row>
    <row r="6" spans="1:12" ht="12.75">
      <c r="A6" s="3717"/>
      <c r="B6" s="3772"/>
      <c r="C6" s="3777"/>
      <c r="D6" s="3763"/>
      <c r="E6" s="131" t="s">
        <v>1270</v>
      </c>
      <c r="F6" s="1757"/>
      <c r="G6" s="1757"/>
      <c r="H6" s="1757"/>
      <c r="I6" s="1373"/>
    </row>
    <row r="7" spans="1:12" ht="12.75">
      <c r="A7" s="3717"/>
      <c r="B7" s="3772"/>
      <c r="C7" s="3776"/>
      <c r="D7" s="3763"/>
      <c r="E7" s="131" t="s">
        <v>1271</v>
      </c>
      <c r="F7" s="1757"/>
      <c r="G7" s="1757"/>
      <c r="H7" s="1757"/>
      <c r="I7" s="1373"/>
    </row>
    <row r="8" spans="1:12" ht="12.75">
      <c r="A8" s="3717" t="s">
        <v>1272</v>
      </c>
      <c r="B8" s="3772">
        <v>15</v>
      </c>
      <c r="C8" s="3775"/>
      <c r="D8" s="3763"/>
      <c r="E8" s="131" t="s">
        <v>1273</v>
      </c>
      <c r="F8" s="1757"/>
      <c r="G8" s="1757"/>
      <c r="H8" s="1757"/>
      <c r="I8" s="1373"/>
    </row>
    <row r="9" spans="1:12" ht="12.75">
      <c r="A9" s="3717"/>
      <c r="B9" s="3772"/>
      <c r="C9" s="3776"/>
      <c r="D9" s="3763"/>
      <c r="E9" s="131" t="s">
        <v>1274</v>
      </c>
      <c r="F9" s="1757"/>
      <c r="G9" s="1757"/>
      <c r="H9" s="1757"/>
      <c r="I9" s="1373"/>
    </row>
    <row r="10" spans="1:12" ht="12.75">
      <c r="A10" s="3717" t="s">
        <v>1275</v>
      </c>
      <c r="B10" s="3772">
        <v>15</v>
      </c>
      <c r="C10" s="3775"/>
      <c r="D10" s="3763"/>
      <c r="E10" s="131" t="s">
        <v>1276</v>
      </c>
      <c r="F10" s="1757"/>
      <c r="G10" s="1757"/>
      <c r="H10" s="1757"/>
      <c r="I10" s="1373"/>
    </row>
    <row r="11" spans="1:12" ht="12.75">
      <c r="A11" s="3717"/>
      <c r="B11" s="3772"/>
      <c r="C11" s="3776"/>
      <c r="D11" s="3763"/>
      <c r="E11" s="131" t="s">
        <v>1277</v>
      </c>
      <c r="F11" s="1757"/>
      <c r="G11" s="1757"/>
      <c r="H11" s="1757"/>
      <c r="I11" s="1373"/>
    </row>
    <row r="12" spans="1:12" ht="12.75">
      <c r="A12" s="3717" t="s">
        <v>1278</v>
      </c>
      <c r="B12" s="3772">
        <v>15</v>
      </c>
      <c r="C12" s="3775"/>
      <c r="D12" s="3763"/>
      <c r="E12" s="131" t="s">
        <v>1279</v>
      </c>
      <c r="F12" s="1757"/>
      <c r="G12" s="1757"/>
      <c r="H12" s="1757"/>
      <c r="I12" s="1373"/>
    </row>
    <row r="13" spans="1:12" ht="12.75">
      <c r="A13" s="3717"/>
      <c r="B13" s="3772"/>
      <c r="C13" s="3776"/>
      <c r="D13" s="3763"/>
      <c r="E13" s="131" t="s">
        <v>1280</v>
      </c>
      <c r="F13" s="1757"/>
      <c r="G13" s="1757"/>
      <c r="H13" s="1757"/>
      <c r="I13" s="1373"/>
    </row>
    <row r="14" spans="1:12" ht="12.75">
      <c r="A14" s="3717" t="s">
        <v>1281</v>
      </c>
      <c r="B14" s="3772">
        <v>30</v>
      </c>
      <c r="C14" s="3775">
        <v>5</v>
      </c>
      <c r="D14" s="3763">
        <v>5</v>
      </c>
      <c r="E14" s="131" t="s">
        <v>1282</v>
      </c>
      <c r="F14" s="1757"/>
      <c r="G14" s="1757"/>
      <c r="H14" s="1757"/>
      <c r="I14" s="1373"/>
    </row>
    <row r="15" spans="1:12" ht="12.75">
      <c r="A15" s="3717"/>
      <c r="B15" s="3772"/>
      <c r="C15" s="3777"/>
      <c r="D15" s="3763"/>
      <c r="E15" s="131" t="s">
        <v>1283</v>
      </c>
      <c r="F15" s="1757"/>
      <c r="G15" s="1757"/>
      <c r="H15" s="1757"/>
      <c r="I15" s="1373"/>
    </row>
    <row r="16" spans="1:12" ht="12.75">
      <c r="A16" s="3717"/>
      <c r="B16" s="3772"/>
      <c r="C16" s="3776"/>
      <c r="D16" s="376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794" t="s">
        <v>2131</v>
      </c>
      <c r="F18" s="3795"/>
      <c r="G18" s="3795"/>
      <c r="H18" s="3795"/>
      <c r="I18" s="3795"/>
      <c r="K18" s="302" t="s">
        <v>1289</v>
      </c>
      <c r="L18" s="302">
        <f>IF(C1="",'数据-汇总表'!E3,SUMIF(项目类型,C1,'数据-汇总表'!E17:E26)+SUMIF(项目类型,C1,'数据-汇总表'!I17:I26))</f>
        <v>114107.98</v>
      </c>
      <c r="M18" s="302">
        <f>IF(C1="",'数据-汇总表'!E3,SUMIF(项目类型,C1,'数据-汇总表'!E17:E26))</f>
        <v>114107.98</v>
      </c>
    </row>
    <row r="19" spans="1:36" ht="15">
      <c r="A19" s="1761" t="s">
        <v>1290</v>
      </c>
      <c r="B19" s="1762" t="s">
        <v>1291</v>
      </c>
      <c r="C19" s="134">
        <f ca="1">SUMIF(INDIRECT("'"&amp;C4&amp;"'"&amp;"!A:A"),结果表!B19,INDIRECT("'"&amp;C4&amp;"'"&amp;"!B:B"))</f>
        <v>165807</v>
      </c>
      <c r="D19" s="135">
        <f ca="1">SUMIF(INDIRECT("'"&amp;D4&amp;"'"&amp;"!A:A"),结果表!B19,INDIRECT("'"&amp;D4&amp;"'"&amp;"!B:B"))</f>
        <v>202546</v>
      </c>
      <c r="E19" s="1761" t="s">
        <v>1292</v>
      </c>
      <c r="F19" s="1762" t="s">
        <v>1291</v>
      </c>
      <c r="G19" s="136">
        <f ca="1">ROUND(C19*$C$18+D19*$D$18,0)</f>
        <v>184177</v>
      </c>
      <c r="H19" s="1763" t="s">
        <v>1293</v>
      </c>
      <c r="I19" s="129"/>
      <c r="K19" s="302" t="s">
        <v>1294</v>
      </c>
      <c r="L19" s="302">
        <f>IF(C1="",'数据-汇总表'!D3,SUMIF(项目类型,C1,'数据-汇总表'!D17:D26)+SUMIF(项目类型,C1,'数据-汇总表'!H17:H27))</f>
        <v>236852.67</v>
      </c>
      <c r="M19" s="302">
        <f>IF(C1="",'数据-汇总表'!D3,SUMIF(项目类型,C1,'数据-汇总表'!D17:D26))</f>
        <v>236852.67</v>
      </c>
    </row>
    <row r="20" spans="1:36" ht="15">
      <c r="A20" s="1764"/>
      <c r="B20" s="1026" t="s">
        <v>1295</v>
      </c>
      <c r="C20" s="137">
        <f ca="1">SUMIF(INDIRECT("'"&amp;C4&amp;"'"&amp;"!A:A"),结果表!B20,INDIRECT("'"&amp;C4&amp;"'"&amp;"!B:B"))</f>
        <v>14531</v>
      </c>
      <c r="D20" s="138">
        <f ca="1">SUMIF(INDIRECT("'"&amp;D4&amp;"'"&amp;"!A:A"),结果表!B20,INDIRECT("'"&amp;D4&amp;"'"&amp;"!B:B"))</f>
        <v>17750</v>
      </c>
      <c r="E20" s="1764"/>
      <c r="F20" s="1026" t="s">
        <v>1295</v>
      </c>
      <c r="G20" s="139">
        <f ca="1">ROUND(C20*$C$18+D20*$D$18,0)</f>
        <v>16141</v>
      </c>
      <c r="H20" s="808" t="s">
        <v>1296</v>
      </c>
      <c r="I20" s="129"/>
    </row>
    <row r="21" spans="1:36" ht="15" customHeight="1" thickBot="1">
      <c r="A21" s="828"/>
      <c r="B21" s="1765" t="s">
        <v>1297</v>
      </c>
      <c r="C21" s="719">
        <f ca="1">ROUND(C19*10000/L19,0)</f>
        <v>7000</v>
      </c>
      <c r="D21" s="720">
        <f ca="1">ROUND(D19*10000/L19,0)</f>
        <v>8552</v>
      </c>
      <c r="E21" s="828"/>
      <c r="F21" s="1765" t="s">
        <v>1297</v>
      </c>
      <c r="G21" s="140">
        <f ca="1">ROUND(G19*10000/L19,0)</f>
        <v>7776</v>
      </c>
      <c r="H21" s="1766" t="s">
        <v>1296</v>
      </c>
      <c r="I21" s="129"/>
    </row>
    <row r="22" spans="1:36" ht="15" thickBot="1">
      <c r="A22" s="1688" t="s">
        <v>1298</v>
      </c>
      <c r="B22" s="1767"/>
      <c r="C22" s="1768"/>
      <c r="D22" s="721">
        <f ca="1">IF(C19&lt;D19,D19/C19-1,C19/D19-1)</f>
        <v>0.22157689361727795</v>
      </c>
      <c r="E22" s="129"/>
      <c r="F22" s="129"/>
      <c r="G22" s="129"/>
      <c r="H22" s="129"/>
      <c r="I22" s="129"/>
    </row>
    <row r="23" spans="1:36" ht="13.5" thickBot="1">
      <c r="A23" s="1747"/>
      <c r="B23" s="1747"/>
      <c r="C23" s="1747"/>
      <c r="D23" s="1747"/>
      <c r="E23" s="129"/>
      <c r="F23" s="129"/>
      <c r="G23" s="129"/>
      <c r="H23" s="129"/>
      <c r="I23" s="129"/>
    </row>
    <row r="24" spans="1:36" ht="14.25">
      <c r="A24" s="3787" t="s">
        <v>1299</v>
      </c>
      <c r="B24" s="1762" t="s">
        <v>1291</v>
      </c>
      <c r="C24" s="136">
        <f>IF(B30=0,0,D30)</f>
        <v>0</v>
      </c>
      <c r="D24" s="1769"/>
      <c r="E24" s="129"/>
      <c r="F24" s="129"/>
      <c r="G24" s="129"/>
      <c r="H24" s="129"/>
      <c r="I24" s="129"/>
    </row>
    <row r="25" spans="1:36" ht="14.25">
      <c r="A25" s="378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184177</v>
      </c>
      <c r="D32" s="1775" t="s">
        <v>3648</v>
      </c>
      <c r="E32" s="129"/>
      <c r="F32" s="129"/>
      <c r="G32" s="129"/>
      <c r="H32" s="129"/>
      <c r="I32" s="129"/>
    </row>
    <row r="33" spans="1:15" ht="15">
      <c r="A33" s="786" t="s">
        <v>1306</v>
      </c>
      <c r="B33" s="1776"/>
      <c r="C33" s="1777" t="s">
        <v>3649</v>
      </c>
      <c r="D33" s="1778" t="s">
        <v>3432</v>
      </c>
      <c r="E33" s="1779" t="s">
        <v>1307</v>
      </c>
      <c r="F33" s="1780" t="str">
        <f>IF(D32="楼面单价","取值（单价）","取值（总价）")</f>
        <v>取值（总价）</v>
      </c>
      <c r="G33" s="129"/>
      <c r="H33" s="129"/>
      <c r="I33" s="129"/>
    </row>
    <row r="34" spans="1:15" ht="15">
      <c r="A34" s="1781"/>
      <c r="B34" s="1782" t="s">
        <v>1308</v>
      </c>
      <c r="C34" s="148">
        <f ca="1">IF(C33="自定义",F34,C32-C35)</f>
        <v>132423</v>
      </c>
      <c r="D34" s="861">
        <f ca="1">IF(C33="自定义",ROUND(C34/C32,3),IF(C33="收益比率",SUMIF(INDIRECT("'"&amp;D33&amp;"'"&amp;"!b:b"),"土地收益比率",INDIRECT("'"&amp;D33&amp;"'"&amp;"!c:c")),SUMIF(INDIRECT("'"&amp;D33&amp;"'"&amp;"!b:b"),"土地成本比率",INDIRECT("'"&amp;D33&amp;"'"&amp;"!c:c"))))</f>
        <v>0.71899999999999997</v>
      </c>
      <c r="E34" s="1783" t="s">
        <v>1309</v>
      </c>
      <c r="F34" s="1330"/>
      <c r="G34" s="129"/>
      <c r="H34" s="129"/>
      <c r="I34" s="129"/>
    </row>
    <row r="35" spans="1:15" ht="15.75" thickBot="1">
      <c r="A35" s="1784"/>
      <c r="B35" s="1785" t="s">
        <v>1310</v>
      </c>
      <c r="C35" s="1170">
        <f ca="1">IF(C33="自定义",F35,ROUND(C32*D35,0))</f>
        <v>51754</v>
      </c>
      <c r="D35" s="1171">
        <f ca="1">IF(C33="自定义",ROUND(C35/C32,3),IF(C33="收益比率",SUMIF(INDIRECT("'"&amp;D33&amp;"'"&amp;"!b:b"),"建筑物收益比率",INDIRECT("'"&amp;D33&amp;"'"&amp;"!c:c")),SUMIF(INDIRECT("'"&amp;D33&amp;"'"&amp;"!b:b"),"建筑物成本比率",INDIRECT("'"&amp;D33&amp;"'"&amp;"!c:c"))))</f>
        <v>0.28100000000000003</v>
      </c>
      <c r="E35" s="1786" t="s">
        <v>1311</v>
      </c>
      <c r="F35" s="154"/>
      <c r="G35" s="129"/>
      <c r="H35" s="129"/>
      <c r="I35" s="129"/>
    </row>
    <row r="36" spans="1:15" ht="15.75" thickBot="1">
      <c r="A36" s="3764" t="s">
        <v>1312</v>
      </c>
      <c r="B36" s="1787" t="s">
        <v>1313</v>
      </c>
      <c r="C36" s="145"/>
      <c r="D36" s="1788"/>
      <c r="E36" s="1789"/>
      <c r="F36" s="1790"/>
      <c r="G36" s="129"/>
      <c r="H36" s="129"/>
      <c r="I36" s="129"/>
    </row>
    <row r="37" spans="1:15" ht="15.75" thickBot="1">
      <c r="A37" s="3765"/>
      <c r="B37" s="1674" t="s">
        <v>1314</v>
      </c>
      <c r="C37" s="147"/>
      <c r="D37" s="1139"/>
      <c r="E37" s="1139"/>
      <c r="F37" s="1790"/>
      <c r="G37" s="129"/>
      <c r="H37" s="129"/>
      <c r="I37" s="129"/>
    </row>
    <row r="38" spans="1:15" ht="15.75" thickBot="1">
      <c r="A38" s="376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784" t="s">
        <v>1326</v>
      </c>
      <c r="B45" s="3785"/>
      <c r="C45" s="3786"/>
      <c r="D45" s="155">
        <f ca="1">ROUND(H101*F45,0)</f>
        <v>184177</v>
      </c>
      <c r="E45" s="156" t="s">
        <v>1327</v>
      </c>
      <c r="F45" s="157">
        <v>1</v>
      </c>
      <c r="G45" s="158" t="s">
        <v>1328</v>
      </c>
      <c r="H45" s="129"/>
      <c r="I45" s="129"/>
      <c r="J45" s="3704" t="s">
        <v>1329</v>
      </c>
      <c r="K45" s="3704"/>
      <c r="L45" s="3704"/>
      <c r="M45" s="3704"/>
      <c r="N45" s="3704"/>
      <c r="O45" s="3704"/>
    </row>
    <row r="46" spans="1:15" ht="14.25" customHeight="1">
      <c r="A46" s="3781" t="s">
        <v>1330</v>
      </c>
      <c r="B46" s="3782"/>
      <c r="C46" s="3782"/>
      <c r="D46" s="3782"/>
      <c r="E46" s="3782"/>
      <c r="F46" s="3782"/>
      <c r="G46" s="3783"/>
      <c r="H46" s="1806"/>
      <c r="I46" s="159"/>
      <c r="J46" s="2523">
        <v>1</v>
      </c>
      <c r="K46" s="3705" t="s">
        <v>1331</v>
      </c>
      <c r="L46" s="3705"/>
      <c r="M46" s="3706"/>
      <c r="N46" s="3706"/>
      <c r="O46" s="3706"/>
    </row>
    <row r="47" spans="1:15" ht="12" customHeight="1">
      <c r="A47" s="160" t="s">
        <v>1332</v>
      </c>
      <c r="B47" s="161"/>
      <c r="C47" s="162"/>
      <c r="D47" s="1087" t="s">
        <v>1333</v>
      </c>
      <c r="E47" s="302" t="s">
        <v>1334</v>
      </c>
      <c r="F47" s="163" t="s">
        <v>1335</v>
      </c>
      <c r="G47" s="2546" t="s">
        <v>1336</v>
      </c>
      <c r="H47" s="2547"/>
      <c r="I47" s="159"/>
      <c r="J47" s="2523">
        <v>2</v>
      </c>
      <c r="K47" s="3705" t="s">
        <v>1337</v>
      </c>
      <c r="L47" s="3705"/>
      <c r="M47" s="3707">
        <f>'数据-取费表'!B2</f>
        <v>45301</v>
      </c>
      <c r="N47" s="3707"/>
      <c r="O47" s="3707"/>
    </row>
    <row r="48" spans="1:15" ht="25.5">
      <c r="A48" s="3767" t="s">
        <v>1338</v>
      </c>
      <c r="B48" s="3768"/>
      <c r="C48" s="376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705" t="s">
        <v>1340</v>
      </c>
      <c r="L48" s="3705"/>
      <c r="M48" s="3708">
        <f ca="1">H101</f>
        <v>184177</v>
      </c>
      <c r="N48" s="3708"/>
      <c r="O48" s="3708"/>
    </row>
    <row r="49" spans="1:35" ht="25.5" customHeight="1">
      <c r="A49" s="2333" t="s">
        <v>1341</v>
      </c>
      <c r="B49" s="3753" t="s">
        <v>1342</v>
      </c>
      <c r="C49" s="3753"/>
      <c r="D49" s="1590">
        <v>0</v>
      </c>
      <c r="E49" s="324" t="s">
        <v>1343</v>
      </c>
      <c r="F49" s="2424" t="s">
        <v>28</v>
      </c>
      <c r="G49" s="3736"/>
      <c r="H49" s="2310" t="s">
        <v>2134</v>
      </c>
      <c r="I49" s="2311"/>
      <c r="J49" s="2523">
        <v>4</v>
      </c>
      <c r="K49" s="3705" t="str">
        <f>IF(项目基本情况!E8="房地产抵押价值","房地产抵押价值","抵押担保权已注销时的房地产抵押价值")</f>
        <v>房地产抵押价值</v>
      </c>
      <c r="L49" s="3705"/>
      <c r="M49" s="3708">
        <f ca="1">IF(项目基本情况!E8="房地产抵押价值",H107,H109)</f>
        <v>184177</v>
      </c>
      <c r="N49" s="3708"/>
      <c r="O49" s="3708"/>
    </row>
    <row r="50" spans="1:35" ht="25.5" customHeight="1">
      <c r="A50" s="2551"/>
      <c r="B50" s="3753" t="s">
        <v>1344</v>
      </c>
      <c r="C50" s="3753"/>
      <c r="D50" s="2552"/>
      <c r="E50" s="332"/>
      <c r="F50" s="2424"/>
      <c r="G50" s="3737"/>
      <c r="H50" s="2312" t="s">
        <v>2135</v>
      </c>
      <c r="I50" s="2311"/>
      <c r="J50" s="3704" t="s">
        <v>1345</v>
      </c>
      <c r="K50" s="3704"/>
      <c r="L50" s="3704"/>
      <c r="M50" s="3704"/>
      <c r="N50" s="3704"/>
      <c r="O50" s="3704"/>
    </row>
    <row r="51" spans="1:35" ht="20.45" customHeight="1">
      <c r="A51" s="2553"/>
      <c r="B51" s="3753" t="s">
        <v>1346</v>
      </c>
      <c r="C51" s="3753"/>
      <c r="D51" s="1087"/>
      <c r="E51" s="327"/>
      <c r="F51" s="2424"/>
      <c r="G51" s="3738"/>
      <c r="H51" s="2312" t="s">
        <v>2136</v>
      </c>
      <c r="I51" s="2311"/>
      <c r="J51" s="2524" t="s">
        <v>1347</v>
      </c>
      <c r="K51" s="3705" t="s">
        <v>1348</v>
      </c>
      <c r="L51" s="3705"/>
      <c r="M51" s="2524" t="s">
        <v>1349</v>
      </c>
      <c r="N51" s="2524" t="s">
        <v>1350</v>
      </c>
      <c r="O51" s="2524" t="s">
        <v>1351</v>
      </c>
    </row>
    <row r="52" spans="1:35" ht="24" customHeight="1">
      <c r="A52" s="2335" t="s">
        <v>1352</v>
      </c>
      <c r="B52" s="3753" t="s">
        <v>1353</v>
      </c>
      <c r="C52" s="3753"/>
      <c r="D52" s="1087">
        <f ca="1">ROUND(D45*'数据-取费表'!B41/(1+'数据-取费表'!C42),0)</f>
        <v>9647</v>
      </c>
      <c r="E52" s="2334" t="s">
        <v>1354</v>
      </c>
      <c r="F52" s="2554">
        <f>'数据-取费表'!B41</f>
        <v>5.5000000000000007E-2</v>
      </c>
      <c r="G52" s="2555"/>
      <c r="H52" s="2544"/>
      <c r="I52" s="1807"/>
      <c r="J52" s="2523">
        <v>1</v>
      </c>
      <c r="K52" s="3730" t="s">
        <v>1355</v>
      </c>
      <c r="L52" s="3730"/>
      <c r="M52" s="2525" t="b">
        <f>D48</f>
        <v>0</v>
      </c>
      <c r="N52" s="2523" t="str">
        <f>E48</f>
        <v>销售额×税（费）率</v>
      </c>
      <c r="O52" s="2526">
        <f>F48</f>
        <v>5.5000000000000007E-2</v>
      </c>
    </row>
    <row r="53" spans="1:35" ht="12" customHeight="1">
      <c r="A53" s="2335" t="s">
        <v>1356</v>
      </c>
      <c r="B53" s="3754" t="s">
        <v>2291</v>
      </c>
      <c r="C53" s="3755"/>
      <c r="D53" s="1087">
        <f ca="1">ROUND(D45*'数据-取费表'!B41/(1+'数据-取费表'!C42),0)</f>
        <v>9647</v>
      </c>
      <c r="E53" s="2334" t="s">
        <v>1354</v>
      </c>
      <c r="F53" s="2554">
        <f>'数据-取费表'!B41</f>
        <v>5.5000000000000007E-2</v>
      </c>
      <c r="G53" s="2555"/>
      <c r="H53" s="2544"/>
      <c r="I53" s="1807"/>
      <c r="J53" s="2523">
        <v>2</v>
      </c>
      <c r="K53" s="3730" t="s">
        <v>1357</v>
      </c>
      <c r="L53" s="3730"/>
      <c r="M53" s="2525">
        <f t="shared" ref="M53:O54" ca="1" si="0">D55</f>
        <v>92</v>
      </c>
      <c r="N53" s="2523" t="str">
        <f t="shared" si="0"/>
        <v>销售额×税（费）率</v>
      </c>
      <c r="O53" s="2526" t="str">
        <f t="shared" si="0"/>
        <v>免征</v>
      </c>
    </row>
    <row r="54" spans="1:35" ht="12" customHeight="1">
      <c r="A54" s="2335" t="s">
        <v>1358</v>
      </c>
      <c r="B54" s="3754" t="s">
        <v>2292</v>
      </c>
      <c r="C54" s="3755"/>
      <c r="D54" s="1087">
        <f ca="1">C68</f>
        <v>9647</v>
      </c>
      <c r="E54" s="327" t="s">
        <v>1359</v>
      </c>
      <c r="F54" s="2554">
        <f>'数据-取费表'!B41</f>
        <v>5.5000000000000007E-2</v>
      </c>
      <c r="G54" s="2555"/>
      <c r="H54" s="2556"/>
      <c r="I54" s="1807"/>
      <c r="J54" s="2523">
        <v>3</v>
      </c>
      <c r="K54" s="3730" t="s">
        <v>1360</v>
      </c>
      <c r="L54" s="3730"/>
      <c r="M54" s="2525">
        <f t="shared" ca="1" si="0"/>
        <v>104411</v>
      </c>
      <c r="N54" s="2523" t="str">
        <f t="shared" si="0"/>
        <v>增值额×税（费）率</v>
      </c>
      <c r="O54" s="2527" t="str">
        <f t="shared" si="0"/>
        <v>免征</v>
      </c>
    </row>
    <row r="55" spans="1:35" ht="24" customHeight="1">
      <c r="A55" s="3790" t="s">
        <v>1361</v>
      </c>
      <c r="B55" s="3768"/>
      <c r="C55" s="3768"/>
      <c r="D55" s="2324">
        <f ca="1">IF(H55="个人住宅",0,ROUND(D45*I55,0))</f>
        <v>92</v>
      </c>
      <c r="E55" s="2334" t="s">
        <v>1362</v>
      </c>
      <c r="F55" s="2554" t="str">
        <f>IF(H55="正常",I55,"免征")</f>
        <v>免征</v>
      </c>
      <c r="G55" s="2555"/>
      <c r="H55" s="2550"/>
      <c r="I55" s="165">
        <f>'数据-取费表'!B49</f>
        <v>5.0000000000000001E-4</v>
      </c>
      <c r="J55" s="2523">
        <f>IF(H59="非个人房产","",4)</f>
        <v>4</v>
      </c>
      <c r="K55" s="3730" t="str">
        <f>IF(H59="非个人房产","——","个人所得税")</f>
        <v>个人所得税</v>
      </c>
      <c r="L55" s="3730"/>
      <c r="M55" s="2528">
        <f ca="1">D59</f>
        <v>1754</v>
      </c>
      <c r="N55" s="2040" t="str">
        <f>E59</f>
        <v>差额计税</v>
      </c>
      <c r="O55" s="2529">
        <f>F59</f>
        <v>0.01</v>
      </c>
    </row>
    <row r="56" spans="1:35" ht="24.75">
      <c r="A56" s="3790" t="s">
        <v>1363</v>
      </c>
      <c r="B56" s="3768"/>
      <c r="C56" s="3768"/>
      <c r="D56" s="2324">
        <f ca="1">IF(H56="个人住宅",D57,D58)</f>
        <v>104411</v>
      </c>
      <c r="E56" s="2334" t="s">
        <v>1364</v>
      </c>
      <c r="F56" s="2554" t="str">
        <f>IF(H56="正常",F58,"免征")</f>
        <v>免征</v>
      </c>
      <c r="G56" s="2557" t="s">
        <v>1365</v>
      </c>
      <c r="H56" s="2558"/>
      <c r="I56" s="1808"/>
      <c r="J56" s="2523" t="str">
        <f>IF(项目基本情况!K6="上海银行",IF(J55="",4,J55+1),"")</f>
        <v/>
      </c>
      <c r="K56" s="3711" t="str">
        <f>IF(项目基本情况!K6="上海银行","其他处置费用","")</f>
        <v/>
      </c>
      <c r="L56" s="3712"/>
      <c r="M56" s="2525" t="str">
        <f>IF(项目基本情况!K6="上海银行",M69,"")</f>
        <v/>
      </c>
      <c r="N56" s="3711" t="str">
        <f>IF(项目基本情况!K6="上海银行","包含处置中涉及的律师、诉讼、拍卖、评估等费用","")</f>
        <v/>
      </c>
      <c r="O56" s="3714"/>
    </row>
    <row r="57" spans="1:35" ht="12.75">
      <c r="A57" s="2335" t="s">
        <v>1341</v>
      </c>
      <c r="B57" s="3754" t="s">
        <v>1366</v>
      </c>
      <c r="C57" s="3755"/>
      <c r="D57" s="1590">
        <v>0</v>
      </c>
      <c r="E57" s="324" t="s">
        <v>1343</v>
      </c>
      <c r="F57" s="302"/>
      <c r="G57" s="2555"/>
      <c r="H57" s="2559"/>
      <c r="I57" s="1808"/>
      <c r="J57" s="3730">
        <f>IF(AND(J55="",J56=""),4,IF(项目基本情况!K6="上海银行",结果表!J56+1,结果表!J55+1))</f>
        <v>5</v>
      </c>
      <c r="K57" s="3730" t="s">
        <v>1367</v>
      </c>
      <c r="L57" s="2530" t="s">
        <v>1368</v>
      </c>
      <c r="M57" s="2531"/>
      <c r="N57" s="2532">
        <f ca="1">SUMIF(M52:M56,"&lt;9e307")</f>
        <v>106257</v>
      </c>
      <c r="O57" s="2533"/>
      <c r="P57" s="2690">
        <f ca="1">N57/M49</f>
        <v>0.57692871531190104</v>
      </c>
    </row>
    <row r="58" spans="1:35" ht="24.75">
      <c r="A58" s="2335" t="s">
        <v>1352</v>
      </c>
      <c r="B58" s="3754" t="s">
        <v>1369</v>
      </c>
      <c r="C58" s="3753"/>
      <c r="D58" s="2324">
        <f ca="1">IF(H58="转让取得",C81,C97)</f>
        <v>104411</v>
      </c>
      <c r="E58" s="2334" t="s">
        <v>1364</v>
      </c>
      <c r="F58" s="302" t="s">
        <v>28</v>
      </c>
      <c r="G58" s="2555"/>
      <c r="H58" s="2558"/>
      <c r="I58" s="1808"/>
      <c r="J58" s="3730"/>
      <c r="K58" s="3730"/>
      <c r="L58" s="2530" t="s">
        <v>1370</v>
      </c>
      <c r="M58" s="2534"/>
      <c r="N58" s="2535" t="str">
        <f ca="1">NUMBERSTRING(INT(N57*10000),2)&amp;"元整"</f>
        <v>壹拾亿陆仟贰佰伍拾柒万元整</v>
      </c>
      <c r="O58" s="2536"/>
    </row>
    <row r="59" spans="1:35" ht="24.75" thickBot="1">
      <c r="A59" s="3734" t="s">
        <v>1371</v>
      </c>
      <c r="B59" s="3735"/>
      <c r="C59" s="3735"/>
      <c r="D59" s="2560">
        <f ca="1">IF(H59="非个人房产","——",IF(H59="个人住宅（满五唯一有凭证）",0,IF(H59="个人其他（无凭证）",ROUND(D45*F59,0),ROUND(C67*F59,0))))</f>
        <v>1754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732">
        <f>J57+1</f>
        <v>6</v>
      </c>
      <c r="K59" s="3730" t="s">
        <v>1372</v>
      </c>
      <c r="L59" s="2523" t="s">
        <v>1368</v>
      </c>
      <c r="M59" s="2537"/>
      <c r="N59" s="2538">
        <f ca="1">M49-N57</f>
        <v>77920</v>
      </c>
      <c r="O59" s="2539"/>
    </row>
    <row r="60" spans="1:35" ht="12" customHeight="1">
      <c r="A60" s="1809"/>
      <c r="B60" s="1747"/>
      <c r="C60" s="1747"/>
      <c r="D60" s="1747"/>
      <c r="E60" s="1578"/>
      <c r="F60" s="1808"/>
      <c r="G60" s="1808"/>
      <c r="H60" s="1810"/>
      <c r="I60" s="129"/>
      <c r="J60" s="3733"/>
      <c r="K60" s="3730"/>
      <c r="L60" s="2530" t="s">
        <v>1370</v>
      </c>
      <c r="M60" s="2534"/>
      <c r="N60" s="2535" t="str">
        <f ca="1">NUMBERSTRING(INT(N59*10000),2)&amp;"元整"</f>
        <v>柒亿柒仟玖佰贰拾万元整</v>
      </c>
      <c r="O60" s="2536"/>
    </row>
    <row r="61" spans="1:35" ht="13.5" thickBot="1">
      <c r="A61" s="3789" t="s">
        <v>1373</v>
      </c>
      <c r="B61" s="3789"/>
      <c r="C61" s="3789"/>
      <c r="D61" s="3789"/>
      <c r="E61" s="3789"/>
      <c r="F61" s="1808"/>
      <c r="G61" s="1808"/>
      <c r="H61" s="1810"/>
      <c r="I61" s="129"/>
      <c r="J61" s="2523">
        <f>J59+1</f>
        <v>7</v>
      </c>
      <c r="K61" s="3730" t="s">
        <v>1374</v>
      </c>
      <c r="L61" s="3730"/>
      <c r="M61" s="2540"/>
      <c r="N61" s="2541">
        <f ca="1">ROUND(N59*10000/'数据-汇总表'!E3,0)</f>
        <v>6829</v>
      </c>
      <c r="O61" s="2542"/>
    </row>
    <row r="62" spans="1:35" ht="12.75">
      <c r="A62" s="3749" t="s">
        <v>1375</v>
      </c>
      <c r="B62" s="3750"/>
      <c r="C62" s="2021"/>
      <c r="D62" s="2021" t="s">
        <v>1376</v>
      </c>
      <c r="E62" s="166" t="s">
        <v>1377</v>
      </c>
      <c r="F62" s="1808"/>
      <c r="G62" s="1808"/>
      <c r="H62" s="1810"/>
      <c r="I62" s="129"/>
    </row>
    <row r="63" spans="1:35" ht="12.75">
      <c r="A63" s="173" t="s">
        <v>330</v>
      </c>
      <c r="B63" s="167" t="s">
        <v>1378</v>
      </c>
      <c r="C63" s="2564">
        <f ca="1">ROUND((C64+C65)/(1+'数据-取费表'!C42),0)</f>
        <v>175407</v>
      </c>
      <c r="D63" s="167"/>
      <c r="E63" s="168"/>
      <c r="F63" s="1808"/>
      <c r="G63" s="1808"/>
      <c r="H63" s="1810"/>
      <c r="I63" s="129"/>
      <c r="J63" s="3713" t="s">
        <v>1379</v>
      </c>
      <c r="K63" s="1332" t="s">
        <v>1380</v>
      </c>
      <c r="L63" s="1332">
        <f ca="1">IF(M49&gt;10000,M49*0.5%,IF(AND(M49&gt;1000,M49&lt;=10000),M49*1%,IF(AND(M49&gt;100,M49&lt;=1000),M49*3%,IF(AND(M49&gt;10,M49&lt;=100),M49*5%,M49*8%))))</f>
        <v>920.88499999999999</v>
      </c>
      <c r="M63" s="302">
        <f ca="1">ROUND(L63,1)</f>
        <v>920.9</v>
      </c>
      <c r="N63" s="2543"/>
      <c r="Z63" s="1752"/>
      <c r="AI63" s="1753"/>
    </row>
    <row r="64" spans="1:35" ht="14.25" customHeight="1">
      <c r="A64" s="169" t="s">
        <v>325</v>
      </c>
      <c r="B64" s="170" t="s">
        <v>1381</v>
      </c>
      <c r="C64" s="2565">
        <f ca="1">D45</f>
        <v>184177</v>
      </c>
      <c r="D64" s="170" t="s">
        <v>26</v>
      </c>
      <c r="E64" s="172"/>
      <c r="F64" s="1808"/>
      <c r="G64" s="1808"/>
      <c r="H64" s="1810"/>
      <c r="I64" s="129"/>
      <c r="J64" s="3713"/>
      <c r="K64" s="1332" t="s">
        <v>1382</v>
      </c>
      <c r="L64" s="1332">
        <f ca="1">IF(M49&gt;2000,M49*0.5%,IF(AND(M49&gt;1000,M49&lt;=2000),M49*0.6%,IF(AND(M49&gt;500,M49&lt;=1000),M49*0.7%,IF(AND(M49&gt;200,M49&lt;=500),M49*0.8%,IF(AND(M49&gt;100,M49&lt;=200),M49*0.9%,IF(AND(M49&gt;50,M49&lt;=100),M49*1%,IF(AND(M49&gt;20,M49&lt;=50),M49*1.5%,IF(AND(M49&gt;10,M49&lt;=20),M49*2%,IF(AND(M49&gt;1,M49&lt;=10),M49*2.5%)))))))))</f>
        <v>920.88499999999999</v>
      </c>
      <c r="M64" s="302">
        <f t="shared" ref="M64:M65" ca="1" si="1">ROUND(L64,1)</f>
        <v>920.9</v>
      </c>
      <c r="N64" s="2544" t="s">
        <v>1383</v>
      </c>
      <c r="Z64" s="1752"/>
      <c r="AI64" s="1753"/>
    </row>
    <row r="65" spans="1:35" ht="14.25" customHeight="1">
      <c r="A65" s="169" t="s">
        <v>326</v>
      </c>
      <c r="B65" s="170" t="s">
        <v>1384</v>
      </c>
      <c r="C65" s="2566"/>
      <c r="D65" s="170"/>
      <c r="E65" s="172"/>
      <c r="F65" s="1808"/>
      <c r="G65" s="1808"/>
      <c r="H65" s="1810"/>
      <c r="I65" s="129"/>
      <c r="J65" s="3713"/>
      <c r="K65" s="1332" t="s">
        <v>1385</v>
      </c>
      <c r="L65" s="1332">
        <f ca="1">IF(M49&gt;1000,M49*0.1%,IF(AND(M49&gt;500,M49&lt;=1000),M49*0.5%,IF(AND(M49&gt;50,M49&lt;=500),M49*1%,IF(AND(M49&gt;1,M49&lt;=50),M49*1.5%))))</f>
        <v>184.17699999999999</v>
      </c>
      <c r="M65" s="302">
        <f t="shared" ca="1" si="1"/>
        <v>184.2</v>
      </c>
      <c r="N65" s="2544" t="s">
        <v>1383</v>
      </c>
      <c r="Z65" s="1752"/>
      <c r="AI65" s="1753"/>
    </row>
    <row r="66" spans="1:35" ht="14.25" customHeight="1">
      <c r="A66" s="173" t="s">
        <v>327</v>
      </c>
      <c r="B66" s="174" t="s">
        <v>1386</v>
      </c>
      <c r="C66" s="2567"/>
      <c r="D66" s="174" t="s">
        <v>26</v>
      </c>
      <c r="E66" s="1338" t="s">
        <v>671</v>
      </c>
      <c r="F66" s="1808"/>
      <c r="G66" s="1808"/>
      <c r="H66" s="1810"/>
      <c r="I66" s="129"/>
      <c r="J66" s="3713"/>
      <c r="K66" s="1332" t="s">
        <v>1387</v>
      </c>
      <c r="L66" s="1332">
        <f ca="1">M49*0.5%</f>
        <v>920.88499999999999</v>
      </c>
      <c r="M66" s="302">
        <f ca="1">IF(L66&gt;0.5,0.5,ROUND(L66,0))</f>
        <v>0.5</v>
      </c>
      <c r="N66" s="2544" t="s">
        <v>1388</v>
      </c>
      <c r="Z66" s="1752"/>
      <c r="AI66" s="1753"/>
    </row>
    <row r="67" spans="1:35" ht="14.25" customHeight="1">
      <c r="A67" s="173" t="s">
        <v>328</v>
      </c>
      <c r="B67" s="174" t="s">
        <v>1389</v>
      </c>
      <c r="C67" s="2568">
        <f ca="1">C63-C66</f>
        <v>175407</v>
      </c>
      <c r="D67" s="170" t="s">
        <v>26</v>
      </c>
      <c r="E67" s="172"/>
      <c r="F67" s="1808"/>
      <c r="G67" s="1808"/>
      <c r="H67" s="1810"/>
      <c r="I67" s="129"/>
      <c r="J67" s="3713"/>
      <c r="K67" s="1332" t="s">
        <v>1390</v>
      </c>
      <c r="L67" s="1332">
        <f ca="1">IF(M49&gt;=10000,(8.25+(M49-10000)*0.01%),IF(AND(M49&gt;=8000,M49&lt;10000),(7.85+(M49-8000)*0.02%),IF(AND(M49&gt;=5000,M49&lt;8000),(6.65+(M49-5000)*0.04%),IF(AND(M49&gt;=2000,M49&lt;5000),(4.25+(PM49-2000)*0.08%),IF(AND(M49&gt;=1000,M49&lt;2000),(2.75+(M49-1000)*0.15%),IF(AND(M49&gt;=100,M49&lt;1000),(0.5+(M49-100)*0.25%),IF(AND(M49&gt;0,M49&lt;100),M49*0.5%)))))))</f>
        <v>25.6677</v>
      </c>
      <c r="M67" s="302">
        <f ca="1">ROUND(L67*0.9,1)</f>
        <v>23.1</v>
      </c>
      <c r="N67" s="2543"/>
      <c r="Z67" s="1752"/>
      <c r="AI67" s="1753"/>
    </row>
    <row r="68" spans="1:35" ht="14.25" customHeight="1" thickBot="1">
      <c r="A68" s="176" t="s">
        <v>329</v>
      </c>
      <c r="B68" s="177" t="s">
        <v>1391</v>
      </c>
      <c r="C68" s="2569">
        <f ca="1">IF(C67&lt;=0,0,ROUND(C67*D68,0))</f>
        <v>9647</v>
      </c>
      <c r="D68" s="2570">
        <f>'数据-取费表'!B41</f>
        <v>5.5000000000000007E-2</v>
      </c>
      <c r="E68" s="178"/>
      <c r="F68" s="1808"/>
      <c r="G68" s="1808"/>
      <c r="H68" s="1810"/>
      <c r="I68" s="129"/>
      <c r="J68" s="3713"/>
      <c r="K68" s="1332" t="s">
        <v>1392</v>
      </c>
      <c r="L68" s="1332">
        <f ca="1">IF(M49&gt;10000,M49*0.5%,IF(AND(M49&gt;5000,M49&lt;=10000),M49*1%,IF(AND(M49&gt;1000,M49&lt;=5000),M49*2%,IF(AND(M49&gt;200,M49&lt;=1000),M49*3%,M49*5%))))</f>
        <v>920.88499999999999</v>
      </c>
      <c r="M68" s="302">
        <f ca="1">ROUND(L68,1)</f>
        <v>920.9</v>
      </c>
      <c r="N68" s="2543"/>
      <c r="Z68" s="1752"/>
      <c r="AI68" s="1753"/>
    </row>
    <row r="69" spans="1:35" s="1772" customFormat="1" ht="16.5" customHeight="1">
      <c r="A69" s="1811"/>
      <c r="B69" s="1812"/>
      <c r="C69" s="1813"/>
      <c r="D69" s="1814"/>
      <c r="E69" s="1815"/>
      <c r="F69" s="1578"/>
      <c r="G69" s="1578"/>
      <c r="H69" s="1577"/>
      <c r="I69" s="1747"/>
      <c r="J69" s="3713"/>
      <c r="K69" s="1332" t="s">
        <v>1393</v>
      </c>
      <c r="L69" s="1332"/>
      <c r="M69" s="302">
        <f ca="1">ROUND(SUM(M63:M68),0)</f>
        <v>2971</v>
      </c>
      <c r="N69" s="2545">
        <f ca="1">M69/M49</f>
        <v>1.6131221596616299E-2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757" t="s">
        <v>1394</v>
      </c>
      <c r="B70" s="3758"/>
      <c r="C70" s="3758"/>
      <c r="D70" s="3758"/>
      <c r="E70" s="3758"/>
      <c r="F70" s="3758"/>
      <c r="G70" s="3758"/>
      <c r="H70" s="375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749" t="s">
        <v>1375</v>
      </c>
      <c r="B71" s="375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175407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877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754" t="s">
        <v>1402</v>
      </c>
      <c r="F76" s="3753"/>
      <c r="G76" s="3753"/>
      <c r="H76" s="375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877</v>
      </c>
      <c r="D78" s="2577">
        <f>'数据-取费表'!B43</f>
        <v>5.000000000000001E-3</v>
      </c>
      <c r="E78" s="3746" t="s">
        <v>1406</v>
      </c>
      <c r="F78" s="3747"/>
      <c r="G78" s="3747"/>
      <c r="H78" s="374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174530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199.00798175598632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104411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757" t="s">
        <v>1410</v>
      </c>
      <c r="B83" s="3758"/>
      <c r="C83" s="3758"/>
      <c r="D83" s="3758"/>
      <c r="E83" s="3758"/>
      <c r="F83" s="3758"/>
      <c r="G83" s="3758"/>
      <c r="H83" s="375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749" t="s">
        <v>1375</v>
      </c>
      <c r="B84" s="375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175407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877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715" t="s">
        <v>2129</v>
      </c>
      <c r="H90" s="371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746" t="s">
        <v>1419</v>
      </c>
      <c r="F91" s="3747"/>
      <c r="G91" s="374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746" t="s">
        <v>1422</v>
      </c>
      <c r="F92" s="3747"/>
      <c r="G92" s="3747"/>
      <c r="H92" s="374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877</v>
      </c>
      <c r="D93" s="2577">
        <f>'数据-取费表'!B43</f>
        <v>5.000000000000001E-3</v>
      </c>
      <c r="E93" s="3746" t="s">
        <v>1406</v>
      </c>
      <c r="F93" s="3747"/>
      <c r="G93" s="3747"/>
      <c r="H93" s="374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791" t="s">
        <v>1426</v>
      </c>
      <c r="F94" s="3792"/>
      <c r="G94" s="3792"/>
      <c r="H94" s="37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174530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199.00798175598632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104411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96" t="s">
        <v>1428</v>
      </c>
      <c r="B100" s="3697"/>
      <c r="C100" s="3697"/>
      <c r="D100" s="3731"/>
      <c r="E100" s="3697" t="s">
        <v>1429</v>
      </c>
      <c r="F100" s="3697"/>
      <c r="G100" s="3697"/>
      <c r="H100" s="3731"/>
      <c r="I100" s="129"/>
    </row>
    <row r="101" spans="1:35" ht="18.75" customHeight="1">
      <c r="A101" s="3739" t="s">
        <v>1430</v>
      </c>
      <c r="B101" s="3740"/>
      <c r="C101" s="2585" t="str">
        <f>C4</f>
        <v>成本法</v>
      </c>
      <c r="D101" s="2586" t="str">
        <f>D4</f>
        <v>收益法</v>
      </c>
      <c r="E101" s="3709" t="s">
        <v>1431</v>
      </c>
      <c r="F101" s="3710"/>
      <c r="G101" s="1827" t="s">
        <v>1432</v>
      </c>
      <c r="H101" s="2595">
        <f ca="1">H118</f>
        <v>184177</v>
      </c>
      <c r="I101" s="129"/>
    </row>
    <row r="102" spans="1:35" ht="18.75" customHeight="1">
      <c r="A102" s="3741" t="s">
        <v>1433</v>
      </c>
      <c r="B102" s="2584" t="s">
        <v>1432</v>
      </c>
      <c r="C102" s="2585">
        <f ca="1">IF(D32="楼面单价",ROUND(C19,0),C19)</f>
        <v>165807</v>
      </c>
      <c r="D102" s="2586">
        <f ca="1">IF(D32="楼面单价",ROUND(D19,0),D19)</f>
        <v>202546</v>
      </c>
      <c r="E102" s="3709"/>
      <c r="F102" s="3710"/>
      <c r="G102" s="1827" t="s">
        <v>1434</v>
      </c>
      <c r="H102" s="2555">
        <f ca="1">I118</f>
        <v>16141</v>
      </c>
      <c r="I102" s="129"/>
    </row>
    <row r="103" spans="1:35" ht="42.75" customHeight="1">
      <c r="A103" s="3741"/>
      <c r="B103" s="2584" t="s">
        <v>1434</v>
      </c>
      <c r="C103" s="2587">
        <f ca="1">C20</f>
        <v>14531</v>
      </c>
      <c r="D103" s="2588">
        <f ca="1">D20</f>
        <v>17750</v>
      </c>
      <c r="E103" s="3702" t="s">
        <v>1435</v>
      </c>
      <c r="F103" s="3703"/>
      <c r="G103" s="1828" t="s">
        <v>1436</v>
      </c>
      <c r="H103" s="2595">
        <f>IF(D36="正常操作",H104+H105+H106,H105+H106)</f>
        <v>0</v>
      </c>
      <c r="I103" s="129"/>
    </row>
    <row r="104" spans="1:35" ht="18.75" customHeight="1">
      <c r="A104" s="3741" t="s">
        <v>1437</v>
      </c>
      <c r="B104" s="2589" t="s">
        <v>1432</v>
      </c>
      <c r="C104" s="2590">
        <f ca="1">H118</f>
        <v>184177</v>
      </c>
      <c r="D104" s="2591"/>
      <c r="E104" s="1674" t="s">
        <v>1438</v>
      </c>
      <c r="F104" s="1666"/>
      <c r="G104" s="1828" t="s">
        <v>1436</v>
      </c>
      <c r="H104" s="2596">
        <f>IF(D36="同一抵押权人同一抵押物续贷",C36&amp;"（续贷，未扣减，详见特别提示）",C36)</f>
        <v>0</v>
      </c>
      <c r="I104" s="129"/>
    </row>
    <row r="105" spans="1:35" ht="18.75" customHeight="1" thickBot="1">
      <c r="A105" s="3751"/>
      <c r="B105" s="2592" t="s">
        <v>1434</v>
      </c>
      <c r="C105" s="2593">
        <f ca="1">I118</f>
        <v>16141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742" t="str">
        <f>IF(项目基本情况!E8="已注销","——","3.房地产抵押价值")</f>
        <v>3.房地产抵押价值</v>
      </c>
      <c r="F107" s="3710"/>
      <c r="G107" s="1827" t="s">
        <v>1432</v>
      </c>
      <c r="H107" s="2595">
        <f ca="1">IF(E107="——","——",H101-H103)</f>
        <v>184177</v>
      </c>
      <c r="I107" s="129"/>
    </row>
    <row r="108" spans="1:35" ht="18.75" customHeight="1">
      <c r="A108" s="129"/>
      <c r="B108" s="129"/>
      <c r="C108" s="129"/>
      <c r="D108" s="129"/>
      <c r="E108" s="3742"/>
      <c r="F108" s="3710"/>
      <c r="G108" s="1827" t="s">
        <v>1434</v>
      </c>
      <c r="H108" s="2555">
        <f ca="1">IF(H107=H101,H102,ROUND(H107*10000/'数据-汇总表'!E3,0))</f>
        <v>16141</v>
      </c>
      <c r="I108" s="129"/>
    </row>
    <row r="109" spans="1:35" ht="18.75" customHeight="1">
      <c r="A109" s="129"/>
      <c r="B109" s="129"/>
      <c r="C109" s="129"/>
      <c r="D109" s="129"/>
      <c r="E109" s="3742" t="str">
        <f>IF(项目基本情况!E8="已注销及未注销","4.抵押担保权已注销时的房地产抵押价值",IF(项目基本情况!E8="已注销","3.抵押担保权已注销时的房地产抵押价值","——"))</f>
        <v>——</v>
      </c>
      <c r="F109" s="3710"/>
      <c r="G109" s="1827" t="s">
        <v>1432</v>
      </c>
      <c r="H109" s="2598" t="str">
        <f>IF(E109="——","——",H101-H105-H106)</f>
        <v>——</v>
      </c>
      <c r="I109" s="129"/>
    </row>
    <row r="110" spans="1:35" ht="18.75" customHeight="1">
      <c r="A110" s="129"/>
      <c r="B110" s="129"/>
      <c r="C110" s="129"/>
      <c r="D110" s="129"/>
      <c r="E110" s="3742"/>
      <c r="F110" s="3710"/>
      <c r="G110" s="1827" t="s">
        <v>1434</v>
      </c>
      <c r="H110" s="2555" t="str">
        <f>IF(H109="——","——",ROUND(H109*10000/'数据-汇总表'!E3,0))</f>
        <v>——</v>
      </c>
      <c r="I110" s="129"/>
    </row>
    <row r="111" spans="1:35" ht="18.75" customHeight="1">
      <c r="A111" s="129"/>
      <c r="B111" s="129"/>
      <c r="C111" s="129"/>
      <c r="D111" s="129"/>
      <c r="E111" s="3743" t="str">
        <f>IF(项目基本情况!E9="抵押净值",IF(OR(项目基本情况!E8="已注销",项目基本情况!E8="房地产抵押价值"),"4.抵押净值","5.抵押净值"),"——")</f>
        <v>——</v>
      </c>
      <c r="F111" s="3729"/>
      <c r="G111" s="1827" t="s">
        <v>1432</v>
      </c>
      <c r="H111" s="2595" t="str">
        <f>IF(E111="——","——",N59)</f>
        <v>——</v>
      </c>
      <c r="I111" s="129"/>
    </row>
    <row r="112" spans="1:35" ht="18.75" customHeight="1" thickBot="1">
      <c r="A112" s="129"/>
      <c r="B112" s="129"/>
      <c r="C112" s="129"/>
      <c r="D112" s="129"/>
      <c r="E112" s="3744"/>
      <c r="F112" s="3745"/>
      <c r="G112" s="1830" t="s">
        <v>1434</v>
      </c>
      <c r="H112" s="2599" t="str">
        <f>IF(E111="——","——",N61)</f>
        <v>——</v>
      </c>
      <c r="I112" s="129"/>
    </row>
    <row r="113" spans="1:27" ht="18.75" customHeight="1">
      <c r="A113" s="129"/>
      <c r="B113" s="129"/>
      <c r="C113" s="129"/>
      <c r="D113" s="129"/>
      <c r="E113" s="3752" t="s">
        <v>1440</v>
      </c>
      <c r="F113" s="3752"/>
      <c r="G113" s="3752"/>
      <c r="H113" s="3752"/>
      <c r="I113" s="129"/>
    </row>
    <row r="114" spans="1:27" ht="3.75" customHeight="1">
      <c r="A114" s="1747"/>
      <c r="B114" s="1747"/>
      <c r="C114" s="1747"/>
      <c r="D114" s="1747"/>
      <c r="E114" s="1809"/>
      <c r="F114" s="1809"/>
      <c r="G114" s="1809"/>
      <c r="H114" s="1809"/>
      <c r="I114" s="1747"/>
    </row>
    <row r="115" spans="1:27" ht="18.75" customHeight="1">
      <c r="A115" s="3760" t="s">
        <v>1442</v>
      </c>
      <c r="B115" s="3761"/>
      <c r="C115" s="3761"/>
      <c r="D115" s="3761"/>
      <c r="E115" s="3761"/>
      <c r="F115" s="3761"/>
      <c r="G115" s="3761"/>
      <c r="H115" s="3761"/>
      <c r="I115" s="3762"/>
    </row>
    <row r="116" spans="1:27" ht="27" customHeight="1">
      <c r="A116" s="3717" t="s">
        <v>1443</v>
      </c>
      <c r="B116" s="3721" t="s">
        <v>1444</v>
      </c>
      <c r="C116" s="3721" t="s">
        <v>1445</v>
      </c>
      <c r="D116" s="3727" t="s">
        <v>1446</v>
      </c>
      <c r="E116" s="3728"/>
      <c r="F116" s="3759" t="s">
        <v>1447</v>
      </c>
      <c r="G116" s="3759"/>
      <c r="H116" s="3717" t="s">
        <v>1448</v>
      </c>
      <c r="I116" s="3717"/>
    </row>
    <row r="117" spans="1:27" ht="18.75" customHeight="1">
      <c r="A117" s="3717"/>
      <c r="B117" s="3722"/>
      <c r="C117" s="372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114107.98</v>
      </c>
      <c r="C118" s="2329">
        <f>M19</f>
        <v>236852.67</v>
      </c>
      <c r="D118" s="2329">
        <f ca="1">ROUND(IF(D32="总价",C34,E118*B118/10000),0)</f>
        <v>132423</v>
      </c>
      <c r="E118" s="2329">
        <f ca="1">ROUND(IF(C33="自定义",IF(D32="楼面单价",C34,D118*10000/B118),I118-G118),0)</f>
        <v>11605</v>
      </c>
      <c r="F118" s="2329">
        <f ca="1">ROUND(IF(D32="总价",C35,G118*B118/10000),0)</f>
        <v>51754</v>
      </c>
      <c r="G118" s="2329">
        <f ca="1">ROUND(IF(D32="楼面单价",C35,F118*10000/B118),0)</f>
        <v>4536</v>
      </c>
      <c r="H118" s="2329">
        <f ca="1">ROUND(IF(D32="总价",C32,I118*B118/10000),0)</f>
        <v>184177</v>
      </c>
      <c r="I118" s="2329">
        <f ca="1">ROUND(IF(D32="楼面单价",C32,H118*10000/B118),0)</f>
        <v>16141</v>
      </c>
      <c r="K118" s="725">
        <f ca="1">D118/(C118/666.67)</f>
        <v>372.73145964535672</v>
      </c>
    </row>
    <row r="119" spans="1:27" ht="18.75" customHeight="1">
      <c r="A119" s="3717" t="s">
        <v>1452</v>
      </c>
      <c r="B119" s="3717"/>
      <c r="C119" s="3717"/>
      <c r="D119" s="3723" t="str">
        <f ca="1">NUMBERSTRING(INT(D118*10000),2)&amp;"元整"</f>
        <v>壹拾叁亿贰仟肆佰贰拾叁万元整</v>
      </c>
      <c r="E119" s="3724"/>
      <c r="F119" s="3723" t="str">
        <f ca="1">NUMBERSTRING(INT(F118*10000),2)&amp;"元整"</f>
        <v>伍亿壹仟柒佰伍拾肆万元整</v>
      </c>
      <c r="G119" s="3724"/>
      <c r="H119" s="3723" t="str">
        <f ca="1">NUMBERSTRING(INT(H118*10000),2)&amp;"元整"</f>
        <v>壹拾捌亿肆仟壹佰柒拾柒万元整</v>
      </c>
      <c r="I119" s="3724"/>
    </row>
    <row r="120" spans="1:27" ht="18.75" customHeight="1">
      <c r="A120" s="3718" t="str">
        <f>IF(项目基本情况!B9="房地产市场价值","",MID(E103,3,LEN(E103)-2))</f>
        <v>估价师知悉的法定优先受偿款</v>
      </c>
      <c r="B120" s="3719"/>
      <c r="C120" s="3720"/>
      <c r="D120" s="3718">
        <f>H103</f>
        <v>0</v>
      </c>
      <c r="E120" s="3719"/>
      <c r="F120" s="3719"/>
      <c r="G120" s="3719"/>
      <c r="H120" s="3719"/>
      <c r="I120" s="37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723" t="s">
        <v>1452</v>
      </c>
      <c r="B121" s="3725"/>
      <c r="C121" s="3724"/>
      <c r="D121" s="3723" t="str">
        <f>IF(D120=0,"零元整",NUMBERSTRING(INT(D120*10000),2)&amp;"元整")</f>
        <v>零元整</v>
      </c>
      <c r="E121" s="3725"/>
      <c r="F121" s="3725"/>
      <c r="G121" s="3725"/>
      <c r="H121" s="3725"/>
      <c r="I121" s="3724"/>
      <c r="AA121" s="725"/>
    </row>
    <row r="122" spans="1:27" ht="18.75" customHeight="1">
      <c r="A122" s="3729" t="str">
        <f>IF(项目基本情况!B9="房地产市场价值","",MID(E107,3,LEN(E107)-2))</f>
        <v>房地产抵押价值</v>
      </c>
      <c r="B122" s="3729"/>
      <c r="C122" s="3729"/>
      <c r="D122" s="3718">
        <f ca="1">H107</f>
        <v>184177</v>
      </c>
      <c r="E122" s="3719"/>
      <c r="F122" s="3719"/>
      <c r="G122" s="3719"/>
      <c r="H122" s="3719"/>
      <c r="I122" s="3720"/>
      <c r="AA122" s="725"/>
    </row>
    <row r="123" spans="1:27" ht="18.75" customHeight="1">
      <c r="A123" s="3717" t="s">
        <v>1452</v>
      </c>
      <c r="B123" s="3717"/>
      <c r="C123" s="3717"/>
      <c r="D123" s="3723" t="str">
        <f ca="1">NUMBERSTRING(INT(D122*10000),2)&amp;"元整"</f>
        <v>壹拾捌亿肆仟壹佰柒拾柒万元整</v>
      </c>
      <c r="E123" s="3725"/>
      <c r="F123" s="3725"/>
      <c r="G123" s="3725"/>
      <c r="H123" s="3725"/>
      <c r="I123" s="3724"/>
      <c r="AA123" s="725"/>
    </row>
    <row r="124" spans="1:27" ht="18.75" customHeight="1">
      <c r="A124" s="3729" t="str">
        <f>IF(项目基本情况!B9="房地产市场价值","",MID(E109,3,LEN(E109)-2))</f>
        <v/>
      </c>
      <c r="B124" s="3729"/>
      <c r="C124" s="3729"/>
      <c r="D124" s="3718" t="str">
        <f>H109</f>
        <v>——</v>
      </c>
      <c r="E124" s="3719"/>
      <c r="F124" s="3719"/>
      <c r="G124" s="3719"/>
      <c r="H124" s="3719"/>
      <c r="I124" s="3720"/>
      <c r="AA124" s="725"/>
    </row>
    <row r="125" spans="1:27" ht="18.75" customHeight="1">
      <c r="A125" s="3717" t="s">
        <v>1452</v>
      </c>
      <c r="B125" s="3717"/>
      <c r="C125" s="3717"/>
      <c r="D125" s="3723" t="e">
        <f>NUMBERSTRING(INT(D124*10000),2)&amp;"元整"</f>
        <v>#VALUE!</v>
      </c>
      <c r="E125" s="3725"/>
      <c r="F125" s="3725"/>
      <c r="G125" s="3725"/>
      <c r="H125" s="3725"/>
      <c r="I125" s="3724"/>
      <c r="AA125" s="725"/>
    </row>
    <row r="126" spans="1:27" ht="18.75" customHeight="1">
      <c r="A126" s="3729" t="str">
        <f>IF(项目基本情况!B9="房地产市场价值","",MID(E111,3,LEN(E111)-2))</f>
        <v/>
      </c>
      <c r="B126" s="3729"/>
      <c r="C126" s="3729"/>
      <c r="D126" s="3718" t="str">
        <f>H111</f>
        <v>——</v>
      </c>
      <c r="E126" s="3719"/>
      <c r="F126" s="3719"/>
      <c r="G126" s="3719"/>
      <c r="H126" s="3719"/>
      <c r="I126" s="3720"/>
      <c r="AA126" s="725"/>
    </row>
    <row r="127" spans="1:27" ht="18.75" customHeight="1">
      <c r="A127" s="3717" t="s">
        <v>1452</v>
      </c>
      <c r="B127" s="3717"/>
      <c r="C127" s="3717"/>
      <c r="D127" s="3723" t="e">
        <f>NUMBERSTRING(INT(D126*10000),2)&amp;"元整"</f>
        <v>#VALUE!</v>
      </c>
      <c r="E127" s="3725"/>
      <c r="F127" s="3725"/>
      <c r="G127" s="3725"/>
      <c r="H127" s="3725"/>
      <c r="I127" s="3724"/>
      <c r="AA127" s="725"/>
    </row>
    <row r="128" spans="1:27" ht="21.75" customHeight="1">
      <c r="A128" s="3726" t="s">
        <v>1453</v>
      </c>
      <c r="B128" s="3726"/>
      <c r="C128" s="3726"/>
      <c r="D128" s="3726"/>
      <c r="E128" s="3726"/>
      <c r="F128" s="3726"/>
      <c r="G128" s="3726"/>
      <c r="H128" s="3726"/>
      <c r="I128" s="372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70" zoomScaleSheetLayoutView="100" workbookViewId="0">
      <selection activeCell="B22" sqref="B2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165807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14531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84958</v>
      </c>
      <c r="D5" s="211" t="s">
        <v>1469</v>
      </c>
      <c r="E5" s="212" t="s">
        <v>1470</v>
      </c>
      <c r="F5" s="212" t="s">
        <v>1471</v>
      </c>
      <c r="G5" s="213"/>
    </row>
    <row r="6" spans="1:9" s="214" customFormat="1" ht="13.5" customHeight="1">
      <c r="A6" s="778" t="s">
        <v>1472</v>
      </c>
      <c r="B6" s="215" t="s">
        <v>1473</v>
      </c>
      <c r="C6" s="216">
        <f>基准地价修正!B2</f>
        <v>80340</v>
      </c>
      <c r="D6" s="217"/>
      <c r="E6" s="218"/>
      <c r="F6" s="218"/>
      <c r="G6" s="219"/>
    </row>
    <row r="7" spans="1:9" s="214" customFormat="1" ht="13.5" customHeight="1">
      <c r="A7" s="778" t="s">
        <v>1474</v>
      </c>
      <c r="B7" s="215" t="s">
        <v>1475</v>
      </c>
      <c r="C7" s="220">
        <f>ROUND(C6*F7,0)</f>
        <v>2450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2168</v>
      </c>
      <c r="D8" s="222"/>
      <c r="E8" s="220"/>
      <c r="F8" s="221"/>
      <c r="G8" s="1856" t="s">
        <v>3644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3645</v>
      </c>
      <c r="H9" s="1137"/>
      <c r="I9" s="1858" t="s">
        <v>1479</v>
      </c>
    </row>
    <row r="10" spans="1:9" s="214" customFormat="1" ht="13.5" customHeight="1">
      <c r="A10" s="779" t="s">
        <v>356</v>
      </c>
      <c r="B10" s="224" t="s">
        <v>1480</v>
      </c>
      <c r="C10" s="225">
        <f ca="1">ROUND(D10*E10/10000,0)</f>
        <v>2168</v>
      </c>
      <c r="D10" s="845">
        <f ca="1">IF(B1="",'数据-汇总表'!E6,IF(INDIRECT("'数据-取费表'!c"&amp;$G$1)="住宅",INDIRECT("'数据-取费表'!s"&amp;$G$1),INDIRECT("'数据-取费表'!k"&amp;$G$1)+INDIRECT("'数据-取费表'!s"&amp;$G$1)))</f>
        <v>114107.98</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114107.98</v>
      </c>
      <c r="E19" s="211">
        <f>'数据-取费表'!B31</f>
        <v>200</v>
      </c>
      <c r="F19" s="231"/>
      <c r="G19" s="1856" t="s">
        <v>3646</v>
      </c>
    </row>
    <row r="20" spans="1:7" s="214" customFormat="1" ht="13.5" customHeight="1">
      <c r="A20" s="255" t="s">
        <v>1493</v>
      </c>
      <c r="B20" s="210" t="s">
        <v>1494</v>
      </c>
      <c r="C20" s="232">
        <f ca="1">ROUND((C5+C19)*F20,0)</f>
        <v>1699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6022</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5963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59</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17331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17331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119200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43795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38797</v>
      </c>
      <c r="D34" s="217"/>
      <c r="E34" s="220"/>
      <c r="F34" s="257">
        <f ca="1">IF('数据-取费表'!B24=0,1,IF(B1="",'数据-取费表'!N16,INDIRECT("'数据-取费表'!n"&amp;$G$1)))</f>
        <v>1</v>
      </c>
      <c r="G34" s="219" t="s">
        <v>1526</v>
      </c>
    </row>
    <row r="35" spans="1:7" ht="13.5" customHeight="1">
      <c r="A35" s="780" t="s">
        <v>351</v>
      </c>
      <c r="B35" s="215" t="s">
        <v>1527</v>
      </c>
      <c r="C35" s="220">
        <f ca="1">ROUND(C34*F35,0)</f>
        <v>1940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2282</v>
      </c>
      <c r="D37" s="217">
        <f ca="1">D19</f>
        <v>114107.98</v>
      </c>
      <c r="E37" s="249">
        <f>'数据-取费表'!B35</f>
        <v>200</v>
      </c>
      <c r="F37" s="259"/>
      <c r="G37" s="261" t="s">
        <v>1532</v>
      </c>
    </row>
    <row r="38" spans="1:7" ht="13.5" customHeight="1">
      <c r="A38" s="780" t="s">
        <v>354</v>
      </c>
      <c r="B38" s="215" t="s">
        <v>1533</v>
      </c>
      <c r="C38" s="220">
        <f ca="1">ROUND(C34*F38,0)</f>
        <v>776</v>
      </c>
      <c r="D38" s="220"/>
      <c r="E38" s="220"/>
      <c r="F38" s="259">
        <f>'数据-取费表'!B36</f>
        <v>0.02</v>
      </c>
      <c r="G38" s="219" t="s">
        <v>1528</v>
      </c>
    </row>
    <row r="39" spans="1:7" s="214" customFormat="1" ht="13.5" customHeight="1">
      <c r="A39" s="255" t="s">
        <v>1534</v>
      </c>
      <c r="B39" s="210" t="s">
        <v>1535</v>
      </c>
      <c r="C39" s="232">
        <f ca="1">ROUND(C33*F20,0)</f>
        <v>876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1541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1511</v>
      </c>
      <c r="D42" s="238"/>
      <c r="E42" s="238"/>
      <c r="F42" s="239"/>
      <c r="G42" s="3796" t="s">
        <v>1544</v>
      </c>
    </row>
    <row r="43" spans="1:7" ht="13.5" customHeight="1">
      <c r="A43" s="780" t="s">
        <v>347</v>
      </c>
      <c r="B43" s="215" t="s">
        <v>1545</v>
      </c>
      <c r="C43" s="238">
        <f ca="1">ROUND(IF('数据-取费表'!B22&lt;=1,C39*F22*'数据-取费表'!B21/2,C39*(POWER((1+F22),'数据-取费表'!B21/2)-1)),0)</f>
        <v>30</v>
      </c>
      <c r="D43" s="238"/>
      <c r="E43" s="238"/>
      <c r="F43" s="239"/>
      <c r="G43" s="3797"/>
    </row>
    <row r="44" spans="1:7" ht="13.5" customHeight="1">
      <c r="A44" s="780" t="s">
        <v>348</v>
      </c>
      <c r="B44" s="215" t="s">
        <v>1546</v>
      </c>
      <c r="C44" s="238">
        <f ca="1">ROUND(IF('数据-取费表'!B22&lt;=1,C40*F22*'数据-取费表'!B21/2,C40*(POWER((1+F22),'数据-取费表'!B21/2)-1)),4)</f>
        <v>6.9999999999999999E-4</v>
      </c>
      <c r="D44" s="238"/>
      <c r="E44" s="238"/>
      <c r="F44" s="239"/>
      <c r="G44" s="3798"/>
    </row>
    <row r="45" spans="1:7" s="214" customFormat="1" ht="13.5" customHeight="1">
      <c r="A45" s="255" t="s">
        <v>1547</v>
      </c>
      <c r="B45" s="244" t="s">
        <v>1513</v>
      </c>
      <c r="C45" s="245">
        <f ca="1">C46</f>
        <v>8934</v>
      </c>
      <c r="D45" s="235">
        <f ca="1">C47</f>
        <v>4.0000000000000001E-3</v>
      </c>
      <c r="E45" s="236" t="s">
        <v>1539</v>
      </c>
      <c r="F45" s="246">
        <f ca="1">F27</f>
        <v>0.2</v>
      </c>
      <c r="G45" s="247" t="s">
        <v>1548</v>
      </c>
    </row>
    <row r="46" spans="1:7" s="214" customFormat="1" ht="13.5" customHeight="1">
      <c r="A46" s="780" t="s">
        <v>346</v>
      </c>
      <c r="B46" s="248" t="s">
        <v>1549</v>
      </c>
      <c r="C46" s="249">
        <f ca="1">ROUND((C33+C39)*F27,0)</f>
        <v>8934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59753</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46607</v>
      </c>
      <c r="D51" s="232"/>
      <c r="E51" s="232"/>
      <c r="F51" s="264"/>
      <c r="G51" s="234" t="s">
        <v>1560</v>
      </c>
    </row>
    <row r="52" spans="1:7" s="208" customFormat="1" ht="16.5" thickBot="1">
      <c r="A52" s="265" t="s">
        <v>1561</v>
      </c>
      <c r="B52" s="266"/>
      <c r="C52" s="267">
        <f ca="1">C31+C51</f>
        <v>165807</v>
      </c>
      <c r="D52" s="266"/>
      <c r="E52" s="266"/>
      <c r="F52" s="266"/>
      <c r="G52" s="268"/>
    </row>
    <row r="55" spans="1:7" ht="15">
      <c r="B55" s="270" t="s">
        <v>1562</v>
      </c>
      <c r="C55" s="271"/>
    </row>
    <row r="56" spans="1:7">
      <c r="B56" s="273" t="s">
        <v>802</v>
      </c>
      <c r="C56" s="275">
        <f ca="1">1-C57</f>
        <v>0.71899999999999997</v>
      </c>
    </row>
    <row r="57" spans="1:7">
      <c r="B57" s="273" t="s">
        <v>803</v>
      </c>
      <c r="C57" s="274">
        <f ca="1">ROUND(C51/C52,3)</f>
        <v>0.28100000000000003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52851.008900000001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4632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21680516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21680516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21680516</v>
      </c>
      <c r="D10" s="845">
        <f ca="1">IF(B1="",'数据-汇总表'!E6,IF(INDIRECT("'数据-取费表'!c"&amp;$G$1)="住宅",INDIRECT("'数据-取费表'!s"&amp;$G$1),INDIRECT("'数据-取费表'!k"&amp;$G$1)+INDIRECT("'数据-取费表'!s"&amp;$G$1)))</f>
        <v>114107.98</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22821596</v>
      </c>
      <c r="D19" s="849">
        <f ca="1">D9+D10</f>
        <v>114107.98</v>
      </c>
      <c r="E19" s="211">
        <f>'数据-取费表'!B31</f>
        <v>200</v>
      </c>
      <c r="F19" s="231"/>
      <c r="G19" s="1856"/>
    </row>
    <row r="20" spans="1:7" s="214" customFormat="1" ht="13.5" customHeight="1">
      <c r="A20" s="255" t="s">
        <v>1574</v>
      </c>
      <c r="B20" s="210" t="s">
        <v>1575</v>
      </c>
      <c r="C20" s="232">
        <f ca="1">ROUND((C5+C19)*F20,0)</f>
        <v>890042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3154321</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1521761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1601854</v>
      </c>
      <c r="D24" s="238"/>
      <c r="E24" s="238"/>
      <c r="F24" s="239"/>
      <c r="G24" s="240" t="s">
        <v>1586</v>
      </c>
    </row>
    <row r="25" spans="1:7" s="214" customFormat="1" ht="24">
      <c r="A25" s="780" t="s">
        <v>1476</v>
      </c>
      <c r="B25" s="215" t="s">
        <v>1587</v>
      </c>
      <c r="C25" s="1128">
        <f ca="1">ROUND(IF('数据-取费表'!B22&lt;=1,C20*F22*'数据-取费表'!B22/2,C20*(POWER((1+F22),'数据-取费表'!B22/2)-1)),0)</f>
        <v>30706</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9078431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9078431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62438949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437946428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387967132</v>
      </c>
      <c r="D34" s="217"/>
      <c r="E34" s="220"/>
      <c r="F34" s="257"/>
      <c r="G34" s="219"/>
    </row>
    <row r="35" spans="1:7" ht="13.5" customHeight="1">
      <c r="A35" s="780" t="s">
        <v>351</v>
      </c>
      <c r="B35" s="215" t="s">
        <v>1527</v>
      </c>
      <c r="C35" s="220">
        <f ca="1">ROUND(C34*F35,0)</f>
        <v>19398357</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22821596</v>
      </c>
      <c r="D37" s="217">
        <f ca="1">D19</f>
        <v>114107.98</v>
      </c>
      <c r="E37" s="249">
        <f>'数据-取费表'!B35</f>
        <v>200</v>
      </c>
      <c r="F37" s="259"/>
      <c r="G37" s="261"/>
    </row>
    <row r="38" spans="1:7" ht="13.5" customHeight="1">
      <c r="A38" s="780" t="s">
        <v>354</v>
      </c>
      <c r="B38" s="215" t="s">
        <v>1533</v>
      </c>
      <c r="C38" s="220">
        <f ca="1">ROUND(C34*F38,0)</f>
        <v>7759343</v>
      </c>
      <c r="D38" s="220"/>
      <c r="E38" s="220"/>
      <c r="F38" s="259">
        <f>'数据-取费表'!B36</f>
        <v>0.02</v>
      </c>
      <c r="G38" s="219" t="s">
        <v>1528</v>
      </c>
    </row>
    <row r="39" spans="1:7" s="214" customFormat="1" ht="13.5" customHeight="1">
      <c r="A39" s="255" t="s">
        <v>1534</v>
      </c>
      <c r="B39" s="210" t="s">
        <v>1535</v>
      </c>
      <c r="C39" s="232">
        <f ca="1">ROUND(C33*F20,0)</f>
        <v>8758929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15411335</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15109152</v>
      </c>
      <c r="D42" s="238"/>
      <c r="E42" s="238"/>
      <c r="F42" s="239"/>
      <c r="G42" s="3796" t="s">
        <v>1591</v>
      </c>
    </row>
    <row r="43" spans="1:7" ht="13.5" customHeight="1">
      <c r="A43" s="780" t="s">
        <v>347</v>
      </c>
      <c r="B43" s="215" t="s">
        <v>1545</v>
      </c>
      <c r="C43" s="238">
        <f ca="1">ROUND(IF('数据-取费表'!B22&lt;=1,C39*F22*'数据-取费表'!B20/2,C39*(POWER((1+F22),'数据-取费表'!B20/2)-1)),0)</f>
        <v>302183</v>
      </c>
      <c r="D43" s="238"/>
      <c r="E43" s="238"/>
      <c r="F43" s="239"/>
      <c r="G43" s="3797"/>
    </row>
    <row r="44" spans="1:7" ht="13.5" customHeight="1">
      <c r="A44" s="780" t="s">
        <v>348</v>
      </c>
      <c r="B44" s="215" t="s">
        <v>1546</v>
      </c>
      <c r="C44" s="238">
        <f ca="1">ROUND(IF('数据-取费表'!B22&lt;=1,C40*F22*'数据-取费表'!B20/2,C40*(POWER((1+F22),'数据-取费表'!B20/2)-1)),4)</f>
        <v>6.9999999999999999E-4</v>
      </c>
      <c r="D44" s="238"/>
      <c r="E44" s="238"/>
      <c r="F44" s="239"/>
      <c r="G44" s="3798"/>
    </row>
    <row r="45" spans="1:7" s="214" customFormat="1" ht="13.5" customHeight="1">
      <c r="A45" s="255" t="s">
        <v>1547</v>
      </c>
      <c r="B45" s="244" t="s">
        <v>1513</v>
      </c>
      <c r="C45" s="245">
        <f ca="1">C46</f>
        <v>89341071</v>
      </c>
      <c r="D45" s="235">
        <f ca="1">C47</f>
        <v>4.0000000000000001E-3</v>
      </c>
      <c r="E45" s="236" t="s">
        <v>1539</v>
      </c>
      <c r="F45" s="246">
        <f ca="1">F27</f>
        <v>0.2</v>
      </c>
      <c r="G45" s="247" t="s">
        <v>1548</v>
      </c>
    </row>
    <row r="46" spans="1:7" s="214" customFormat="1" ht="13.5" customHeight="1">
      <c r="A46" s="780" t="s">
        <v>346</v>
      </c>
      <c r="B46" s="248" t="s">
        <v>1549</v>
      </c>
      <c r="C46" s="249">
        <f ca="1">ROUND((C33+C39)*F27,0)</f>
        <v>89341071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597527103</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466071140</v>
      </c>
      <c r="D51" s="232"/>
      <c r="E51" s="232"/>
      <c r="F51" s="264"/>
      <c r="G51" s="234" t="s">
        <v>1560</v>
      </c>
    </row>
    <row r="52" spans="1:7" s="208" customFormat="1" ht="16.5" thickBot="1">
      <c r="A52" s="265" t="s">
        <v>1561</v>
      </c>
      <c r="B52" s="266"/>
      <c r="C52" s="267">
        <f ca="1">C31+C51</f>
        <v>528510089</v>
      </c>
      <c r="D52" s="266"/>
      <c r="E52" s="266"/>
      <c r="F52" s="266"/>
      <c r="G52" s="268"/>
    </row>
    <row r="55" spans="1:7" ht="15">
      <c r="B55" s="270" t="s">
        <v>1562</v>
      </c>
      <c r="C55" s="271"/>
    </row>
    <row r="56" spans="1:7">
      <c r="B56" s="273" t="s">
        <v>802</v>
      </c>
      <c r="C56" s="275">
        <f ca="1">1-C57</f>
        <v>0.11799999999999999</v>
      </c>
    </row>
    <row r="57" spans="1:7">
      <c r="B57" s="273" t="s">
        <v>803</v>
      </c>
      <c r="C57" s="274">
        <f ca="1">ROUND(C51/C52,3)</f>
        <v>0.88200000000000001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114107.98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114107.98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2168</v>
      </c>
      <c r="D20" s="846">
        <f ca="1">IF(C1="",'数据-汇总表'!E6,IF(INDIRECT("'数据-取费表'!c"&amp;$K$1)="住宅",INDIRECT("'数据-取费表'!s"&amp;$K$1),INDIRECT("'数据-取费表'!k"&amp;$K$1)+INDIRECT("'数据-取费表'!s"&amp;$K$1)))</f>
        <v>114107.98</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C43" sqref="C4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3338</v>
      </c>
      <c r="D1" s="1362" t="s">
        <v>43</v>
      </c>
      <c r="E1" s="1363" t="s">
        <v>678</v>
      </c>
      <c r="F1" s="1062">
        <f ca="1">J53</f>
        <v>32.54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202546</v>
      </c>
      <c r="C2" s="1387" t="s">
        <v>805</v>
      </c>
      <c r="D2" s="1387"/>
      <c r="E2" s="1388"/>
      <c r="F2" s="1389"/>
      <c r="G2" s="2706"/>
      <c r="H2" s="2695"/>
      <c r="I2" s="2695"/>
      <c r="J2" s="2695"/>
      <c r="K2" s="2696"/>
      <c r="L2" s="2695"/>
      <c r="M2" s="2695"/>
    </row>
    <row r="3" spans="1:37" ht="18" customHeight="1" thickBot="1">
      <c r="A3" s="1390" t="s">
        <v>806</v>
      </c>
      <c r="B3" s="1391">
        <f ca="1">IF(ISERROR(B2*10000/F43),0,ROUND(B2*10000/F43,0))</f>
        <v>17750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17827</v>
      </c>
      <c r="D5" s="1364" t="s">
        <v>693</v>
      </c>
      <c r="E5" s="1071"/>
      <c r="F5" s="1072"/>
      <c r="G5" s="1384"/>
      <c r="H5" s="299">
        <v>1</v>
      </c>
      <c r="I5" s="300" t="s">
        <v>692</v>
      </c>
      <c r="J5" s="1070">
        <f ca="1">J6+J10+J12</f>
        <v>0</v>
      </c>
      <c r="K5" s="1364" t="s">
        <v>693</v>
      </c>
      <c r="L5" s="1071"/>
      <c r="M5" s="1072"/>
    </row>
    <row r="6" spans="1:37" ht="18" customHeight="1">
      <c r="A6" s="1069" t="s">
        <v>398</v>
      </c>
      <c r="B6" s="3801" t="s">
        <v>694</v>
      </c>
      <c r="C6" s="1074">
        <f ca="1">ROUND(F6*F8*F7*(1-F9)/10000,0)</f>
        <v>17805</v>
      </c>
      <c r="D6" s="155" t="s">
        <v>2109</v>
      </c>
      <c r="E6" s="302" t="s">
        <v>696</v>
      </c>
      <c r="F6" s="303">
        <f ca="1">INDIRECT("'数据-取费表'!u"&amp;$G$1)</f>
        <v>4.5</v>
      </c>
      <c r="G6" s="1384"/>
      <c r="H6" s="1069" t="s">
        <v>398</v>
      </c>
      <c r="I6" s="3801" t="s">
        <v>694</v>
      </c>
      <c r="J6" s="301">
        <f ca="1">ROUND(M6*M8*M7*(1-M9)/10000,0)</f>
        <v>0</v>
      </c>
      <c r="K6" s="155" t="s">
        <v>2108</v>
      </c>
      <c r="L6" s="302" t="s">
        <v>696</v>
      </c>
      <c r="M6" s="303">
        <f ca="1">INDIRECT("'数据-取费表'!z"&amp;$G$1)</f>
        <v>0</v>
      </c>
    </row>
    <row r="7" spans="1:37" ht="18" customHeight="1">
      <c r="A7" s="1073"/>
      <c r="B7" s="3802"/>
      <c r="C7" s="1075"/>
      <c r="D7" s="307"/>
      <c r="E7" s="1076" t="s">
        <v>697</v>
      </c>
      <c r="F7" s="303">
        <f ca="1">IF(INDIRECT("'数据-取费表'!ah"&amp;$G$1)="",INDIRECT("'数据-取费表'!k"&amp;$G$1),INDIRECT("'数据-取费表'!ah"&amp;$G$1))</f>
        <v>114107.98</v>
      </c>
      <c r="G7" s="1384"/>
      <c r="H7" s="304"/>
      <c r="I7" s="3802"/>
      <c r="J7" s="306"/>
      <c r="K7" s="307"/>
      <c r="L7" s="302" t="s">
        <v>697</v>
      </c>
      <c r="M7" s="303">
        <f ca="1">F7</f>
        <v>114107.98</v>
      </c>
    </row>
    <row r="8" spans="1:37" ht="18" customHeight="1">
      <c r="A8" s="304"/>
      <c r="B8" s="3802"/>
      <c r="C8" s="306"/>
      <c r="D8" s="307"/>
      <c r="E8" s="302" t="s">
        <v>698</v>
      </c>
      <c r="F8" s="303">
        <f ca="1">INDIRECT("'数据-取费表'!ai"&amp;$G$1)</f>
        <v>365</v>
      </c>
      <c r="G8" s="1384"/>
      <c r="H8" s="304"/>
      <c r="I8" s="3802"/>
      <c r="J8" s="306"/>
      <c r="K8" s="307"/>
      <c r="L8" s="302" t="s">
        <v>698</v>
      </c>
      <c r="M8" s="303">
        <f ca="1">INDIRECT("'数据-取费表'!ai"&amp;$G$1)</f>
        <v>365</v>
      </c>
    </row>
    <row r="9" spans="1:37" ht="18" customHeight="1">
      <c r="A9" s="304"/>
      <c r="B9" s="3803"/>
      <c r="C9" s="306"/>
      <c r="D9" s="307"/>
      <c r="E9" s="302" t="s">
        <v>699</v>
      </c>
      <c r="F9" s="312">
        <f ca="1">INDIRECT("'数据-取费表'!w"&amp;$G$1)</f>
        <v>0.05</v>
      </c>
      <c r="G9" s="1384"/>
      <c r="H9" s="304"/>
      <c r="I9" s="3803"/>
      <c r="J9" s="306"/>
      <c r="K9" s="307"/>
      <c r="L9" s="313" t="s">
        <v>699</v>
      </c>
      <c r="M9" s="314">
        <f ca="1">INDIRECT("'数据-取费表'!ab"&amp;$G$1)</f>
        <v>0</v>
      </c>
    </row>
    <row r="10" spans="1:37" ht="18" customHeight="1">
      <c r="A10" s="1069" t="s">
        <v>402</v>
      </c>
      <c r="B10" s="1365" t="s">
        <v>700</v>
      </c>
      <c r="C10" s="316">
        <f ca="1">ROUND(IF(F10="押一",C6/12*F11,IF(F10="押二",C6/12*2*F11,IF(F10="押三",C6/12*3*F11,C11*F11))),0)</f>
        <v>22</v>
      </c>
      <c r="D10" s="1366" t="s">
        <v>2117</v>
      </c>
      <c r="E10" s="313" t="s">
        <v>701</v>
      </c>
      <c r="F10" s="1116" t="s">
        <v>3417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46607</v>
      </c>
      <c r="D13" s="1081" t="s">
        <v>705</v>
      </c>
      <c r="E13" s="1081" t="s">
        <v>706</v>
      </c>
      <c r="F13" s="1082">
        <f ca="1">INDIRECT("'数据-取费表'!y"&amp;$G$1)</f>
        <v>0.78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38797</v>
      </c>
      <c r="D14" s="1345" t="s">
        <v>708</v>
      </c>
      <c r="E14" s="1342"/>
      <c r="F14" s="319"/>
      <c r="G14" s="1384"/>
      <c r="H14" s="982" t="s">
        <v>398</v>
      </c>
      <c r="I14" s="302" t="s">
        <v>709</v>
      </c>
      <c r="J14" s="21">
        <f ca="1">C29</f>
        <v>59753</v>
      </c>
      <c r="K14" s="12"/>
      <c r="L14" s="807"/>
      <c r="M14" s="808"/>
    </row>
    <row r="15" spans="1:37" s="1397" customFormat="1" ht="18" customHeight="1" thickBot="1">
      <c r="A15" s="982" t="s">
        <v>399</v>
      </c>
      <c r="B15" s="302" t="s">
        <v>710</v>
      </c>
      <c r="C15" s="21">
        <f ca="1">ROUND(C14*F15,0)</f>
        <v>1940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334</v>
      </c>
      <c r="K16" s="1087" t="s">
        <v>715</v>
      </c>
      <c r="L16" s="1088"/>
      <c r="M16" s="1072"/>
    </row>
    <row r="17" spans="1:37" s="1397" customFormat="1" ht="18" customHeight="1">
      <c r="A17" s="982" t="s">
        <v>681</v>
      </c>
      <c r="B17" s="302" t="s">
        <v>716</v>
      </c>
      <c r="C17" s="21">
        <f ca="1">ROUND(F17*(F43+INDIRECT("'数据-取费表'!S"&amp;$G$1))/10000,0)</f>
        <v>2282</v>
      </c>
      <c r="D17" s="302" t="s">
        <v>717</v>
      </c>
      <c r="E17" s="302" t="s">
        <v>718</v>
      </c>
      <c r="F17" s="23">
        <f>'数据-取费表'!B35</f>
        <v>200</v>
      </c>
      <c r="G17" s="1396"/>
      <c r="H17" s="982" t="s">
        <v>398</v>
      </c>
      <c r="I17" s="302" t="s">
        <v>719</v>
      </c>
      <c r="J17" s="2316">
        <f ca="1">ROUND(IF(AND(项目基本情况!B11="自然人",项目基本情况!B10="北京市"),J6*M17/(1+'数据-取费表'!C42),J18+J19+J20),2)</f>
        <v>35.53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776</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43795</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876</v>
      </c>
      <c r="D20" s="323" t="s">
        <v>729</v>
      </c>
      <c r="E20" s="302" t="s">
        <v>712</v>
      </c>
      <c r="F20" s="322">
        <f>'数据-取费表'!B37</f>
        <v>0.02</v>
      </c>
      <c r="G20" s="1396"/>
      <c r="H20" s="982" t="s">
        <v>680</v>
      </c>
      <c r="I20" s="155" t="s">
        <v>730</v>
      </c>
      <c r="J20" s="22">
        <f ca="1">ROUND(M20*M21/10000,2)</f>
        <v>35.53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236852.67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298.77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1541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-334</v>
      </c>
      <c r="K25" s="1095" t="s">
        <v>753</v>
      </c>
      <c r="L25" s="1096"/>
      <c r="M25" s="1097"/>
    </row>
    <row r="26" spans="1:37">
      <c r="A26" s="982" t="s">
        <v>397</v>
      </c>
      <c r="B26" s="302" t="s">
        <v>754</v>
      </c>
      <c r="C26" s="21">
        <f ca="1">ROUND((C19+C20)*F26,0)</f>
        <v>8934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59753</v>
      </c>
      <c r="D29" s="1092"/>
      <c r="E29" s="1090"/>
      <c r="F29" s="1093"/>
      <c r="G29" s="1396"/>
      <c r="H29" s="334" t="s">
        <v>396</v>
      </c>
      <c r="I29" s="335" t="s">
        <v>768</v>
      </c>
      <c r="J29" s="336">
        <f ca="1">ROUND(J26/(1+F40)^F41,0)</f>
        <v>0</v>
      </c>
      <c r="K29" s="337" t="s">
        <v>769</v>
      </c>
      <c r="L29" s="338"/>
      <c r="M29" s="339">
        <f ca="1">INDIRECT("'数据-取费表'!k"&amp;$G$1)</f>
        <v>114107.98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3527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3003.03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932.64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2034.86</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35.53</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236852.67</v>
      </c>
      <c r="G35" s="1384"/>
      <c r="H35" s="2697"/>
      <c r="I35" s="1398"/>
      <c r="J35" s="1399"/>
      <c r="K35" s="2701"/>
      <c r="L35" s="2700"/>
      <c r="M35" s="2700"/>
    </row>
    <row r="36" spans="1:18" ht="18" customHeight="1">
      <c r="A36" s="1102" t="s">
        <v>402</v>
      </c>
      <c r="B36" s="302" t="s">
        <v>738</v>
      </c>
      <c r="C36" s="21">
        <f ca="1">ROUND(C29*F36,2)</f>
        <v>298.77</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46.61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178.27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14300</v>
      </c>
      <c r="D39" s="1095" t="s">
        <v>773</v>
      </c>
      <c r="E39" s="1096"/>
      <c r="F39" s="1097"/>
      <c r="G39" s="1384"/>
      <c r="H39" s="2700"/>
      <c r="I39" s="1398"/>
      <c r="J39" s="1399"/>
      <c r="K39" s="2704"/>
      <c r="L39" s="2700"/>
      <c r="M39" s="2700"/>
    </row>
    <row r="40" spans="1:18" ht="18" customHeight="1">
      <c r="A40" s="299" t="s">
        <v>395</v>
      </c>
      <c r="B40" s="300" t="s">
        <v>774</v>
      </c>
      <c r="C40" s="301">
        <f ca="1">ROUND(C39*(1-((1+F42)/(1+F40))^F41)/(F40-F42),0)</f>
        <v>202546</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32.54</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17750</v>
      </c>
      <c r="D43" s="337" t="s">
        <v>777</v>
      </c>
      <c r="E43" s="338" t="s">
        <v>778</v>
      </c>
      <c r="F43" s="339">
        <f ca="1">INDIRECT("'数据-取费表'!k"&amp;$G$1)</f>
        <v>114107.98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-207942</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3418</v>
      </c>
      <c r="K47" s="1416" t="s">
        <v>816</v>
      </c>
      <c r="L47" s="1417">
        <f ca="1">INDIRECT("'数据-取费表'!d"&amp;$G$1)</f>
        <v>50</v>
      </c>
      <c r="M47" s="1380" t="str">
        <f>IF(ISNUMBER(FIND("住宅",C1)),"住宅","非住宅")</f>
        <v>非住宅</v>
      </c>
      <c r="O47" s="1418" t="s">
        <v>403</v>
      </c>
      <c r="P47" s="1419" t="s">
        <v>817</v>
      </c>
      <c r="Q47" s="1420">
        <f ca="1">C40+J29</f>
        <v>202546</v>
      </c>
      <c r="R47" s="1420" t="s">
        <v>818</v>
      </c>
    </row>
    <row r="48" spans="1:18" s="1384" customFormat="1" ht="28.5" thickBot="1">
      <c r="A48" s="1110" t="s">
        <v>438</v>
      </c>
      <c r="B48" s="300" t="s">
        <v>692</v>
      </c>
      <c r="C48" s="1359">
        <f ca="1">C49+C53+C55</f>
        <v>0</v>
      </c>
      <c r="D48" s="1112"/>
      <c r="E48" s="1113"/>
      <c r="F48" s="962"/>
      <c r="G48" s="722"/>
      <c r="H48" s="723"/>
      <c r="I48" s="1421" t="s">
        <v>819</v>
      </c>
      <c r="J48" s="1422" t="s">
        <v>3419</v>
      </c>
      <c r="K48" s="1423" t="s">
        <v>820</v>
      </c>
      <c r="L48" s="1424">
        <f ca="1">INDIRECT("'数据-取费表'!f"&amp;$G$1)</f>
        <v>32.54</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2009</v>
      </c>
      <c r="K49" s="1423" t="s">
        <v>824</v>
      </c>
      <c r="L49" s="1427"/>
      <c r="O49" s="1428" t="s">
        <v>405</v>
      </c>
      <c r="P49" s="1419" t="s">
        <v>825</v>
      </c>
      <c r="Q49" s="1420">
        <f ca="1">C29</f>
        <v>59753</v>
      </c>
      <c r="R49" s="1420" t="s">
        <v>818</v>
      </c>
    </row>
    <row r="50" spans="1:18" s="1384" customFormat="1" ht="13.5" thickBot="1">
      <c r="A50" s="976"/>
      <c r="B50" s="979"/>
      <c r="C50" s="1118"/>
      <c r="D50" s="953"/>
      <c r="E50" s="1056" t="s">
        <v>697</v>
      </c>
      <c r="F50" s="1057">
        <f ca="1">F7</f>
        <v>114107.98</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196181</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32.54</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32.54</v>
      </c>
      <c r="K53" s="3799" t="s">
        <v>837</v>
      </c>
      <c r="L53" s="3800"/>
      <c r="O53" s="1418" t="s">
        <v>409</v>
      </c>
      <c r="P53" s="1419" t="s">
        <v>838</v>
      </c>
      <c r="Q53" s="1420">
        <f ca="1">Q47+Q48</f>
        <v>202546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46607</v>
      </c>
      <c r="D56" s="1447"/>
      <c r="E56" s="1448"/>
      <c r="F56" s="1440"/>
      <c r="I56" s="1449" t="s">
        <v>842</v>
      </c>
      <c r="J56" s="1450" t="s">
        <v>3412</v>
      </c>
      <c r="K56" s="1421" t="s">
        <v>843</v>
      </c>
      <c r="L56" s="1424" t="str">
        <f ca="1">IF(L48&lt;J51,"——",L48-J53)</f>
        <v>——</v>
      </c>
      <c r="O56" s="1418" t="s">
        <v>403</v>
      </c>
      <c r="P56" s="1419" t="s">
        <v>817</v>
      </c>
      <c r="Q56" s="1420">
        <f ca="1">C40+J29</f>
        <v>202546</v>
      </c>
      <c r="R56" s="1420" t="s">
        <v>818</v>
      </c>
    </row>
    <row r="57" spans="1:18" s="1384" customFormat="1" ht="24.75" thickBot="1">
      <c r="A57" s="1451"/>
      <c r="B57" s="950" t="s">
        <v>767</v>
      </c>
      <c r="C57" s="238">
        <f ca="1">C29</f>
        <v>59753</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381</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36</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35.53</v>
      </c>
      <c r="D62" s="965" t="s">
        <v>786</v>
      </c>
      <c r="E62" s="950" t="s">
        <v>787</v>
      </c>
      <c r="F62" s="325">
        <f t="shared" si="0"/>
        <v>1.5</v>
      </c>
      <c r="I62" s="1462" t="s">
        <v>858</v>
      </c>
      <c r="J62" s="1463" t="s">
        <v>859</v>
      </c>
      <c r="K62" s="1463" t="s">
        <v>860</v>
      </c>
      <c r="L62" s="1463" t="s">
        <v>861</v>
      </c>
      <c r="M62" s="1464" t="s">
        <v>862</v>
      </c>
      <c r="O62" s="1418" t="s">
        <v>409</v>
      </c>
      <c r="P62" s="1419" t="s">
        <v>863</v>
      </c>
      <c r="Q62" s="1420">
        <f ca="1">Q56+Q57</f>
        <v>202546</v>
      </c>
      <c r="R62" s="1420" t="s">
        <v>410</v>
      </c>
    </row>
    <row r="63" spans="1:18" s="1384" customFormat="1" ht="13.5" thickBot="1">
      <c r="A63" s="326"/>
      <c r="B63" s="956"/>
      <c r="C63" s="26"/>
      <c r="D63" s="966"/>
      <c r="E63" s="950" t="s">
        <v>788</v>
      </c>
      <c r="F63" s="303">
        <f t="shared" ca="1" si="0"/>
        <v>236852.67</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298.77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46.61</v>
      </c>
      <c r="D65" s="964" t="s">
        <v>743</v>
      </c>
      <c r="E65" s="950" t="s">
        <v>744</v>
      </c>
      <c r="F65" s="330">
        <f t="shared" ca="1" si="0"/>
        <v>1E-3</v>
      </c>
      <c r="I65" s="1462" t="s">
        <v>867</v>
      </c>
      <c r="J65" s="1463">
        <v>40</v>
      </c>
      <c r="K65" s="1463">
        <v>30</v>
      </c>
      <c r="L65" s="1463">
        <v>50</v>
      </c>
      <c r="M65" s="1465">
        <v>0.02</v>
      </c>
      <c r="O65" s="1418" t="s">
        <v>403</v>
      </c>
      <c r="P65" s="1419" t="s">
        <v>868</v>
      </c>
      <c r="Q65" s="1420">
        <f ca="1">C40+J29</f>
        <v>202546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-381</v>
      </c>
      <c r="D67" s="963" t="s">
        <v>753</v>
      </c>
      <c r="E67" s="968"/>
      <c r="F67" s="969"/>
      <c r="O67" s="1428" t="s">
        <v>405</v>
      </c>
      <c r="P67" s="1419" t="s">
        <v>850</v>
      </c>
      <c r="Q67" s="1466">
        <f ca="1">L51</f>
        <v>196181</v>
      </c>
      <c r="R67" s="1420" t="s">
        <v>870</v>
      </c>
    </row>
    <row r="68" spans="1:18" s="1384" customFormat="1" ht="16.5" thickBot="1">
      <c r="A68" s="947" t="s">
        <v>395</v>
      </c>
      <c r="B68" s="948" t="s">
        <v>774</v>
      </c>
      <c r="C68" s="301">
        <f ca="1">ROUND(C67*(1-((1+F70)/(1+F68))^F69)/(F68-F70),0)</f>
        <v>-5396</v>
      </c>
      <c r="D68" s="965" t="s">
        <v>758</v>
      </c>
      <c r="E68" s="950" t="s">
        <v>759</v>
      </c>
      <c r="F68" s="312">
        <f ca="1">F40</f>
        <v>0.06</v>
      </c>
      <c r="O68" s="1428" t="s">
        <v>406</v>
      </c>
      <c r="P68" s="1467" t="s">
        <v>871</v>
      </c>
      <c r="Q68" s="1420">
        <f ca="1">ROUND(Q69-Q70*Q71,0)</f>
        <v>11038</v>
      </c>
      <c r="R68" s="1420" t="s">
        <v>414</v>
      </c>
    </row>
    <row r="69" spans="1:18" s="1384" customFormat="1" ht="13.5" thickBot="1">
      <c r="A69" s="951"/>
      <c r="B69" s="952"/>
      <c r="C69" s="306"/>
      <c r="D69" s="970" t="s">
        <v>762</v>
      </c>
      <c r="E69" s="950" t="s">
        <v>763</v>
      </c>
      <c r="F69" s="333">
        <f ca="1">F41</f>
        <v>32.54</v>
      </c>
      <c r="O69" s="1428" t="s">
        <v>411</v>
      </c>
      <c r="P69" s="1467" t="s">
        <v>872</v>
      </c>
      <c r="Q69" s="1420">
        <f ca="1">C39</f>
        <v>14300</v>
      </c>
      <c r="R69" s="1420" t="s">
        <v>818</v>
      </c>
    </row>
    <row r="70" spans="1:18" s="1384" customFormat="1" ht="13.5" thickBot="1">
      <c r="A70" s="954"/>
      <c r="B70" s="955"/>
      <c r="C70" s="310"/>
      <c r="D70" s="966"/>
      <c r="E70" s="950" t="s">
        <v>766</v>
      </c>
      <c r="F70" s="1054"/>
      <c r="O70" s="1428" t="s">
        <v>412</v>
      </c>
      <c r="P70" s="1467" t="s">
        <v>873</v>
      </c>
      <c r="Q70" s="1420">
        <f ca="1">C13</f>
        <v>46607</v>
      </c>
      <c r="R70" s="1420" t="s">
        <v>818</v>
      </c>
    </row>
    <row r="71" spans="1:18" s="1384" customFormat="1" ht="13.5" thickBot="1">
      <c r="A71" s="971" t="s">
        <v>396</v>
      </c>
      <c r="B71" s="972" t="s">
        <v>776</v>
      </c>
      <c r="C71" s="336">
        <f ca="1">ROUND(C68*10000/F71,0)</f>
        <v>-473</v>
      </c>
      <c r="D71" s="973" t="s">
        <v>777</v>
      </c>
      <c r="E71" s="974" t="s">
        <v>778</v>
      </c>
      <c r="F71" s="339">
        <f ca="1">F43</f>
        <v>114107.98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3262</v>
      </c>
      <c r="D75" s="1384"/>
      <c r="E75" s="1384"/>
      <c r="F75" s="1384"/>
      <c r="K75" s="1402"/>
      <c r="L75" s="1384"/>
      <c r="O75" s="1418" t="s">
        <v>409</v>
      </c>
      <c r="P75" s="1419" t="s">
        <v>838</v>
      </c>
      <c r="Q75" s="1420">
        <f ca="1">Q65+Q66</f>
        <v>202546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0.77200000000000002</v>
      </c>
    </row>
    <row r="80" spans="1:18">
      <c r="B80" s="340" t="s">
        <v>800</v>
      </c>
      <c r="C80" s="274">
        <f ca="1">ROUND(C75/C39,3)</f>
        <v>0.22800000000000001</v>
      </c>
    </row>
    <row r="81" spans="2:3">
      <c r="B81" s="270" t="s">
        <v>801</v>
      </c>
      <c r="C81" s="238"/>
    </row>
    <row r="82" spans="2:3">
      <c r="B82" s="273" t="s">
        <v>802</v>
      </c>
      <c r="C82" s="275">
        <f ca="1">1-C83</f>
        <v>0.77</v>
      </c>
    </row>
    <row r="83" spans="2:3">
      <c r="B83" s="273" t="s">
        <v>803</v>
      </c>
      <c r="C83" s="274">
        <f ca="1">ROUND(C13/C40,3)</f>
        <v>0.23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801" t="s">
        <v>694</v>
      </c>
      <c r="C6" s="1074">
        <f ca="1">ROUND(F6*F8*F7*(1-F9),0)</f>
        <v>0</v>
      </c>
      <c r="D6" s="155" t="s">
        <v>2106</v>
      </c>
      <c r="E6" s="302" t="s">
        <v>696</v>
      </c>
      <c r="F6" s="303">
        <f ca="1">INDIRECT("'数据-取费表'!u"&amp;$G$1)</f>
        <v>0</v>
      </c>
      <c r="G6" s="1384"/>
      <c r="H6" s="1069" t="s">
        <v>398</v>
      </c>
      <c r="I6" s="3801" t="s">
        <v>694</v>
      </c>
      <c r="J6" s="301">
        <f ca="1">ROUND(M6*M8*M7*(1-M9),0)</f>
        <v>0</v>
      </c>
      <c r="K6" s="1376" t="s">
        <v>2107</v>
      </c>
      <c r="L6" s="302" t="s">
        <v>696</v>
      </c>
      <c r="M6" s="303">
        <f ca="1">INDIRECT("'数据-取费表'!z"&amp;$G$1)</f>
        <v>0</v>
      </c>
    </row>
    <row r="7" spans="1:37" ht="18" customHeight="1">
      <c r="A7" s="1073"/>
      <c r="B7" s="3802"/>
      <c r="C7" s="1075"/>
      <c r="D7" s="307"/>
      <c r="E7" s="1076" t="s">
        <v>697</v>
      </c>
      <c r="F7" s="303">
        <f ca="1">IF(INDIRECT("'数据-取费表'!ah"&amp;$G$1)="",INDIRECT("'数据-取费表'!k"&amp;$G$1),INDIRECT("'数据-取费表'!ah"&amp;$G$1))</f>
        <v>0</v>
      </c>
      <c r="G7" s="1384"/>
      <c r="H7" s="304"/>
      <c r="I7" s="3802"/>
      <c r="J7" s="306"/>
      <c r="K7" s="307"/>
      <c r="L7" s="302" t="s">
        <v>697</v>
      </c>
      <c r="M7" s="303">
        <f ca="1">F7</f>
        <v>0</v>
      </c>
    </row>
    <row r="8" spans="1:37" ht="18" customHeight="1">
      <c r="A8" s="304"/>
      <c r="B8" s="3802"/>
      <c r="C8" s="306"/>
      <c r="D8" s="307"/>
      <c r="E8" s="302" t="s">
        <v>698</v>
      </c>
      <c r="F8" s="303">
        <f ca="1">INDIRECT("'数据-取费表'!ai"&amp;$G$1)</f>
        <v>0</v>
      </c>
      <c r="G8" s="1384"/>
      <c r="H8" s="304"/>
      <c r="I8" s="3802"/>
      <c r="J8" s="306"/>
      <c r="K8" s="307"/>
      <c r="L8" s="302" t="s">
        <v>698</v>
      </c>
      <c r="M8" s="303">
        <f ca="1">INDIRECT("'数据-取费表'!ai"&amp;$G$1)</f>
        <v>0</v>
      </c>
    </row>
    <row r="9" spans="1:37" ht="18" customHeight="1">
      <c r="A9" s="304"/>
      <c r="B9" s="3803"/>
      <c r="C9" s="306"/>
      <c r="D9" s="307"/>
      <c r="E9" s="302" t="s">
        <v>699</v>
      </c>
      <c r="F9" s="312">
        <f ca="1">INDIRECT("'数据-取费表'!w"&amp;$G$1)</f>
        <v>0</v>
      </c>
      <c r="G9" s="1384"/>
      <c r="H9" s="304"/>
      <c r="I9" s="380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99" t="s">
        <v>837</v>
      </c>
      <c r="L53" s="380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804" t="s">
        <v>2321</v>
      </c>
      <c r="K2" s="3805"/>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806" t="s">
        <v>2331</v>
      </c>
      <c r="K3" s="3807"/>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806" t="s">
        <v>2333</v>
      </c>
      <c r="K4" s="3807"/>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808" t="s">
        <v>2337</v>
      </c>
      <c r="B6" s="3809"/>
      <c r="C6" s="3810"/>
      <c r="D6" s="2870"/>
      <c r="E6" s="2871"/>
      <c r="F6" s="2872"/>
      <c r="G6" s="2873"/>
      <c r="H6" s="2848"/>
      <c r="I6" s="2849"/>
      <c r="J6" s="3811">
        <v>1</v>
      </c>
      <c r="K6" s="381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811"/>
      <c r="K7" s="381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815" t="s">
        <v>2351</v>
      </c>
      <c r="C8" s="3816"/>
      <c r="D8" s="2889" t="s">
        <v>2352</v>
      </c>
      <c r="E8" s="2890" t="s">
        <v>2353</v>
      </c>
      <c r="F8" s="2891" t="s">
        <v>2354</v>
      </c>
      <c r="G8" s="2892"/>
      <c r="H8" s="2848"/>
      <c r="I8" s="2849"/>
      <c r="J8" s="3811"/>
      <c r="K8" s="381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815" t="s">
        <v>2357</v>
      </c>
      <c r="C9" s="3816"/>
      <c r="D9" s="2889">
        <f>ROUND(D6*E9,0)</f>
        <v>0</v>
      </c>
      <c r="E9" s="2893"/>
      <c r="F9" s="2894" t="s">
        <v>2358</v>
      </c>
      <c r="G9" s="2873"/>
      <c r="H9" s="2848"/>
      <c r="I9" s="2849"/>
      <c r="J9" s="3811"/>
      <c r="K9" s="3813"/>
      <c r="L9" s="2883" t="s">
        <v>2359</v>
      </c>
      <c r="M9" s="2884"/>
      <c r="N9" s="2860"/>
      <c r="O9" s="2885"/>
      <c r="P9" s="2885"/>
      <c r="Q9" s="2886">
        <v>365</v>
      </c>
      <c r="R9" s="2887">
        <f t="shared" si="0"/>
        <v>0</v>
      </c>
      <c r="S9" s="2841"/>
      <c r="T9" s="2841"/>
      <c r="U9" s="2841"/>
      <c r="V9" s="2849"/>
    </row>
    <row r="10" spans="1:22" s="2853" customFormat="1" ht="13.15" customHeight="1">
      <c r="A10" s="2888">
        <v>2</v>
      </c>
      <c r="B10" s="3815" t="s">
        <v>2360</v>
      </c>
      <c r="C10" s="3816"/>
      <c r="D10" s="2889">
        <f>ROUND(D6*E10,0)</f>
        <v>0</v>
      </c>
      <c r="E10" s="2893"/>
      <c r="F10" s="2894" t="s">
        <v>2361</v>
      </c>
      <c r="G10" s="2873"/>
      <c r="H10" s="2848"/>
      <c r="I10" s="2849"/>
      <c r="J10" s="3811"/>
      <c r="K10" s="3813"/>
      <c r="L10" s="2883" t="s">
        <v>2362</v>
      </c>
      <c r="M10" s="2884"/>
      <c r="N10" s="2860"/>
      <c r="O10" s="2885"/>
      <c r="P10" s="2885"/>
      <c r="Q10" s="2886">
        <v>365</v>
      </c>
      <c r="R10" s="2887">
        <f t="shared" si="0"/>
        <v>0</v>
      </c>
      <c r="S10" s="2841"/>
      <c r="T10" s="2841"/>
      <c r="U10" s="2841"/>
      <c r="V10" s="2849"/>
    </row>
    <row r="11" spans="1:22" s="2853" customFormat="1" ht="13.15" customHeight="1">
      <c r="A11" s="2888">
        <v>3</v>
      </c>
      <c r="B11" s="3815" t="s">
        <v>2363</v>
      </c>
      <c r="C11" s="3816"/>
      <c r="D11" s="2889">
        <f>D12+D14+D15+D16</f>
        <v>0</v>
      </c>
      <c r="E11" s="2895" t="e">
        <f>D11/D6</f>
        <v>#DIV/0!</v>
      </c>
      <c r="F11" s="2891"/>
      <c r="G11" s="2892"/>
      <c r="H11" s="2848"/>
      <c r="I11" s="2849"/>
      <c r="J11" s="3811"/>
      <c r="K11" s="381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817" t="s">
        <v>2366</v>
      </c>
      <c r="C12" s="3818"/>
      <c r="D12" s="2897">
        <f>ROUND(D13*1.2%*(1-30%),0)</f>
        <v>0</v>
      </c>
      <c r="E12" s="2898">
        <v>1.2E-2</v>
      </c>
      <c r="F12" s="2891" t="s">
        <v>2367</v>
      </c>
      <c r="G12" s="2892"/>
      <c r="H12" s="2848"/>
      <c r="I12" s="2849"/>
      <c r="J12" s="3811"/>
      <c r="K12" s="381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811"/>
      <c r="K13" s="381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817" t="s">
        <v>2372</v>
      </c>
      <c r="C14" s="3818"/>
      <c r="D14" s="2897">
        <f>ROUND(E14*B5/10000,0)</f>
        <v>0</v>
      </c>
      <c r="E14" s="2886"/>
      <c r="F14" s="2891" t="s">
        <v>2373</v>
      </c>
      <c r="G14" s="2892"/>
      <c r="H14" s="2848"/>
      <c r="I14" s="2849"/>
      <c r="J14" s="3811"/>
      <c r="K14" s="381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817" t="s">
        <v>2376</v>
      </c>
      <c r="C15" s="3818"/>
      <c r="D15" s="2897">
        <f>ROUND(D6*E15,0)</f>
        <v>0</v>
      </c>
      <c r="E15" s="2898">
        <v>5.5E-2</v>
      </c>
      <c r="F15" s="2891" t="s">
        <v>2377</v>
      </c>
      <c r="G15" s="2873"/>
      <c r="H15" s="2848"/>
      <c r="I15" s="2849"/>
      <c r="J15" s="3811">
        <v>2</v>
      </c>
      <c r="K15" s="381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817" t="s">
        <v>2385</v>
      </c>
      <c r="C16" s="3818"/>
      <c r="D16" s="2908">
        <f>D6*E16</f>
        <v>0</v>
      </c>
      <c r="E16" s="2909"/>
      <c r="F16" s="2894" t="s">
        <v>2386</v>
      </c>
      <c r="G16" s="2873"/>
      <c r="H16" s="2848"/>
      <c r="I16" s="2849"/>
      <c r="J16" s="3811"/>
      <c r="K16" s="381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819" t="s">
        <v>2388</v>
      </c>
      <c r="C17" s="3820"/>
      <c r="D17" s="2911">
        <f>ROUND(D6*E17,0)</f>
        <v>0</v>
      </c>
      <c r="E17" s="2912"/>
      <c r="F17" s="2913" t="s">
        <v>2389</v>
      </c>
      <c r="G17" s="2873"/>
      <c r="H17" s="2848"/>
      <c r="I17" s="2849"/>
      <c r="J17" s="3811"/>
      <c r="K17" s="381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811"/>
      <c r="K18" s="381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811"/>
      <c r="K19" s="381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811">
        <v>3</v>
      </c>
      <c r="K20" s="381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811"/>
      <c r="K21" s="381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811"/>
      <c r="K22" s="381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811"/>
      <c r="K23" s="381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811"/>
      <c r="K24" s="381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821">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82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804" t="s">
        <v>2321</v>
      </c>
      <c r="K32" s="3805"/>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806" t="s">
        <v>2331</v>
      </c>
      <c r="K33" s="3807"/>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806" t="s">
        <v>2333</v>
      </c>
      <c r="K34" s="380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811">
        <v>1</v>
      </c>
      <c r="K36" s="381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811"/>
      <c r="K37" s="381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811"/>
      <c r="K38" s="381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811"/>
      <c r="K39" s="381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811"/>
      <c r="K40" s="381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821">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82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202546</v>
      </c>
      <c r="C2" s="1872" t="s">
        <v>1651</v>
      </c>
      <c r="D2" s="1873" t="s">
        <v>1652</v>
      </c>
      <c r="E2" s="2607">
        <f>SUM(E6:E13)</f>
        <v>114107.98</v>
      </c>
      <c r="F2" s="2707"/>
      <c r="G2" s="1489"/>
      <c r="H2" s="1489"/>
      <c r="I2" s="1489"/>
      <c r="J2" s="1489"/>
      <c r="K2" s="1489"/>
      <c r="L2" s="1489"/>
      <c r="M2" s="1489"/>
      <c r="N2" s="1489"/>
      <c r="O2" s="1489"/>
      <c r="P2" s="1489"/>
      <c r="Q2" s="1489"/>
      <c r="R2" s="1489"/>
      <c r="S2" s="1489"/>
    </row>
    <row r="3" spans="1:22" ht="15.75">
      <c r="A3" s="1870" t="s">
        <v>686</v>
      </c>
      <c r="B3" s="2601">
        <f ca="1">ROUND(B2*10000/E2,0)</f>
        <v>17750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823" t="s">
        <v>1654</v>
      </c>
      <c r="C5" s="382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202546</v>
      </c>
      <c r="C6" s="1872" t="s">
        <v>1651</v>
      </c>
      <c r="D6" s="2709"/>
      <c r="E6" s="2606">
        <f>IF(OR(A6=0,F6="否"),0,'数据-取费表'!K6+'数据-取费表'!S6)</f>
        <v>114107.98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114107.98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843" t="s">
        <v>1667</v>
      </c>
      <c r="D4" s="3844"/>
      <c r="E4" s="3845" t="s">
        <v>1668</v>
      </c>
      <c r="F4" s="3846"/>
      <c r="G4" s="3843" t="s">
        <v>1669</v>
      </c>
      <c r="H4" s="3844"/>
      <c r="I4" s="3843" t="s">
        <v>1670</v>
      </c>
      <c r="J4" s="3844"/>
      <c r="K4" s="1889" t="s">
        <v>1671</v>
      </c>
      <c r="L4" s="2715"/>
      <c r="M4" s="2716"/>
      <c r="N4" s="2716"/>
      <c r="O4" s="2716"/>
      <c r="P4" s="3847" t="s">
        <v>1672</v>
      </c>
      <c r="Q4" s="3848"/>
      <c r="R4" s="3830" t="s">
        <v>1668</v>
      </c>
      <c r="S4" s="3831"/>
      <c r="T4" s="3830" t="s">
        <v>1669</v>
      </c>
      <c r="U4" s="3831"/>
      <c r="V4" s="3855" t="s">
        <v>1670</v>
      </c>
      <c r="W4" s="3855"/>
      <c r="X4" s="1355"/>
      <c r="Y4" s="3830" t="s">
        <v>1672</v>
      </c>
      <c r="Z4" s="3831"/>
      <c r="AA4" s="3825" t="s">
        <v>1668</v>
      </c>
      <c r="AB4" s="3825" t="s">
        <v>1669</v>
      </c>
      <c r="AC4" s="3825" t="s">
        <v>1670</v>
      </c>
    </row>
    <row r="5" spans="1:29" ht="15">
      <c r="A5" s="358"/>
      <c r="B5" s="359"/>
      <c r="C5" s="3836" t="s">
        <v>1673</v>
      </c>
      <c r="D5" s="3837"/>
      <c r="E5" s="3834" t="s">
        <v>1674</v>
      </c>
      <c r="F5" s="3835"/>
      <c r="G5" s="3836" t="s">
        <v>1675</v>
      </c>
      <c r="H5" s="3837"/>
      <c r="I5" s="3836" t="s">
        <v>1676</v>
      </c>
      <c r="J5" s="3837"/>
      <c r="K5" s="1890"/>
      <c r="L5" s="2715"/>
      <c r="M5" s="2716"/>
      <c r="N5" s="2716"/>
      <c r="O5" s="2716"/>
      <c r="P5" s="3849"/>
      <c r="Q5" s="3850"/>
      <c r="R5" s="3832"/>
      <c r="S5" s="3833"/>
      <c r="T5" s="3832"/>
      <c r="U5" s="3833"/>
      <c r="V5" s="3855"/>
      <c r="W5" s="3855"/>
      <c r="X5" s="1355"/>
      <c r="Y5" s="3832"/>
      <c r="Z5" s="3833"/>
      <c r="AA5" s="3826"/>
      <c r="AB5" s="3826"/>
      <c r="AC5" s="3826"/>
    </row>
    <row r="6" spans="1:29" ht="15.75" thickBot="1">
      <c r="A6" s="360"/>
      <c r="B6" s="361"/>
      <c r="C6" s="3838" t="s">
        <v>1677</v>
      </c>
      <c r="D6" s="3839"/>
      <c r="E6" s="3840" t="s">
        <v>1677</v>
      </c>
      <c r="F6" s="3841"/>
      <c r="G6" s="3838" t="s">
        <v>1677</v>
      </c>
      <c r="H6" s="3839"/>
      <c r="I6" s="3838" t="s">
        <v>1677</v>
      </c>
      <c r="J6" s="3839"/>
      <c r="K6" s="1890" t="s">
        <v>1678</v>
      </c>
      <c r="L6" s="2715"/>
      <c r="M6" s="2716"/>
      <c r="N6" s="2716"/>
      <c r="O6" s="2716"/>
      <c r="P6" s="3851"/>
      <c r="Q6" s="3852"/>
      <c r="R6" s="3832"/>
      <c r="S6" s="3833"/>
      <c r="T6" s="3853"/>
      <c r="U6" s="3854"/>
      <c r="V6" s="3855"/>
      <c r="W6" s="3855"/>
      <c r="X6" s="1355"/>
      <c r="Y6" s="3853"/>
      <c r="Z6" s="3854"/>
      <c r="AA6" s="3827"/>
      <c r="AB6" s="3827"/>
      <c r="AC6" s="3827"/>
    </row>
    <row r="7" spans="1:29" s="108" customFormat="1" ht="15.75" thickBot="1">
      <c r="A7" s="362" t="s">
        <v>1679</v>
      </c>
      <c r="B7" s="363"/>
      <c r="C7" s="364">
        <f>'数据-取费表'!B2</f>
        <v>45301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828" t="s">
        <v>1680</v>
      </c>
      <c r="Q7" s="3856"/>
      <c r="R7" s="701" t="s">
        <v>20</v>
      </c>
      <c r="S7" s="702">
        <f t="shared" ref="S7:S15" si="0">F7</f>
        <v>0</v>
      </c>
      <c r="T7" s="701" t="s">
        <v>20</v>
      </c>
      <c r="U7" s="702">
        <f t="shared" ref="U7:U15" si="1">H7</f>
        <v>0</v>
      </c>
      <c r="V7" s="701" t="s">
        <v>20</v>
      </c>
      <c r="W7" s="702">
        <f t="shared" ref="W7:W15" si="2">J7</f>
        <v>0</v>
      </c>
      <c r="X7" s="703"/>
      <c r="Y7" s="3828" t="s">
        <v>1680</v>
      </c>
      <c r="Z7" s="382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828" t="s">
        <v>1683</v>
      </c>
      <c r="Q8" s="3829"/>
      <c r="R8" s="701" t="s">
        <v>20</v>
      </c>
      <c r="S8" s="702">
        <f t="shared" si="0"/>
        <v>100</v>
      </c>
      <c r="T8" s="701" t="s">
        <v>20</v>
      </c>
      <c r="U8" s="702">
        <f t="shared" si="1"/>
        <v>100</v>
      </c>
      <c r="V8" s="701" t="s">
        <v>20</v>
      </c>
      <c r="W8" s="702">
        <f t="shared" si="2"/>
        <v>100</v>
      </c>
      <c r="X8" s="703"/>
      <c r="Y8" s="3828" t="s">
        <v>1683</v>
      </c>
      <c r="Z8" s="382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842" t="s">
        <v>1686</v>
      </c>
      <c r="Q9" s="1343" t="str">
        <f t="shared" ref="Q9:Q15" si="6">B9</f>
        <v>用途</v>
      </c>
      <c r="R9" s="701" t="s">
        <v>14</v>
      </c>
      <c r="S9" s="702">
        <f t="shared" si="0"/>
        <v>100</v>
      </c>
      <c r="T9" s="701" t="s">
        <v>14</v>
      </c>
      <c r="U9" s="702">
        <f t="shared" si="1"/>
        <v>100</v>
      </c>
      <c r="V9" s="701" t="s">
        <v>14</v>
      </c>
      <c r="W9" s="702">
        <f t="shared" si="2"/>
        <v>100</v>
      </c>
      <c r="X9" s="703"/>
      <c r="Y9" s="377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842"/>
      <c r="Q10" s="1343" t="str">
        <f t="shared" si="6"/>
        <v>土地使用年限（年）</v>
      </c>
      <c r="R10" s="701" t="s">
        <v>14</v>
      </c>
      <c r="S10" s="702">
        <f t="shared" si="0"/>
        <v>100</v>
      </c>
      <c r="T10" s="701" t="s">
        <v>14</v>
      </c>
      <c r="U10" s="702">
        <f t="shared" si="1"/>
        <v>100</v>
      </c>
      <c r="V10" s="701" t="s">
        <v>14</v>
      </c>
      <c r="W10" s="702">
        <f t="shared" si="2"/>
        <v>100</v>
      </c>
      <c r="X10" s="703"/>
      <c r="Y10" s="377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842"/>
      <c r="Q11" s="1343" t="str">
        <f t="shared" si="6"/>
        <v>容积率</v>
      </c>
      <c r="R11" s="701" t="s">
        <v>18</v>
      </c>
      <c r="S11" s="702" t="e">
        <f t="shared" si="0"/>
        <v>#N/A</v>
      </c>
      <c r="T11" s="701" t="s">
        <v>18</v>
      </c>
      <c r="U11" s="702" t="e">
        <f t="shared" si="1"/>
        <v>#N/A</v>
      </c>
      <c r="V11" s="701" t="s">
        <v>18</v>
      </c>
      <c r="W11" s="702" t="e">
        <f t="shared" si="2"/>
        <v>#N/A</v>
      </c>
      <c r="X11" s="703"/>
      <c r="Y11" s="377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842"/>
      <c r="Q12" s="1343">
        <f t="shared" si="6"/>
        <v>111</v>
      </c>
      <c r="R12" s="701" t="s">
        <v>18</v>
      </c>
      <c r="S12" s="702">
        <f t="shared" si="0"/>
        <v>100</v>
      </c>
      <c r="T12" s="701" t="s">
        <v>18</v>
      </c>
      <c r="U12" s="702">
        <f t="shared" si="1"/>
        <v>100</v>
      </c>
      <c r="V12" s="701" t="s">
        <v>18</v>
      </c>
      <c r="W12" s="702">
        <f t="shared" si="2"/>
        <v>100</v>
      </c>
      <c r="X12" s="703"/>
      <c r="Y12" s="377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842"/>
      <c r="Q13" s="1343">
        <f t="shared" si="6"/>
        <v>111</v>
      </c>
      <c r="R13" s="701" t="s">
        <v>18</v>
      </c>
      <c r="S13" s="702">
        <f t="shared" si="0"/>
        <v>100</v>
      </c>
      <c r="T13" s="701" t="s">
        <v>18</v>
      </c>
      <c r="U13" s="702">
        <f t="shared" si="1"/>
        <v>100</v>
      </c>
      <c r="V13" s="701" t="s">
        <v>18</v>
      </c>
      <c r="W13" s="702">
        <f t="shared" si="2"/>
        <v>100</v>
      </c>
      <c r="X13" s="703"/>
      <c r="Y13" s="377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842"/>
      <c r="Q14" s="1343">
        <f t="shared" si="6"/>
        <v>111</v>
      </c>
      <c r="R14" s="701" t="s">
        <v>18</v>
      </c>
      <c r="S14" s="702">
        <f t="shared" si="0"/>
        <v>100</v>
      </c>
      <c r="T14" s="701" t="s">
        <v>18</v>
      </c>
      <c r="U14" s="702">
        <f t="shared" si="1"/>
        <v>100</v>
      </c>
      <c r="V14" s="701" t="s">
        <v>18</v>
      </c>
      <c r="W14" s="702">
        <f t="shared" si="2"/>
        <v>100</v>
      </c>
      <c r="X14" s="703"/>
      <c r="Y14" s="377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869" t="s">
        <v>1691</v>
      </c>
      <c r="Q15" s="1352" t="str">
        <f t="shared" si="6"/>
        <v>居住社区成熟度</v>
      </c>
      <c r="R15" s="705" t="s">
        <v>18</v>
      </c>
      <c r="S15" s="706">
        <f t="shared" si="0"/>
        <v>100</v>
      </c>
      <c r="T15" s="705" t="s">
        <v>18</v>
      </c>
      <c r="U15" s="706">
        <f t="shared" si="1"/>
        <v>100</v>
      </c>
      <c r="V15" s="705" t="s">
        <v>18</v>
      </c>
      <c r="W15" s="706">
        <f t="shared" si="2"/>
        <v>100</v>
      </c>
      <c r="X15" s="1355"/>
      <c r="Y15" s="386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870"/>
      <c r="Q16" s="1352"/>
      <c r="R16" s="705"/>
      <c r="S16" s="706"/>
      <c r="T16" s="705"/>
      <c r="U16" s="706"/>
      <c r="V16" s="705"/>
      <c r="W16" s="706"/>
      <c r="X16" s="1355"/>
      <c r="Y16" s="386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870"/>
      <c r="Q17" s="1352" t="str">
        <f>B17</f>
        <v>交通便捷度</v>
      </c>
      <c r="R17" s="705" t="s">
        <v>18</v>
      </c>
      <c r="S17" s="706">
        <f>F17</f>
        <v>100</v>
      </c>
      <c r="T17" s="705" t="s">
        <v>18</v>
      </c>
      <c r="U17" s="706">
        <f>H17</f>
        <v>100</v>
      </c>
      <c r="V17" s="705" t="s">
        <v>18</v>
      </c>
      <c r="W17" s="706">
        <f>J17</f>
        <v>100</v>
      </c>
      <c r="X17" s="1355"/>
      <c r="Y17" s="386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870"/>
      <c r="Q18" s="1352"/>
      <c r="R18" s="705"/>
      <c r="S18" s="706"/>
      <c r="T18" s="705"/>
      <c r="U18" s="706"/>
      <c r="V18" s="705"/>
      <c r="W18" s="706"/>
      <c r="X18" s="1355"/>
      <c r="Y18" s="386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870"/>
      <c r="Q19" s="1352" t="str">
        <f>B19</f>
        <v>公共配套设施</v>
      </c>
      <c r="R19" s="705" t="s">
        <v>18</v>
      </c>
      <c r="S19" s="706">
        <f>F19</f>
        <v>100</v>
      </c>
      <c r="T19" s="705" t="s">
        <v>18</v>
      </c>
      <c r="U19" s="706">
        <f>H19</f>
        <v>100</v>
      </c>
      <c r="V19" s="705" t="s">
        <v>18</v>
      </c>
      <c r="W19" s="706">
        <f>J19</f>
        <v>100</v>
      </c>
      <c r="X19" s="1355"/>
      <c r="Y19" s="386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870"/>
      <c r="Q20" s="1352"/>
      <c r="R20" s="705"/>
      <c r="S20" s="706"/>
      <c r="T20" s="705"/>
      <c r="U20" s="706"/>
      <c r="V20" s="705"/>
      <c r="W20" s="706"/>
      <c r="X20" s="1355"/>
      <c r="Y20" s="386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870"/>
      <c r="Q21" s="1352" t="str">
        <f>B21</f>
        <v>基础设施水平</v>
      </c>
      <c r="R21" s="705" t="s">
        <v>14</v>
      </c>
      <c r="S21" s="706">
        <f>F21</f>
        <v>100</v>
      </c>
      <c r="T21" s="705" t="s">
        <v>14</v>
      </c>
      <c r="U21" s="706">
        <f>H21</f>
        <v>100</v>
      </c>
      <c r="V21" s="705" t="s">
        <v>14</v>
      </c>
      <c r="W21" s="706">
        <f>J21</f>
        <v>100</v>
      </c>
      <c r="X21" s="1355"/>
      <c r="Y21" s="38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870"/>
      <c r="Q22" s="1352"/>
      <c r="R22" s="705"/>
      <c r="S22" s="706"/>
      <c r="T22" s="705"/>
      <c r="U22" s="706"/>
      <c r="V22" s="705"/>
      <c r="W22" s="706"/>
      <c r="X22" s="1355"/>
      <c r="Y22" s="386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870"/>
      <c r="Q23" s="1352" t="str">
        <f>B23</f>
        <v>自然及人文环境</v>
      </c>
      <c r="R23" s="705" t="s">
        <v>18</v>
      </c>
      <c r="S23" s="706">
        <f>F23</f>
        <v>100</v>
      </c>
      <c r="T23" s="705" t="s">
        <v>18</v>
      </c>
      <c r="U23" s="706">
        <f>H23</f>
        <v>100</v>
      </c>
      <c r="V23" s="705" t="s">
        <v>18</v>
      </c>
      <c r="W23" s="706">
        <f>J23</f>
        <v>100</v>
      </c>
      <c r="X23" s="1355"/>
      <c r="Y23" s="386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870"/>
      <c r="Q24" s="1352"/>
      <c r="R24" s="705"/>
      <c r="S24" s="706"/>
      <c r="T24" s="705"/>
      <c r="U24" s="706"/>
      <c r="V24" s="705"/>
      <c r="W24" s="706"/>
      <c r="X24" s="1355"/>
      <c r="Y24" s="386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87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86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870"/>
      <c r="Q26" s="1352" t="str">
        <f t="shared" si="11"/>
        <v>朝向</v>
      </c>
      <c r="R26" s="705" t="s">
        <v>18</v>
      </c>
      <c r="S26" s="706">
        <f t="shared" si="12"/>
        <v>100</v>
      </c>
      <c r="T26" s="705" t="s">
        <v>18</v>
      </c>
      <c r="U26" s="706">
        <f t="shared" si="13"/>
        <v>100</v>
      </c>
      <c r="V26" s="705" t="s">
        <v>18</v>
      </c>
      <c r="W26" s="706">
        <f t="shared" si="14"/>
        <v>100</v>
      </c>
      <c r="X26" s="1355"/>
      <c r="Y26" s="386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870"/>
      <c r="Q27" s="1343">
        <f t="shared" si="11"/>
        <v>111</v>
      </c>
      <c r="R27" s="701" t="s">
        <v>18</v>
      </c>
      <c r="S27" s="702">
        <f t="shared" si="12"/>
        <v>100</v>
      </c>
      <c r="T27" s="701" t="s">
        <v>18</v>
      </c>
      <c r="U27" s="702">
        <f t="shared" si="13"/>
        <v>100</v>
      </c>
      <c r="V27" s="701" t="s">
        <v>18</v>
      </c>
      <c r="W27" s="702">
        <f t="shared" si="14"/>
        <v>100</v>
      </c>
      <c r="X27" s="703"/>
      <c r="Y27" s="386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870"/>
      <c r="Q28" s="1352">
        <f t="shared" si="11"/>
        <v>111</v>
      </c>
      <c r="R28" s="705" t="s">
        <v>18</v>
      </c>
      <c r="S28" s="706">
        <f t="shared" si="12"/>
        <v>100</v>
      </c>
      <c r="T28" s="705" t="s">
        <v>18</v>
      </c>
      <c r="U28" s="706">
        <f t="shared" si="13"/>
        <v>100</v>
      </c>
      <c r="V28" s="705" t="s">
        <v>18</v>
      </c>
      <c r="W28" s="706">
        <f t="shared" si="14"/>
        <v>100</v>
      </c>
      <c r="X28" s="1355"/>
      <c r="Y28" s="386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870"/>
      <c r="Q29" s="1352">
        <f t="shared" si="11"/>
        <v>111</v>
      </c>
      <c r="R29" s="705" t="s">
        <v>18</v>
      </c>
      <c r="S29" s="706">
        <f t="shared" si="12"/>
        <v>100</v>
      </c>
      <c r="T29" s="705" t="s">
        <v>18</v>
      </c>
      <c r="U29" s="706">
        <f t="shared" si="13"/>
        <v>100</v>
      </c>
      <c r="V29" s="705" t="s">
        <v>18</v>
      </c>
      <c r="W29" s="706">
        <f t="shared" si="14"/>
        <v>100</v>
      </c>
      <c r="X29" s="1355"/>
      <c r="Y29" s="386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870"/>
      <c r="Q30" s="1352">
        <f t="shared" si="11"/>
        <v>111</v>
      </c>
      <c r="R30" s="705" t="s">
        <v>18</v>
      </c>
      <c r="S30" s="706">
        <f t="shared" si="12"/>
        <v>100</v>
      </c>
      <c r="T30" s="705" t="s">
        <v>18</v>
      </c>
      <c r="U30" s="706">
        <f t="shared" si="13"/>
        <v>100</v>
      </c>
      <c r="V30" s="705" t="s">
        <v>18</v>
      </c>
      <c r="W30" s="706">
        <f t="shared" si="14"/>
        <v>100</v>
      </c>
      <c r="X30" s="1355"/>
      <c r="Y30" s="386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870"/>
      <c r="Q31" s="1352">
        <f t="shared" si="11"/>
        <v>111</v>
      </c>
      <c r="R31" s="705" t="s">
        <v>18</v>
      </c>
      <c r="S31" s="706">
        <f t="shared" si="12"/>
        <v>100</v>
      </c>
      <c r="T31" s="705" t="s">
        <v>18</v>
      </c>
      <c r="U31" s="706">
        <f t="shared" si="13"/>
        <v>100</v>
      </c>
      <c r="V31" s="705" t="s">
        <v>18</v>
      </c>
      <c r="W31" s="706">
        <f t="shared" si="14"/>
        <v>100</v>
      </c>
      <c r="X31" s="1355"/>
      <c r="Y31" s="386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864" t="s">
        <v>1696</v>
      </c>
      <c r="Q32" s="1352" t="str">
        <f t="shared" si="11"/>
        <v>建筑类型</v>
      </c>
      <c r="R32" s="705" t="s">
        <v>18</v>
      </c>
      <c r="S32" s="706">
        <f t="shared" si="12"/>
        <v>100</v>
      </c>
      <c r="T32" s="705" t="s">
        <v>18</v>
      </c>
      <c r="U32" s="706">
        <f t="shared" si="13"/>
        <v>100</v>
      </c>
      <c r="V32" s="705" t="s">
        <v>18</v>
      </c>
      <c r="W32" s="706">
        <f t="shared" si="14"/>
        <v>100</v>
      </c>
      <c r="X32" s="1355"/>
      <c r="Y32" s="386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865"/>
      <c r="Q33" s="707" t="str">
        <f t="shared" si="11"/>
        <v>项目建筑规模</v>
      </c>
      <c r="R33" s="708" t="s">
        <v>18</v>
      </c>
      <c r="S33" s="709" t="e">
        <f t="shared" si="12"/>
        <v>#N/A</v>
      </c>
      <c r="T33" s="708" t="s">
        <v>18</v>
      </c>
      <c r="U33" s="709" t="e">
        <f t="shared" si="13"/>
        <v>#N/A</v>
      </c>
      <c r="V33" s="708" t="s">
        <v>18</v>
      </c>
      <c r="W33" s="709" t="e">
        <f t="shared" si="14"/>
        <v>#N/A</v>
      </c>
      <c r="X33" s="710"/>
      <c r="Y33" s="386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865"/>
      <c r="Q34" s="1352" t="str">
        <f t="shared" si="11"/>
        <v>建筑结构</v>
      </c>
      <c r="R34" s="705" t="s">
        <v>18</v>
      </c>
      <c r="S34" s="706">
        <f t="shared" si="12"/>
        <v>100</v>
      </c>
      <c r="T34" s="705" t="s">
        <v>18</v>
      </c>
      <c r="U34" s="706">
        <f t="shared" si="13"/>
        <v>100</v>
      </c>
      <c r="V34" s="705" t="s">
        <v>18</v>
      </c>
      <c r="W34" s="706">
        <f t="shared" si="14"/>
        <v>100</v>
      </c>
      <c r="X34" s="1355"/>
      <c r="Y34" s="386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865"/>
      <c r="Q35" s="1352" t="str">
        <f t="shared" si="11"/>
        <v>建筑品质</v>
      </c>
      <c r="R35" s="705" t="s">
        <v>18</v>
      </c>
      <c r="S35" s="706">
        <f t="shared" si="12"/>
        <v>100</v>
      </c>
      <c r="T35" s="705" t="s">
        <v>18</v>
      </c>
      <c r="U35" s="706">
        <f t="shared" si="13"/>
        <v>100</v>
      </c>
      <c r="V35" s="705" t="s">
        <v>18</v>
      </c>
      <c r="W35" s="706">
        <f t="shared" si="14"/>
        <v>100</v>
      </c>
      <c r="X35" s="1355"/>
      <c r="Y35" s="386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865"/>
      <c r="Q36" s="1352" t="str">
        <f t="shared" si="11"/>
        <v>公共部分装修</v>
      </c>
      <c r="R36" s="705" t="s">
        <v>18</v>
      </c>
      <c r="S36" s="706">
        <f t="shared" si="12"/>
        <v>100</v>
      </c>
      <c r="T36" s="705" t="s">
        <v>18</v>
      </c>
      <c r="U36" s="706">
        <f t="shared" si="13"/>
        <v>100</v>
      </c>
      <c r="V36" s="705" t="s">
        <v>18</v>
      </c>
      <c r="W36" s="706">
        <f t="shared" si="14"/>
        <v>100</v>
      </c>
      <c r="X36" s="1355"/>
      <c r="Y36" s="386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865"/>
      <c r="Q37" s="1343" t="str">
        <f t="shared" si="11"/>
        <v>成新度</v>
      </c>
      <c r="R37" s="701" t="s">
        <v>18</v>
      </c>
      <c r="S37" s="702" t="e">
        <f t="shared" si="12"/>
        <v>#N/A</v>
      </c>
      <c r="T37" s="701" t="s">
        <v>18</v>
      </c>
      <c r="U37" s="702" t="e">
        <f t="shared" si="13"/>
        <v>#N/A</v>
      </c>
      <c r="V37" s="701" t="s">
        <v>18</v>
      </c>
      <c r="W37" s="702" t="e">
        <f t="shared" si="14"/>
        <v>#N/A</v>
      </c>
      <c r="X37" s="703"/>
      <c r="Y37" s="386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865" t="s">
        <v>1696</v>
      </c>
      <c r="Q38" s="1352" t="str">
        <f t="shared" si="11"/>
        <v>物业管理</v>
      </c>
      <c r="R38" s="705" t="s">
        <v>18</v>
      </c>
      <c r="S38" s="706">
        <f t="shared" si="12"/>
        <v>100</v>
      </c>
      <c r="T38" s="705" t="s">
        <v>18</v>
      </c>
      <c r="U38" s="706">
        <f t="shared" si="13"/>
        <v>100</v>
      </c>
      <c r="V38" s="705" t="s">
        <v>18</v>
      </c>
      <c r="W38" s="706">
        <f t="shared" si="14"/>
        <v>100</v>
      </c>
      <c r="X38" s="1355"/>
      <c r="Y38" s="386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865"/>
      <c r="Q39" s="1352" t="str">
        <f t="shared" si="11"/>
        <v>市政基础设施</v>
      </c>
      <c r="R39" s="705" t="s">
        <v>18</v>
      </c>
      <c r="S39" s="706">
        <f t="shared" si="12"/>
        <v>100</v>
      </c>
      <c r="T39" s="705" t="s">
        <v>18</v>
      </c>
      <c r="U39" s="706">
        <f t="shared" si="13"/>
        <v>100</v>
      </c>
      <c r="V39" s="705" t="s">
        <v>18</v>
      </c>
      <c r="W39" s="706">
        <f t="shared" si="14"/>
        <v>100</v>
      </c>
      <c r="X39" s="1355"/>
      <c r="Y39" s="386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865"/>
      <c r="Q40" s="1352" t="str">
        <f t="shared" si="11"/>
        <v>房型</v>
      </c>
      <c r="R40" s="705" t="s">
        <v>18</v>
      </c>
      <c r="S40" s="706">
        <f t="shared" si="12"/>
        <v>100</v>
      </c>
      <c r="T40" s="705" t="s">
        <v>18</v>
      </c>
      <c r="U40" s="706">
        <f t="shared" si="13"/>
        <v>100</v>
      </c>
      <c r="V40" s="705" t="s">
        <v>18</v>
      </c>
      <c r="W40" s="706">
        <f t="shared" si="14"/>
        <v>100</v>
      </c>
      <c r="X40" s="1355"/>
      <c r="Y40" s="386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865"/>
      <c r="Q41" s="707" t="str">
        <f t="shared" si="11"/>
        <v>单套/主力户型建筑面积</v>
      </c>
      <c r="R41" s="708" t="s">
        <v>18</v>
      </c>
      <c r="S41" s="709">
        <f t="shared" si="12"/>
        <v>100</v>
      </c>
      <c r="T41" s="708" t="s">
        <v>18</v>
      </c>
      <c r="U41" s="709">
        <f t="shared" si="13"/>
        <v>100</v>
      </c>
      <c r="V41" s="708" t="s">
        <v>18</v>
      </c>
      <c r="W41" s="709">
        <f t="shared" si="14"/>
        <v>100</v>
      </c>
      <c r="X41" s="710"/>
      <c r="Y41" s="386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865"/>
      <c r="Q42" s="1352" t="str">
        <f t="shared" si="11"/>
        <v>内部装修</v>
      </c>
      <c r="R42" s="705" t="s">
        <v>18</v>
      </c>
      <c r="S42" s="706">
        <f t="shared" si="12"/>
        <v>100</v>
      </c>
      <c r="T42" s="705" t="s">
        <v>18</v>
      </c>
      <c r="U42" s="706">
        <f t="shared" si="13"/>
        <v>100</v>
      </c>
      <c r="V42" s="705" t="s">
        <v>18</v>
      </c>
      <c r="W42" s="706">
        <f t="shared" si="14"/>
        <v>100</v>
      </c>
      <c r="X42" s="1355"/>
      <c r="Y42" s="386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865"/>
      <c r="Q43" s="1352" t="str">
        <f t="shared" si="11"/>
        <v>内部装修维护情况</v>
      </c>
      <c r="R43" s="705" t="s">
        <v>18</v>
      </c>
      <c r="S43" s="706">
        <f t="shared" si="12"/>
        <v>100</v>
      </c>
      <c r="T43" s="705" t="s">
        <v>18</v>
      </c>
      <c r="U43" s="706">
        <f t="shared" si="13"/>
        <v>100</v>
      </c>
      <c r="V43" s="705" t="s">
        <v>18</v>
      </c>
      <c r="W43" s="706">
        <f t="shared" si="14"/>
        <v>100</v>
      </c>
      <c r="X43" s="1355"/>
      <c r="Y43" s="386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865"/>
      <c r="Q44" s="1343">
        <f t="shared" si="11"/>
        <v>111</v>
      </c>
      <c r="R44" s="701" t="s">
        <v>18</v>
      </c>
      <c r="S44" s="702">
        <f t="shared" si="12"/>
        <v>100</v>
      </c>
      <c r="T44" s="701" t="s">
        <v>18</v>
      </c>
      <c r="U44" s="702">
        <f t="shared" si="13"/>
        <v>100</v>
      </c>
      <c r="V44" s="701" t="s">
        <v>18</v>
      </c>
      <c r="W44" s="702">
        <f t="shared" si="14"/>
        <v>100</v>
      </c>
      <c r="X44" s="703"/>
      <c r="Y44" s="386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865"/>
      <c r="Q45" s="1352">
        <f t="shared" si="11"/>
        <v>111</v>
      </c>
      <c r="R45" s="705" t="s">
        <v>18</v>
      </c>
      <c r="S45" s="706">
        <f t="shared" si="12"/>
        <v>100</v>
      </c>
      <c r="T45" s="705" t="s">
        <v>18</v>
      </c>
      <c r="U45" s="706">
        <f t="shared" si="13"/>
        <v>100</v>
      </c>
      <c r="V45" s="705" t="s">
        <v>18</v>
      </c>
      <c r="W45" s="706">
        <f t="shared" si="14"/>
        <v>100</v>
      </c>
      <c r="X45" s="1355"/>
      <c r="Y45" s="386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866"/>
      <c r="Q46" s="1352">
        <f t="shared" si="11"/>
        <v>111</v>
      </c>
      <c r="R46" s="705" t="s">
        <v>17</v>
      </c>
      <c r="S46" s="706">
        <f t="shared" si="12"/>
        <v>100</v>
      </c>
      <c r="T46" s="705" t="s">
        <v>17</v>
      </c>
      <c r="U46" s="706">
        <f t="shared" si="13"/>
        <v>100</v>
      </c>
      <c r="V46" s="705" t="s">
        <v>17</v>
      </c>
      <c r="W46" s="706">
        <f t="shared" si="14"/>
        <v>100</v>
      </c>
      <c r="X46" s="1355"/>
      <c r="Y46" s="386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860" t="str">
        <f>A47</f>
        <v>成交单价（元/平方米）</v>
      </c>
      <c r="Q47" s="3860"/>
      <c r="R47" s="3861">
        <f>E47</f>
        <v>0</v>
      </c>
      <c r="S47" s="3861"/>
      <c r="T47" s="3861">
        <f>G47</f>
        <v>0</v>
      </c>
      <c r="U47" s="3861"/>
      <c r="V47" s="3861">
        <f>I47</f>
        <v>0</v>
      </c>
      <c r="W47" s="386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860" t="str">
        <f>A48</f>
        <v>比较价值（元/平方米）</v>
      </c>
      <c r="Q48" s="3860"/>
      <c r="R48" s="3861" t="e">
        <f>IF(F1="售价",ROUND(PRODUCT(R47,AA7:AA46),0),ROUND(PRODUCT(R47,AA7:AA46),1))</f>
        <v>#DIV/0!</v>
      </c>
      <c r="S48" s="3861"/>
      <c r="T48" s="3861" t="e">
        <f>IF(F1="售价",ROUND(PRODUCT(T47,AB7:AB46),0),ROUND(PRODUCT(T47,AB7:AB46),1))</f>
        <v>#DIV/0!</v>
      </c>
      <c r="U48" s="3861"/>
      <c r="V48" s="3861" t="e">
        <f>IF(F1="售价",ROUND(PRODUCT(V47,AC7:AC46),0),ROUND(PRODUCT(V47,AC7:AC46),1))</f>
        <v>#DIV/0!</v>
      </c>
      <c r="W48" s="386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857" t="str">
        <f>A49</f>
        <v>估价对象XX用房的比较价值（楼面单价，元/平方米）</v>
      </c>
      <c r="Q49" s="3858"/>
      <c r="R49" s="3859" t="e">
        <f>IF(F1="售价",ROUND(IF(D48="简单平均",AVERAGE(R48:V48),R48*F48+T48*H48+V48*J48),0),ROUND(IF(D48="简单平均",AVERAGE(R48:V48),R48*F48+T48*H48+V48*J48),1))</f>
        <v>#DIV/0!</v>
      </c>
      <c r="S49" s="3859"/>
      <c r="T49" s="3859"/>
      <c r="U49" s="3859"/>
      <c r="V49" s="3859"/>
      <c r="W49" s="385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114107.98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843" t="s">
        <v>1770</v>
      </c>
      <c r="D4" s="3844"/>
      <c r="E4" s="3845" t="s">
        <v>1771</v>
      </c>
      <c r="F4" s="3846"/>
      <c r="G4" s="3843" t="s">
        <v>1772</v>
      </c>
      <c r="H4" s="3844"/>
      <c r="I4" s="3843" t="s">
        <v>1773</v>
      </c>
      <c r="J4" s="3844"/>
      <c r="K4" s="559" t="s">
        <v>1774</v>
      </c>
      <c r="L4" s="2715"/>
      <c r="M4" s="2716"/>
      <c r="N4" s="2716"/>
      <c r="O4" s="2716"/>
      <c r="P4" s="3847" t="s">
        <v>1775</v>
      </c>
      <c r="Q4" s="3848"/>
      <c r="R4" s="3830" t="s">
        <v>1771</v>
      </c>
      <c r="S4" s="3831"/>
      <c r="T4" s="3830" t="s">
        <v>1772</v>
      </c>
      <c r="U4" s="3831"/>
      <c r="V4" s="3855" t="s">
        <v>1773</v>
      </c>
      <c r="W4" s="3855"/>
      <c r="X4" s="1355"/>
      <c r="Y4" s="3830" t="s">
        <v>1775</v>
      </c>
      <c r="Z4" s="3831"/>
      <c r="AA4" s="3825" t="s">
        <v>1771</v>
      </c>
      <c r="AB4" s="3855" t="s">
        <v>1772</v>
      </c>
      <c r="AC4" s="3825" t="s">
        <v>1773</v>
      </c>
    </row>
    <row r="5" spans="1:29" ht="15">
      <c r="A5" s="358"/>
      <c r="B5" s="359"/>
      <c r="C5" s="3836" t="s">
        <v>1673</v>
      </c>
      <c r="D5" s="3837"/>
      <c r="E5" s="3834" t="s">
        <v>1674</v>
      </c>
      <c r="F5" s="3835"/>
      <c r="G5" s="3836" t="s">
        <v>1675</v>
      </c>
      <c r="H5" s="3837"/>
      <c r="I5" s="3836" t="s">
        <v>1676</v>
      </c>
      <c r="J5" s="3837"/>
      <c r="K5" s="559"/>
      <c r="L5" s="2715"/>
      <c r="M5" s="2716"/>
      <c r="N5" s="2716"/>
      <c r="O5" s="2716"/>
      <c r="P5" s="3849"/>
      <c r="Q5" s="3850"/>
      <c r="R5" s="3832"/>
      <c r="S5" s="3833"/>
      <c r="T5" s="3832"/>
      <c r="U5" s="3833"/>
      <c r="V5" s="3855"/>
      <c r="W5" s="3855"/>
      <c r="X5" s="1355"/>
      <c r="Y5" s="3832"/>
      <c r="Z5" s="3833"/>
      <c r="AA5" s="3826"/>
      <c r="AB5" s="3855"/>
      <c r="AC5" s="3826"/>
    </row>
    <row r="6" spans="1:29" ht="15.75" thickBot="1">
      <c r="A6" s="360"/>
      <c r="B6" s="361"/>
      <c r="C6" s="3838" t="s">
        <v>1677</v>
      </c>
      <c r="D6" s="3839"/>
      <c r="E6" s="3840" t="s">
        <v>1677</v>
      </c>
      <c r="F6" s="3841"/>
      <c r="G6" s="3838" t="s">
        <v>1677</v>
      </c>
      <c r="H6" s="3839"/>
      <c r="I6" s="3838" t="s">
        <v>1677</v>
      </c>
      <c r="J6" s="3839"/>
      <c r="K6" s="559" t="s">
        <v>1678</v>
      </c>
      <c r="L6" s="2715"/>
      <c r="M6" s="2716"/>
      <c r="N6" s="2716"/>
      <c r="O6" s="2716"/>
      <c r="P6" s="3851"/>
      <c r="Q6" s="3852"/>
      <c r="R6" s="3832"/>
      <c r="S6" s="3833"/>
      <c r="T6" s="3853"/>
      <c r="U6" s="3854"/>
      <c r="V6" s="3855"/>
      <c r="W6" s="3855"/>
      <c r="X6" s="1355"/>
      <c r="Y6" s="3853"/>
      <c r="Z6" s="3854"/>
      <c r="AA6" s="3827"/>
      <c r="AB6" s="3855"/>
      <c r="AC6" s="3827"/>
    </row>
    <row r="7" spans="1:29" s="108" customFormat="1" ht="15.75" thickBot="1">
      <c r="A7" s="362" t="s">
        <v>1679</v>
      </c>
      <c r="B7" s="363"/>
      <c r="C7" s="364">
        <f>'数据-取费表'!B2</f>
        <v>45301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828" t="s">
        <v>1680</v>
      </c>
      <c r="Q7" s="3856"/>
      <c r="R7" s="701" t="s">
        <v>14</v>
      </c>
      <c r="S7" s="702">
        <f t="shared" ref="S7:S15" si="0">F7</f>
        <v>0</v>
      </c>
      <c r="T7" s="701" t="s">
        <v>14</v>
      </c>
      <c r="U7" s="702">
        <f t="shared" ref="U7:U15" si="1">H7</f>
        <v>0</v>
      </c>
      <c r="V7" s="701" t="s">
        <v>14</v>
      </c>
      <c r="W7" s="702">
        <f t="shared" ref="W7:W15" si="2">J7</f>
        <v>0</v>
      </c>
      <c r="X7" s="703"/>
      <c r="Y7" s="3828" t="s">
        <v>1680</v>
      </c>
      <c r="Z7" s="382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828" t="s">
        <v>1683</v>
      </c>
      <c r="Q8" s="3829"/>
      <c r="R8" s="701" t="s">
        <v>14</v>
      </c>
      <c r="S8" s="702">
        <f t="shared" si="0"/>
        <v>100</v>
      </c>
      <c r="T8" s="701" t="s">
        <v>14</v>
      </c>
      <c r="U8" s="702">
        <f t="shared" si="1"/>
        <v>100</v>
      </c>
      <c r="V8" s="701" t="s">
        <v>14</v>
      </c>
      <c r="W8" s="702">
        <f t="shared" si="2"/>
        <v>100</v>
      </c>
      <c r="X8" s="703"/>
      <c r="Y8" s="3828" t="s">
        <v>1683</v>
      </c>
      <c r="Z8" s="382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842" t="s">
        <v>1686</v>
      </c>
      <c r="Q9" s="1343" t="str">
        <f t="shared" ref="Q9:Q15" si="6">B9</f>
        <v>用途</v>
      </c>
      <c r="R9" s="701" t="s">
        <v>14</v>
      </c>
      <c r="S9" s="702">
        <f t="shared" si="0"/>
        <v>100</v>
      </c>
      <c r="T9" s="701" t="s">
        <v>14</v>
      </c>
      <c r="U9" s="702">
        <f t="shared" si="1"/>
        <v>100</v>
      </c>
      <c r="V9" s="701" t="s">
        <v>14</v>
      </c>
      <c r="W9" s="702">
        <f t="shared" si="2"/>
        <v>100</v>
      </c>
      <c r="X9" s="703"/>
      <c r="Y9" s="377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842"/>
      <c r="Q10" s="1343" t="str">
        <f t="shared" si="6"/>
        <v>土地使用年限（年）</v>
      </c>
      <c r="R10" s="701" t="s">
        <v>14</v>
      </c>
      <c r="S10" s="702">
        <f t="shared" si="0"/>
        <v>100</v>
      </c>
      <c r="T10" s="701" t="s">
        <v>14</v>
      </c>
      <c r="U10" s="702">
        <f t="shared" si="1"/>
        <v>100</v>
      </c>
      <c r="V10" s="701" t="s">
        <v>14</v>
      </c>
      <c r="W10" s="702">
        <f t="shared" si="2"/>
        <v>100</v>
      </c>
      <c r="X10" s="703"/>
      <c r="Y10" s="377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842"/>
      <c r="Q11" s="1343" t="str">
        <f t="shared" si="6"/>
        <v>容积率</v>
      </c>
      <c r="R11" s="701" t="s">
        <v>14</v>
      </c>
      <c r="S11" s="702" t="e">
        <f t="shared" si="0"/>
        <v>#N/A</v>
      </c>
      <c r="T11" s="701" t="s">
        <v>14</v>
      </c>
      <c r="U11" s="702" t="e">
        <f t="shared" si="1"/>
        <v>#N/A</v>
      </c>
      <c r="V11" s="701" t="s">
        <v>14</v>
      </c>
      <c r="W11" s="702" t="e">
        <f t="shared" si="2"/>
        <v>#N/A</v>
      </c>
      <c r="X11" s="703"/>
      <c r="Y11" s="377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842"/>
      <c r="Q12" s="1343">
        <f t="shared" si="6"/>
        <v>111</v>
      </c>
      <c r="R12" s="701" t="s">
        <v>14</v>
      </c>
      <c r="S12" s="702">
        <f t="shared" si="0"/>
        <v>100</v>
      </c>
      <c r="T12" s="701" t="s">
        <v>14</v>
      </c>
      <c r="U12" s="702">
        <f t="shared" si="1"/>
        <v>100</v>
      </c>
      <c r="V12" s="701" t="s">
        <v>14</v>
      </c>
      <c r="W12" s="702">
        <f t="shared" si="2"/>
        <v>100</v>
      </c>
      <c r="X12" s="703"/>
      <c r="Y12" s="377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842"/>
      <c r="Q13" s="1343">
        <f t="shared" si="6"/>
        <v>111</v>
      </c>
      <c r="R13" s="701" t="s">
        <v>14</v>
      </c>
      <c r="S13" s="702">
        <f t="shared" si="0"/>
        <v>100</v>
      </c>
      <c r="T13" s="701" t="s">
        <v>14</v>
      </c>
      <c r="U13" s="702">
        <f t="shared" si="1"/>
        <v>100</v>
      </c>
      <c r="V13" s="701" t="s">
        <v>14</v>
      </c>
      <c r="W13" s="702">
        <f t="shared" si="2"/>
        <v>100</v>
      </c>
      <c r="X13" s="703"/>
      <c r="Y13" s="377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842"/>
      <c r="Q14" s="1343">
        <f t="shared" si="6"/>
        <v>111</v>
      </c>
      <c r="R14" s="701" t="s">
        <v>14</v>
      </c>
      <c r="S14" s="702">
        <f t="shared" si="0"/>
        <v>100</v>
      </c>
      <c r="T14" s="701" t="s">
        <v>14</v>
      </c>
      <c r="U14" s="702">
        <f t="shared" si="1"/>
        <v>100</v>
      </c>
      <c r="V14" s="701" t="s">
        <v>14</v>
      </c>
      <c r="W14" s="702">
        <f t="shared" si="2"/>
        <v>100</v>
      </c>
      <c r="X14" s="703"/>
      <c r="Y14" s="377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869" t="s">
        <v>1691</v>
      </c>
      <c r="Q15" s="1352" t="str">
        <f t="shared" si="6"/>
        <v>商业繁华度</v>
      </c>
      <c r="R15" s="705" t="s">
        <v>14</v>
      </c>
      <c r="S15" s="706">
        <f t="shared" si="0"/>
        <v>100</v>
      </c>
      <c r="T15" s="705" t="s">
        <v>14</v>
      </c>
      <c r="U15" s="706">
        <f t="shared" si="1"/>
        <v>100</v>
      </c>
      <c r="V15" s="705" t="s">
        <v>14</v>
      </c>
      <c r="W15" s="706">
        <f t="shared" si="2"/>
        <v>100</v>
      </c>
      <c r="X15" s="1355"/>
      <c r="Y15" s="386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870"/>
      <c r="Q16" s="1352"/>
      <c r="R16" s="705"/>
      <c r="S16" s="706"/>
      <c r="T16" s="705"/>
      <c r="U16" s="706"/>
      <c r="V16" s="705"/>
      <c r="W16" s="706"/>
      <c r="X16" s="1355"/>
      <c r="Y16" s="386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870"/>
      <c r="Q17" s="1352" t="str">
        <f>B17</f>
        <v>交通便捷度</v>
      </c>
      <c r="R17" s="705" t="s">
        <v>14</v>
      </c>
      <c r="S17" s="706">
        <f>F17</f>
        <v>100</v>
      </c>
      <c r="T17" s="705" t="s">
        <v>14</v>
      </c>
      <c r="U17" s="706">
        <f>H17</f>
        <v>100</v>
      </c>
      <c r="V17" s="705" t="s">
        <v>14</v>
      </c>
      <c r="W17" s="706">
        <f>J17</f>
        <v>100</v>
      </c>
      <c r="X17" s="1355"/>
      <c r="Y17" s="386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870"/>
      <c r="Q18" s="1352"/>
      <c r="R18" s="705"/>
      <c r="S18" s="706"/>
      <c r="T18" s="705"/>
      <c r="U18" s="706"/>
      <c r="V18" s="705"/>
      <c r="W18" s="706"/>
      <c r="X18" s="1355"/>
      <c r="Y18" s="386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870"/>
      <c r="Q19" s="1352" t="str">
        <f>B19</f>
        <v>公共配套设施</v>
      </c>
      <c r="R19" s="705" t="s">
        <v>14</v>
      </c>
      <c r="S19" s="706">
        <f>F19</f>
        <v>100</v>
      </c>
      <c r="T19" s="705" t="s">
        <v>14</v>
      </c>
      <c r="U19" s="706">
        <f>H19</f>
        <v>100</v>
      </c>
      <c r="V19" s="705" t="s">
        <v>14</v>
      </c>
      <c r="W19" s="706">
        <f>J19</f>
        <v>100</v>
      </c>
      <c r="X19" s="1355"/>
      <c r="Y19" s="386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870"/>
      <c r="Q20" s="1352"/>
      <c r="R20" s="705"/>
      <c r="S20" s="706"/>
      <c r="T20" s="705"/>
      <c r="U20" s="706"/>
      <c r="V20" s="705"/>
      <c r="W20" s="706"/>
      <c r="X20" s="1355"/>
      <c r="Y20" s="386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870"/>
      <c r="Q21" s="1352" t="str">
        <f>B21</f>
        <v>基础设施水平</v>
      </c>
      <c r="R21" s="705" t="s">
        <v>14</v>
      </c>
      <c r="S21" s="706">
        <f>F21</f>
        <v>100</v>
      </c>
      <c r="T21" s="705" t="s">
        <v>14</v>
      </c>
      <c r="U21" s="706">
        <f>H21</f>
        <v>100</v>
      </c>
      <c r="V21" s="705" t="s">
        <v>14</v>
      </c>
      <c r="W21" s="706">
        <f>J21</f>
        <v>100</v>
      </c>
      <c r="X21" s="1355"/>
      <c r="Y21" s="38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870"/>
      <c r="Q22" s="1352"/>
      <c r="R22" s="705"/>
      <c r="S22" s="706"/>
      <c r="T22" s="705"/>
      <c r="U22" s="706"/>
      <c r="V22" s="705"/>
      <c r="W22" s="706"/>
      <c r="X22" s="1355"/>
      <c r="Y22" s="386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870"/>
      <c r="Q23" s="1352" t="str">
        <f>B23</f>
        <v>自然及人文环境</v>
      </c>
      <c r="R23" s="705" t="s">
        <v>14</v>
      </c>
      <c r="S23" s="706">
        <f>F23</f>
        <v>100</v>
      </c>
      <c r="T23" s="705" t="s">
        <v>14</v>
      </c>
      <c r="U23" s="706">
        <f>H23</f>
        <v>100</v>
      </c>
      <c r="V23" s="705" t="s">
        <v>14</v>
      </c>
      <c r="W23" s="706">
        <f>J23</f>
        <v>100</v>
      </c>
      <c r="X23" s="1355"/>
      <c r="Y23" s="386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870"/>
      <c r="Q24" s="1352"/>
      <c r="R24" s="705"/>
      <c r="S24" s="706"/>
      <c r="T24" s="705"/>
      <c r="U24" s="706"/>
      <c r="V24" s="705"/>
      <c r="W24" s="706"/>
      <c r="X24" s="1355"/>
      <c r="Y24" s="386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870"/>
      <c r="Q25" s="1352" t="str">
        <f t="shared" ref="Q25:Q46" si="11">B25</f>
        <v>临街状况</v>
      </c>
      <c r="R25" s="705" t="s">
        <v>14</v>
      </c>
      <c r="S25" s="706">
        <f>F25</f>
        <v>100</v>
      </c>
      <c r="T25" s="705" t="s">
        <v>14</v>
      </c>
      <c r="U25" s="706">
        <f>H25</f>
        <v>100</v>
      </c>
      <c r="V25" s="705" t="s">
        <v>14</v>
      </c>
      <c r="W25" s="706">
        <f>J25</f>
        <v>100</v>
      </c>
      <c r="X25" s="1355"/>
      <c r="Y25" s="386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870"/>
      <c r="Q26" s="1352" t="str">
        <f t="shared" si="11"/>
        <v>平面位置/可视性</v>
      </c>
      <c r="R26" s="705" t="s">
        <v>14</v>
      </c>
      <c r="S26" s="706">
        <f>F26</f>
        <v>100</v>
      </c>
      <c r="T26" s="705" t="s">
        <v>14</v>
      </c>
      <c r="U26" s="706">
        <f>H26</f>
        <v>100</v>
      </c>
      <c r="V26" s="705" t="s">
        <v>14</v>
      </c>
      <c r="W26" s="706">
        <f>J26</f>
        <v>100</v>
      </c>
      <c r="X26" s="1355"/>
      <c r="Y26" s="386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870"/>
      <c r="Q27" s="1343" t="str">
        <f t="shared" si="11"/>
        <v>人流量</v>
      </c>
      <c r="R27" s="701" t="s">
        <v>14</v>
      </c>
      <c r="S27" s="702">
        <f>F27</f>
        <v>100</v>
      </c>
      <c r="T27" s="701" t="s">
        <v>14</v>
      </c>
      <c r="U27" s="702">
        <f>H27</f>
        <v>100</v>
      </c>
      <c r="V27" s="701" t="s">
        <v>14</v>
      </c>
      <c r="W27" s="702">
        <f>J27</f>
        <v>100</v>
      </c>
      <c r="X27" s="703"/>
      <c r="Y27" s="386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87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86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870"/>
      <c r="Q29" s="1352">
        <f t="shared" si="11"/>
        <v>111</v>
      </c>
      <c r="R29" s="705" t="s">
        <v>14</v>
      </c>
      <c r="S29" s="706">
        <f t="shared" si="12"/>
        <v>100</v>
      </c>
      <c r="T29" s="705" t="s">
        <v>14</v>
      </c>
      <c r="U29" s="706">
        <f t="shared" si="13"/>
        <v>100</v>
      </c>
      <c r="V29" s="705" t="s">
        <v>14</v>
      </c>
      <c r="W29" s="706">
        <f t="shared" si="14"/>
        <v>100</v>
      </c>
      <c r="X29" s="1355"/>
      <c r="Y29" s="386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870"/>
      <c r="Q30" s="1352">
        <f t="shared" si="11"/>
        <v>111</v>
      </c>
      <c r="R30" s="705" t="s">
        <v>14</v>
      </c>
      <c r="S30" s="706">
        <f t="shared" si="12"/>
        <v>100</v>
      </c>
      <c r="T30" s="705" t="s">
        <v>14</v>
      </c>
      <c r="U30" s="706">
        <f t="shared" si="13"/>
        <v>100</v>
      </c>
      <c r="V30" s="705" t="s">
        <v>14</v>
      </c>
      <c r="W30" s="706">
        <f t="shared" si="14"/>
        <v>100</v>
      </c>
      <c r="X30" s="1355"/>
      <c r="Y30" s="386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870"/>
      <c r="Q31" s="1352">
        <f t="shared" si="11"/>
        <v>111</v>
      </c>
      <c r="R31" s="705" t="s">
        <v>14</v>
      </c>
      <c r="S31" s="706">
        <f t="shared" si="12"/>
        <v>100</v>
      </c>
      <c r="T31" s="705" t="s">
        <v>14</v>
      </c>
      <c r="U31" s="706">
        <f t="shared" si="13"/>
        <v>100</v>
      </c>
      <c r="V31" s="705" t="s">
        <v>14</v>
      </c>
      <c r="W31" s="706">
        <f t="shared" si="14"/>
        <v>100</v>
      </c>
      <c r="X31" s="1355"/>
      <c r="Y31" s="386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864" t="s">
        <v>1696</v>
      </c>
      <c r="Q32" s="1352" t="str">
        <f t="shared" si="11"/>
        <v>商业类型</v>
      </c>
      <c r="R32" s="705" t="s">
        <v>14</v>
      </c>
      <c r="S32" s="706">
        <f t="shared" si="12"/>
        <v>100</v>
      </c>
      <c r="T32" s="705" t="s">
        <v>14</v>
      </c>
      <c r="U32" s="706">
        <f t="shared" si="13"/>
        <v>100</v>
      </c>
      <c r="V32" s="705" t="s">
        <v>14</v>
      </c>
      <c r="W32" s="706">
        <f t="shared" si="14"/>
        <v>100</v>
      </c>
      <c r="X32" s="1355"/>
      <c r="Y32" s="386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865"/>
      <c r="Q33" s="707" t="str">
        <f t="shared" si="11"/>
        <v>项目建筑规模</v>
      </c>
      <c r="R33" s="708" t="s">
        <v>14</v>
      </c>
      <c r="S33" s="709" t="e">
        <f t="shared" si="12"/>
        <v>#N/A</v>
      </c>
      <c r="T33" s="708" t="s">
        <v>14</v>
      </c>
      <c r="U33" s="709" t="e">
        <f t="shared" si="13"/>
        <v>#N/A</v>
      </c>
      <c r="V33" s="708" t="s">
        <v>14</v>
      </c>
      <c r="W33" s="709" t="e">
        <f t="shared" si="14"/>
        <v>#N/A</v>
      </c>
      <c r="X33" s="710"/>
      <c r="Y33" s="386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865"/>
      <c r="Q34" s="1352" t="str">
        <f t="shared" si="11"/>
        <v>建筑结构</v>
      </c>
      <c r="R34" s="705" t="s">
        <v>14</v>
      </c>
      <c r="S34" s="706">
        <f t="shared" si="12"/>
        <v>100</v>
      </c>
      <c r="T34" s="705" t="s">
        <v>14</v>
      </c>
      <c r="U34" s="706">
        <f t="shared" si="13"/>
        <v>100</v>
      </c>
      <c r="V34" s="705" t="s">
        <v>14</v>
      </c>
      <c r="W34" s="706">
        <f t="shared" si="14"/>
        <v>100</v>
      </c>
      <c r="X34" s="1355"/>
      <c r="Y34" s="386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865"/>
      <c r="Q35" s="1352" t="str">
        <f t="shared" si="11"/>
        <v>公共部分装修</v>
      </c>
      <c r="R35" s="705" t="s">
        <v>14</v>
      </c>
      <c r="S35" s="706">
        <f t="shared" si="12"/>
        <v>100</v>
      </c>
      <c r="T35" s="705" t="s">
        <v>14</v>
      </c>
      <c r="U35" s="706">
        <f t="shared" si="13"/>
        <v>100</v>
      </c>
      <c r="V35" s="705" t="s">
        <v>14</v>
      </c>
      <c r="W35" s="706">
        <f t="shared" si="14"/>
        <v>100</v>
      </c>
      <c r="X35" s="1355"/>
      <c r="Y35" s="386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865"/>
      <c r="Q36" s="1352" t="str">
        <f t="shared" si="11"/>
        <v>成新度</v>
      </c>
      <c r="R36" s="705" t="s">
        <v>14</v>
      </c>
      <c r="S36" s="706" t="e">
        <f t="shared" si="12"/>
        <v>#N/A</v>
      </c>
      <c r="T36" s="705" t="s">
        <v>14</v>
      </c>
      <c r="U36" s="706" t="e">
        <f t="shared" si="13"/>
        <v>#N/A</v>
      </c>
      <c r="V36" s="705" t="s">
        <v>14</v>
      </c>
      <c r="W36" s="706" t="e">
        <f t="shared" si="14"/>
        <v>#N/A</v>
      </c>
      <c r="X36" s="1355"/>
      <c r="Y36" s="386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865"/>
      <c r="Q37" s="1343" t="str">
        <f t="shared" si="11"/>
        <v>市政基础设施</v>
      </c>
      <c r="R37" s="701" t="s">
        <v>14</v>
      </c>
      <c r="S37" s="702">
        <f t="shared" si="12"/>
        <v>100</v>
      </c>
      <c r="T37" s="701" t="s">
        <v>14</v>
      </c>
      <c r="U37" s="702">
        <f t="shared" si="13"/>
        <v>100</v>
      </c>
      <c r="V37" s="701" t="s">
        <v>14</v>
      </c>
      <c r="W37" s="702">
        <f t="shared" si="14"/>
        <v>100</v>
      </c>
      <c r="X37" s="703"/>
      <c r="Y37" s="386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865" t="s">
        <v>1696</v>
      </c>
      <c r="Q38" s="1352" t="str">
        <f t="shared" si="11"/>
        <v>业态</v>
      </c>
      <c r="R38" s="705" t="s">
        <v>14</v>
      </c>
      <c r="S38" s="706">
        <f t="shared" si="12"/>
        <v>100</v>
      </c>
      <c r="T38" s="705" t="s">
        <v>14</v>
      </c>
      <c r="U38" s="706">
        <f t="shared" si="13"/>
        <v>100</v>
      </c>
      <c r="V38" s="705" t="s">
        <v>14</v>
      </c>
      <c r="W38" s="706">
        <f t="shared" si="14"/>
        <v>100</v>
      </c>
      <c r="X38" s="1355"/>
      <c r="Y38" s="386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865"/>
      <c r="Q39" s="1352" t="str">
        <f t="shared" si="11"/>
        <v>层高</v>
      </c>
      <c r="R39" s="705" t="s">
        <v>14</v>
      </c>
      <c r="S39" s="706">
        <f t="shared" si="12"/>
        <v>100</v>
      </c>
      <c r="T39" s="705" t="s">
        <v>14</v>
      </c>
      <c r="U39" s="706">
        <f t="shared" si="13"/>
        <v>100</v>
      </c>
      <c r="V39" s="705" t="s">
        <v>14</v>
      </c>
      <c r="W39" s="706">
        <f t="shared" si="14"/>
        <v>100</v>
      </c>
      <c r="X39" s="1355"/>
      <c r="Y39" s="386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865"/>
      <c r="Q40" s="1352" t="str">
        <f t="shared" si="11"/>
        <v>单套建筑面积</v>
      </c>
      <c r="R40" s="705" t="s">
        <v>14</v>
      </c>
      <c r="S40" s="706">
        <f t="shared" si="12"/>
        <v>100</v>
      </c>
      <c r="T40" s="705" t="s">
        <v>14</v>
      </c>
      <c r="U40" s="706">
        <f t="shared" si="13"/>
        <v>100</v>
      </c>
      <c r="V40" s="705" t="s">
        <v>14</v>
      </c>
      <c r="W40" s="706">
        <f t="shared" si="14"/>
        <v>100</v>
      </c>
      <c r="X40" s="1355"/>
      <c r="Y40" s="386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865"/>
      <c r="Q41" s="707" t="str">
        <f t="shared" si="11"/>
        <v>进深比</v>
      </c>
      <c r="R41" s="708" t="s">
        <v>14</v>
      </c>
      <c r="S41" s="709">
        <f t="shared" si="12"/>
        <v>100</v>
      </c>
      <c r="T41" s="708" t="s">
        <v>14</v>
      </c>
      <c r="U41" s="709">
        <f t="shared" si="13"/>
        <v>100</v>
      </c>
      <c r="V41" s="708" t="s">
        <v>14</v>
      </c>
      <c r="W41" s="709">
        <f t="shared" si="14"/>
        <v>100</v>
      </c>
      <c r="X41" s="710"/>
      <c r="Y41" s="386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865"/>
      <c r="Q42" s="1352" t="str">
        <f t="shared" si="11"/>
        <v>内部装修</v>
      </c>
      <c r="R42" s="705" t="s">
        <v>14</v>
      </c>
      <c r="S42" s="706">
        <f t="shared" si="12"/>
        <v>100</v>
      </c>
      <c r="T42" s="705" t="s">
        <v>14</v>
      </c>
      <c r="U42" s="706">
        <f t="shared" si="13"/>
        <v>100</v>
      </c>
      <c r="V42" s="705" t="s">
        <v>14</v>
      </c>
      <c r="W42" s="706">
        <f t="shared" si="14"/>
        <v>100</v>
      </c>
      <c r="X42" s="1355"/>
      <c r="Y42" s="386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865"/>
      <c r="Q43" s="1352" t="str">
        <f t="shared" si="11"/>
        <v>内部装修维护情况</v>
      </c>
      <c r="R43" s="705" t="s">
        <v>14</v>
      </c>
      <c r="S43" s="706">
        <f t="shared" si="12"/>
        <v>100</v>
      </c>
      <c r="T43" s="705" t="s">
        <v>14</v>
      </c>
      <c r="U43" s="706">
        <f t="shared" si="13"/>
        <v>100</v>
      </c>
      <c r="V43" s="705" t="s">
        <v>14</v>
      </c>
      <c r="W43" s="706">
        <f t="shared" si="14"/>
        <v>100</v>
      </c>
      <c r="X43" s="1355"/>
      <c r="Y43" s="386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865"/>
      <c r="Q44" s="1343">
        <f t="shared" si="11"/>
        <v>111</v>
      </c>
      <c r="R44" s="701" t="s">
        <v>14</v>
      </c>
      <c r="S44" s="702">
        <f t="shared" si="12"/>
        <v>100</v>
      </c>
      <c r="T44" s="701" t="s">
        <v>14</v>
      </c>
      <c r="U44" s="702">
        <f t="shared" si="13"/>
        <v>100</v>
      </c>
      <c r="V44" s="701" t="s">
        <v>14</v>
      </c>
      <c r="W44" s="702">
        <f t="shared" si="14"/>
        <v>100</v>
      </c>
      <c r="X44" s="703"/>
      <c r="Y44" s="386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865"/>
      <c r="Q45" s="1352">
        <f t="shared" si="11"/>
        <v>111</v>
      </c>
      <c r="R45" s="705" t="s">
        <v>14</v>
      </c>
      <c r="S45" s="706">
        <f t="shared" si="12"/>
        <v>100</v>
      </c>
      <c r="T45" s="705" t="s">
        <v>14</v>
      </c>
      <c r="U45" s="706">
        <f t="shared" si="13"/>
        <v>100</v>
      </c>
      <c r="V45" s="705" t="s">
        <v>14</v>
      </c>
      <c r="W45" s="706">
        <f t="shared" si="14"/>
        <v>100</v>
      </c>
      <c r="X45" s="1355"/>
      <c r="Y45" s="386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866"/>
      <c r="Q46" s="1352">
        <f t="shared" si="11"/>
        <v>111</v>
      </c>
      <c r="R46" s="705" t="s">
        <v>14</v>
      </c>
      <c r="S46" s="706">
        <f t="shared" si="12"/>
        <v>100</v>
      </c>
      <c r="T46" s="705" t="s">
        <v>14</v>
      </c>
      <c r="U46" s="706">
        <f t="shared" si="13"/>
        <v>100</v>
      </c>
      <c r="V46" s="705" t="s">
        <v>14</v>
      </c>
      <c r="W46" s="706">
        <f t="shared" si="14"/>
        <v>100</v>
      </c>
      <c r="X46" s="1355"/>
      <c r="Y46" s="386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860" t="str">
        <f>A47</f>
        <v>成交单价（元/平方米）</v>
      </c>
      <c r="Q47" s="3860"/>
      <c r="R47" s="3855">
        <f>E47</f>
        <v>0</v>
      </c>
      <c r="S47" s="3855"/>
      <c r="T47" s="3855">
        <f>G47</f>
        <v>0</v>
      </c>
      <c r="U47" s="3855"/>
      <c r="V47" s="3855">
        <f>I47</f>
        <v>0</v>
      </c>
      <c r="W47" s="385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860" t="str">
        <f>A48</f>
        <v>比较价值（元/平方米）</v>
      </c>
      <c r="Q48" s="3860"/>
      <c r="R48" s="3861" t="e">
        <f>IF(F1="售价",ROUND(PRODUCT(R47,AA7:AA46),0),ROUND(PRODUCT(R47,AA7:AA46),1))</f>
        <v>#DIV/0!</v>
      </c>
      <c r="S48" s="3861"/>
      <c r="T48" s="3861" t="e">
        <f>IF(F1="售价",ROUND(PRODUCT(T47,AB7:AB46),0),ROUND(PRODUCT(T47,AB7:AB46),1))</f>
        <v>#DIV/0!</v>
      </c>
      <c r="U48" s="3861"/>
      <c r="V48" s="3861" t="e">
        <f>IF(F1="售价",ROUND(PRODUCT(V47,AC7:AC46),0),ROUND(PRODUCT(V47,AC7:AC46),1))</f>
        <v>#DIV/0!</v>
      </c>
      <c r="W48" s="386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857" t="str">
        <f>A49</f>
        <v>估价对象XX用房的比较价值（楼面单价，元/平方米）</v>
      </c>
      <c r="Q49" s="3858"/>
      <c r="R49" s="3859" t="e">
        <f>IF(F1="售价",ROUND(IF(D48="简单平均",AVERAGE(R48:V48),R48*F48+T48*H48+V48*J48),0),ROUND(IF(D48="简单平均",AVERAGE(R48:V48),R48*F48+T48*H48+V48*J48),1))</f>
        <v>#DIV/0!</v>
      </c>
      <c r="S49" s="3859"/>
      <c r="T49" s="3859"/>
      <c r="U49" s="3859"/>
      <c r="V49" s="3859"/>
      <c r="W49" s="385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估价对象为北京市房地产，为所有。根据《国有土地使用证》[]，估价对象（分摊）出让国有建设用地使用权面积为236852.67平方米，建筑面积为114107.98平方米。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估价对象为北京市房地产,属开发建设的，该项目尚在开发建设中。根据《国有土地使用证》[]，估价对象（分摊）出让国有建设用地使用权面积为236852.67平方米，规划建筑面积为114107.98平方米。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2024年1月10日（评估专业人员实地查勘之日）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114107.98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843" t="s">
        <v>1770</v>
      </c>
      <c r="D4" s="3844"/>
      <c r="E4" s="3845" t="s">
        <v>1771</v>
      </c>
      <c r="F4" s="3846"/>
      <c r="G4" s="3843" t="s">
        <v>1772</v>
      </c>
      <c r="H4" s="3844"/>
      <c r="I4" s="3843" t="s">
        <v>1773</v>
      </c>
      <c r="J4" s="3844"/>
      <c r="K4" s="559" t="s">
        <v>1774</v>
      </c>
      <c r="L4" s="2715"/>
      <c r="M4" s="2716"/>
      <c r="N4" s="2716"/>
      <c r="O4" s="2716"/>
      <c r="P4" s="3877" t="s">
        <v>1775</v>
      </c>
      <c r="Q4" s="3878"/>
      <c r="R4" s="3872" t="s">
        <v>1771</v>
      </c>
      <c r="S4" s="3873"/>
      <c r="T4" s="3872" t="s">
        <v>1772</v>
      </c>
      <c r="U4" s="3873"/>
      <c r="V4" s="3881" t="s">
        <v>1773</v>
      </c>
      <c r="W4" s="3881"/>
      <c r="X4" s="1958"/>
      <c r="Y4" s="3872" t="s">
        <v>1775</v>
      </c>
      <c r="Z4" s="3873"/>
      <c r="AA4" s="3871" t="s">
        <v>1771</v>
      </c>
      <c r="AB4" s="3871" t="s">
        <v>1772</v>
      </c>
      <c r="AC4" s="3874" t="s">
        <v>1773</v>
      </c>
    </row>
    <row r="5" spans="1:29" ht="15">
      <c r="A5" s="358"/>
      <c r="B5" s="359"/>
      <c r="C5" s="3836" t="s">
        <v>1673</v>
      </c>
      <c r="D5" s="3837"/>
      <c r="E5" s="3834" t="s">
        <v>1674</v>
      </c>
      <c r="F5" s="3835"/>
      <c r="G5" s="3836" t="s">
        <v>1675</v>
      </c>
      <c r="H5" s="3837"/>
      <c r="I5" s="3836" t="s">
        <v>1676</v>
      </c>
      <c r="J5" s="3837"/>
      <c r="K5" s="559"/>
      <c r="L5" s="2715"/>
      <c r="M5" s="2716"/>
      <c r="N5" s="2716"/>
      <c r="O5" s="2716"/>
      <c r="P5" s="3879"/>
      <c r="Q5" s="3850"/>
      <c r="R5" s="3832"/>
      <c r="S5" s="3833"/>
      <c r="T5" s="3832"/>
      <c r="U5" s="3833"/>
      <c r="V5" s="3855"/>
      <c r="W5" s="3855"/>
      <c r="X5" s="1355"/>
      <c r="Y5" s="3832"/>
      <c r="Z5" s="3833"/>
      <c r="AA5" s="3826"/>
      <c r="AB5" s="3826"/>
      <c r="AC5" s="3875"/>
    </row>
    <row r="6" spans="1:29" ht="15.75" thickBot="1">
      <c r="A6" s="360"/>
      <c r="B6" s="361"/>
      <c r="C6" s="3838" t="s">
        <v>1677</v>
      </c>
      <c r="D6" s="3839"/>
      <c r="E6" s="3840" t="s">
        <v>1677</v>
      </c>
      <c r="F6" s="3841"/>
      <c r="G6" s="3838" t="s">
        <v>1677</v>
      </c>
      <c r="H6" s="3839"/>
      <c r="I6" s="3838" t="s">
        <v>1677</v>
      </c>
      <c r="J6" s="3839"/>
      <c r="K6" s="559" t="s">
        <v>1678</v>
      </c>
      <c r="L6" s="2715"/>
      <c r="M6" s="2716"/>
      <c r="N6" s="2716"/>
      <c r="O6" s="2716"/>
      <c r="P6" s="3880"/>
      <c r="Q6" s="3852"/>
      <c r="R6" s="3832"/>
      <c r="S6" s="3833"/>
      <c r="T6" s="3853"/>
      <c r="U6" s="3854"/>
      <c r="V6" s="3855"/>
      <c r="W6" s="3855"/>
      <c r="X6" s="1355"/>
      <c r="Y6" s="3853"/>
      <c r="Z6" s="3854"/>
      <c r="AA6" s="3827"/>
      <c r="AB6" s="3827"/>
      <c r="AC6" s="3876"/>
    </row>
    <row r="7" spans="1:29" s="108" customFormat="1" ht="15.75" thickBot="1">
      <c r="A7" s="362" t="s">
        <v>1679</v>
      </c>
      <c r="B7" s="363"/>
      <c r="C7" s="364">
        <f>'数据-取费表'!B2</f>
        <v>45301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882" t="s">
        <v>1680</v>
      </c>
      <c r="Q7" s="3856"/>
      <c r="R7" s="701" t="s">
        <v>14</v>
      </c>
      <c r="S7" s="702">
        <f t="shared" ref="S7:S15" si="0">F7</f>
        <v>0</v>
      </c>
      <c r="T7" s="701" t="s">
        <v>14</v>
      </c>
      <c r="U7" s="702">
        <f t="shared" ref="U7:U15" si="1">H7</f>
        <v>0</v>
      </c>
      <c r="V7" s="701" t="s">
        <v>14</v>
      </c>
      <c r="W7" s="702">
        <f t="shared" ref="W7:W15" si="2">J7</f>
        <v>0</v>
      </c>
      <c r="X7" s="703"/>
      <c r="Y7" s="3828" t="s">
        <v>1680</v>
      </c>
      <c r="Z7" s="382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882" t="s">
        <v>1683</v>
      </c>
      <c r="Q8" s="3829"/>
      <c r="R8" s="701" t="s">
        <v>14</v>
      </c>
      <c r="S8" s="702">
        <f t="shared" si="0"/>
        <v>100</v>
      </c>
      <c r="T8" s="701" t="s">
        <v>14</v>
      </c>
      <c r="U8" s="702">
        <f t="shared" si="1"/>
        <v>100</v>
      </c>
      <c r="V8" s="701" t="s">
        <v>14</v>
      </c>
      <c r="W8" s="702">
        <f t="shared" si="2"/>
        <v>100</v>
      </c>
      <c r="X8" s="703"/>
      <c r="Y8" s="3828" t="s">
        <v>1683</v>
      </c>
      <c r="Z8" s="382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842" t="s">
        <v>1686</v>
      </c>
      <c r="Q9" s="1343" t="str">
        <f t="shared" ref="Q9:Q15" si="6">B9</f>
        <v>用途</v>
      </c>
      <c r="R9" s="701" t="s">
        <v>14</v>
      </c>
      <c r="S9" s="702">
        <f t="shared" si="0"/>
        <v>100</v>
      </c>
      <c r="T9" s="701" t="s">
        <v>14</v>
      </c>
      <c r="U9" s="702">
        <f t="shared" si="1"/>
        <v>100</v>
      </c>
      <c r="V9" s="701" t="s">
        <v>14</v>
      </c>
      <c r="W9" s="702">
        <f t="shared" si="2"/>
        <v>100</v>
      </c>
      <c r="X9" s="703"/>
      <c r="Y9" s="377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842"/>
      <c r="Q10" s="1343" t="str">
        <f t="shared" si="6"/>
        <v>土地使用年限（年）</v>
      </c>
      <c r="R10" s="701" t="s">
        <v>14</v>
      </c>
      <c r="S10" s="702">
        <f t="shared" si="0"/>
        <v>100</v>
      </c>
      <c r="T10" s="701" t="s">
        <v>14</v>
      </c>
      <c r="U10" s="702">
        <f t="shared" si="1"/>
        <v>100</v>
      </c>
      <c r="V10" s="701" t="s">
        <v>14</v>
      </c>
      <c r="W10" s="702">
        <f t="shared" si="2"/>
        <v>100</v>
      </c>
      <c r="X10" s="703"/>
      <c r="Y10" s="377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842"/>
      <c r="Q11" s="1343" t="str">
        <f t="shared" si="6"/>
        <v>容积率</v>
      </c>
      <c r="R11" s="701" t="s">
        <v>14</v>
      </c>
      <c r="S11" s="702">
        <f t="shared" si="0"/>
        <v>100</v>
      </c>
      <c r="T11" s="701" t="s">
        <v>14</v>
      </c>
      <c r="U11" s="702">
        <f t="shared" si="1"/>
        <v>100</v>
      </c>
      <c r="V11" s="701" t="s">
        <v>14</v>
      </c>
      <c r="W11" s="702">
        <f t="shared" si="2"/>
        <v>100</v>
      </c>
      <c r="X11" s="703"/>
      <c r="Y11" s="377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842"/>
      <c r="Q12" s="1343">
        <f t="shared" si="6"/>
        <v>111</v>
      </c>
      <c r="R12" s="701" t="s">
        <v>14</v>
      </c>
      <c r="S12" s="702">
        <f t="shared" si="0"/>
        <v>100</v>
      </c>
      <c r="T12" s="701" t="s">
        <v>14</v>
      </c>
      <c r="U12" s="702">
        <f t="shared" si="1"/>
        <v>100</v>
      </c>
      <c r="V12" s="701" t="s">
        <v>14</v>
      </c>
      <c r="W12" s="702">
        <f t="shared" si="2"/>
        <v>100</v>
      </c>
      <c r="X12" s="703"/>
      <c r="Y12" s="377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842"/>
      <c r="Q13" s="1343">
        <f t="shared" si="6"/>
        <v>111</v>
      </c>
      <c r="R13" s="701" t="s">
        <v>14</v>
      </c>
      <c r="S13" s="702">
        <f t="shared" si="0"/>
        <v>100</v>
      </c>
      <c r="T13" s="701" t="s">
        <v>14</v>
      </c>
      <c r="U13" s="702">
        <f t="shared" si="1"/>
        <v>100</v>
      </c>
      <c r="V13" s="701" t="s">
        <v>14</v>
      </c>
      <c r="W13" s="702">
        <f t="shared" si="2"/>
        <v>100</v>
      </c>
      <c r="X13" s="703"/>
      <c r="Y13" s="377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842"/>
      <c r="Q14" s="1343">
        <f t="shared" si="6"/>
        <v>111</v>
      </c>
      <c r="R14" s="701" t="s">
        <v>14</v>
      </c>
      <c r="S14" s="702">
        <f t="shared" si="0"/>
        <v>100</v>
      </c>
      <c r="T14" s="701" t="s">
        <v>14</v>
      </c>
      <c r="U14" s="702">
        <f t="shared" si="1"/>
        <v>100</v>
      </c>
      <c r="V14" s="701" t="s">
        <v>14</v>
      </c>
      <c r="W14" s="702">
        <f t="shared" si="2"/>
        <v>100</v>
      </c>
      <c r="X14" s="703"/>
      <c r="Y14" s="377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869" t="s">
        <v>1691</v>
      </c>
      <c r="Q15" s="1352" t="str">
        <f t="shared" si="6"/>
        <v>办公集聚程度</v>
      </c>
      <c r="R15" s="705" t="s">
        <v>14</v>
      </c>
      <c r="S15" s="706">
        <f t="shared" si="0"/>
        <v>100</v>
      </c>
      <c r="T15" s="705" t="s">
        <v>14</v>
      </c>
      <c r="U15" s="706">
        <f t="shared" si="1"/>
        <v>100</v>
      </c>
      <c r="V15" s="705" t="s">
        <v>14</v>
      </c>
      <c r="W15" s="706">
        <f t="shared" si="2"/>
        <v>100</v>
      </c>
      <c r="X15" s="1355"/>
      <c r="Y15" s="386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870"/>
      <c r="Q16" s="1352"/>
      <c r="R16" s="705"/>
      <c r="S16" s="706"/>
      <c r="T16" s="705"/>
      <c r="U16" s="706"/>
      <c r="V16" s="705"/>
      <c r="W16" s="706"/>
      <c r="X16" s="1355"/>
      <c r="Y16" s="386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870"/>
      <c r="Q17" s="1352" t="str">
        <f>B17</f>
        <v>交通便捷度</v>
      </c>
      <c r="R17" s="705" t="s">
        <v>14</v>
      </c>
      <c r="S17" s="706">
        <f>F17</f>
        <v>100</v>
      </c>
      <c r="T17" s="705" t="s">
        <v>14</v>
      </c>
      <c r="U17" s="706">
        <f>H17</f>
        <v>100</v>
      </c>
      <c r="V17" s="705" t="s">
        <v>14</v>
      </c>
      <c r="W17" s="706">
        <f>J17</f>
        <v>100</v>
      </c>
      <c r="X17" s="1355"/>
      <c r="Y17" s="386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870"/>
      <c r="Q18" s="1352"/>
      <c r="R18" s="705"/>
      <c r="S18" s="706"/>
      <c r="T18" s="705"/>
      <c r="U18" s="706"/>
      <c r="V18" s="705"/>
      <c r="W18" s="706"/>
      <c r="X18" s="1355"/>
      <c r="Y18" s="386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870"/>
      <c r="Q19" s="1352" t="str">
        <f>B19</f>
        <v>公共配套设施</v>
      </c>
      <c r="R19" s="705" t="s">
        <v>14</v>
      </c>
      <c r="S19" s="706">
        <f>F19</f>
        <v>100</v>
      </c>
      <c r="T19" s="705" t="s">
        <v>14</v>
      </c>
      <c r="U19" s="706">
        <f>H19</f>
        <v>100</v>
      </c>
      <c r="V19" s="705" t="s">
        <v>14</v>
      </c>
      <c r="W19" s="706">
        <f>J19</f>
        <v>100</v>
      </c>
      <c r="X19" s="1355"/>
      <c r="Y19" s="386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870"/>
      <c r="Q20" s="1352"/>
      <c r="R20" s="705"/>
      <c r="S20" s="706"/>
      <c r="T20" s="705"/>
      <c r="U20" s="706"/>
      <c r="V20" s="705"/>
      <c r="W20" s="706"/>
      <c r="X20" s="1355"/>
      <c r="Y20" s="386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870"/>
      <c r="Q21" s="1352" t="str">
        <f>B21</f>
        <v>基础设施水平</v>
      </c>
      <c r="R21" s="705" t="s">
        <v>14</v>
      </c>
      <c r="S21" s="706">
        <f>F21</f>
        <v>100</v>
      </c>
      <c r="T21" s="705" t="s">
        <v>14</v>
      </c>
      <c r="U21" s="706">
        <f>H21</f>
        <v>100</v>
      </c>
      <c r="V21" s="705" t="s">
        <v>14</v>
      </c>
      <c r="W21" s="706">
        <f>J21</f>
        <v>100</v>
      </c>
      <c r="X21" s="1355"/>
      <c r="Y21" s="386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870"/>
      <c r="Q22" s="1352"/>
      <c r="R22" s="705"/>
      <c r="S22" s="706"/>
      <c r="T22" s="705"/>
      <c r="U22" s="706"/>
      <c r="V22" s="705"/>
      <c r="W22" s="706"/>
      <c r="X22" s="1355"/>
      <c r="Y22" s="386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870"/>
      <c r="Q23" s="1352" t="str">
        <f>B23</f>
        <v>环境质量</v>
      </c>
      <c r="R23" s="705" t="s">
        <v>14</v>
      </c>
      <c r="S23" s="706">
        <f>F23</f>
        <v>100</v>
      </c>
      <c r="T23" s="705" t="s">
        <v>14</v>
      </c>
      <c r="U23" s="706">
        <f>H23</f>
        <v>100</v>
      </c>
      <c r="V23" s="705" t="s">
        <v>14</v>
      </c>
      <c r="W23" s="706">
        <f>J23</f>
        <v>100</v>
      </c>
      <c r="X23" s="1355"/>
      <c r="Y23" s="386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870"/>
      <c r="Q24" s="1352"/>
      <c r="R24" s="705"/>
      <c r="S24" s="706"/>
      <c r="T24" s="705"/>
      <c r="U24" s="706"/>
      <c r="V24" s="705"/>
      <c r="W24" s="706"/>
      <c r="X24" s="1355"/>
      <c r="Y24" s="386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870"/>
      <c r="Q25" s="1352" t="str">
        <f>B25</f>
        <v>毗邻道路的类型与等级</v>
      </c>
      <c r="R25" s="705" t="s">
        <v>14</v>
      </c>
      <c r="S25" s="706">
        <f>F25</f>
        <v>100</v>
      </c>
      <c r="T25" s="705" t="s">
        <v>14</v>
      </c>
      <c r="U25" s="706">
        <f>H25</f>
        <v>100</v>
      </c>
      <c r="V25" s="705" t="s">
        <v>14</v>
      </c>
      <c r="W25" s="706">
        <f>J25</f>
        <v>100</v>
      </c>
      <c r="X25" s="1355"/>
      <c r="Y25" s="386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870"/>
      <c r="Q26" s="1352"/>
      <c r="R26" s="705"/>
      <c r="S26" s="706"/>
      <c r="T26" s="705"/>
      <c r="U26" s="706"/>
      <c r="V26" s="705"/>
      <c r="W26" s="706"/>
      <c r="X26" s="1355"/>
      <c r="Y26" s="386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870"/>
      <c r="Q27" s="1352" t="str">
        <f t="shared" ref="Q27:Q47" si="11">B27</f>
        <v>楼层</v>
      </c>
      <c r="R27" s="705" t="s">
        <v>14</v>
      </c>
      <c r="S27" s="706">
        <f>F27</f>
        <v>100</v>
      </c>
      <c r="T27" s="705" t="s">
        <v>14</v>
      </c>
      <c r="U27" s="706">
        <f>H27</f>
        <v>100</v>
      </c>
      <c r="V27" s="705" t="s">
        <v>14</v>
      </c>
      <c r="W27" s="706">
        <f>J27</f>
        <v>100</v>
      </c>
      <c r="X27" s="1355"/>
      <c r="Y27" s="386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870"/>
      <c r="Q28" s="1343" t="str">
        <f t="shared" si="11"/>
        <v>朝向</v>
      </c>
      <c r="R28" s="701" t="s">
        <v>14</v>
      </c>
      <c r="S28" s="702">
        <f>F28</f>
        <v>100</v>
      </c>
      <c r="T28" s="701" t="s">
        <v>14</v>
      </c>
      <c r="U28" s="702">
        <f>H28</f>
        <v>100</v>
      </c>
      <c r="V28" s="701" t="s">
        <v>14</v>
      </c>
      <c r="W28" s="702">
        <f>J28</f>
        <v>100</v>
      </c>
      <c r="X28" s="703"/>
      <c r="Y28" s="386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870"/>
      <c r="Q29" s="1352">
        <f t="shared" si="11"/>
        <v>111</v>
      </c>
      <c r="R29" s="705" t="s">
        <v>14</v>
      </c>
      <c r="S29" s="706">
        <f t="shared" ref="S29:S47" si="12">F29</f>
        <v>100</v>
      </c>
      <c r="T29" s="705" t="s">
        <v>14</v>
      </c>
      <c r="U29" s="706">
        <f t="shared" ref="U29:U47" si="13">H29</f>
        <v>100</v>
      </c>
      <c r="V29" s="705" t="s">
        <v>14</v>
      </c>
      <c r="W29" s="706">
        <f t="shared" ref="W29:W47" si="14">J29</f>
        <v>100</v>
      </c>
      <c r="X29" s="1355"/>
      <c r="Y29" s="386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870"/>
      <c r="Q30" s="1352">
        <f t="shared" si="11"/>
        <v>111</v>
      </c>
      <c r="R30" s="705" t="s">
        <v>14</v>
      </c>
      <c r="S30" s="706">
        <f t="shared" si="12"/>
        <v>100</v>
      </c>
      <c r="T30" s="705" t="s">
        <v>14</v>
      </c>
      <c r="U30" s="706">
        <f t="shared" si="13"/>
        <v>100</v>
      </c>
      <c r="V30" s="705" t="s">
        <v>14</v>
      </c>
      <c r="W30" s="706">
        <f t="shared" si="14"/>
        <v>100</v>
      </c>
      <c r="X30" s="1355"/>
      <c r="Y30" s="386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870"/>
      <c r="Q31" s="1352">
        <f t="shared" si="11"/>
        <v>111</v>
      </c>
      <c r="R31" s="705" t="s">
        <v>14</v>
      </c>
      <c r="S31" s="706">
        <f t="shared" si="12"/>
        <v>100</v>
      </c>
      <c r="T31" s="705" t="s">
        <v>14</v>
      </c>
      <c r="U31" s="706">
        <f t="shared" si="13"/>
        <v>100</v>
      </c>
      <c r="V31" s="705" t="s">
        <v>14</v>
      </c>
      <c r="W31" s="706">
        <f t="shared" si="14"/>
        <v>100</v>
      </c>
      <c r="X31" s="1355"/>
      <c r="Y31" s="386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870"/>
      <c r="Q32" s="1352">
        <f t="shared" si="11"/>
        <v>111</v>
      </c>
      <c r="R32" s="705" t="s">
        <v>14</v>
      </c>
      <c r="S32" s="706">
        <f t="shared" si="12"/>
        <v>100</v>
      </c>
      <c r="T32" s="705" t="s">
        <v>14</v>
      </c>
      <c r="U32" s="706">
        <f t="shared" si="13"/>
        <v>100</v>
      </c>
      <c r="V32" s="705" t="s">
        <v>14</v>
      </c>
      <c r="W32" s="706">
        <f t="shared" si="14"/>
        <v>100</v>
      </c>
      <c r="X32" s="1355"/>
      <c r="Y32" s="386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864" t="s">
        <v>1696</v>
      </c>
      <c r="Q33" s="1352" t="str">
        <f t="shared" si="11"/>
        <v>建筑类型</v>
      </c>
      <c r="R33" s="705" t="s">
        <v>14</v>
      </c>
      <c r="S33" s="706">
        <f t="shared" si="12"/>
        <v>100</v>
      </c>
      <c r="T33" s="705" t="s">
        <v>14</v>
      </c>
      <c r="U33" s="706">
        <f t="shared" si="13"/>
        <v>100</v>
      </c>
      <c r="V33" s="705" t="s">
        <v>14</v>
      </c>
      <c r="W33" s="706">
        <f t="shared" si="14"/>
        <v>100</v>
      </c>
      <c r="X33" s="1355"/>
      <c r="Y33" s="386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865"/>
      <c r="Q34" s="707" t="str">
        <f t="shared" si="11"/>
        <v>项目建筑规模</v>
      </c>
      <c r="R34" s="708" t="s">
        <v>14</v>
      </c>
      <c r="S34" s="709" t="e">
        <f t="shared" si="12"/>
        <v>#N/A</v>
      </c>
      <c r="T34" s="708" t="s">
        <v>14</v>
      </c>
      <c r="U34" s="709" t="e">
        <f t="shared" si="13"/>
        <v>#N/A</v>
      </c>
      <c r="V34" s="708" t="s">
        <v>14</v>
      </c>
      <c r="W34" s="709" t="e">
        <f t="shared" si="14"/>
        <v>#N/A</v>
      </c>
      <c r="X34" s="710"/>
      <c r="Y34" s="386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865"/>
      <c r="Q35" s="1352" t="str">
        <f t="shared" si="11"/>
        <v>建筑结构</v>
      </c>
      <c r="R35" s="705" t="s">
        <v>14</v>
      </c>
      <c r="S35" s="706">
        <f t="shared" si="12"/>
        <v>100</v>
      </c>
      <c r="T35" s="705" t="s">
        <v>14</v>
      </c>
      <c r="U35" s="706">
        <f t="shared" si="13"/>
        <v>100</v>
      </c>
      <c r="V35" s="705" t="s">
        <v>14</v>
      </c>
      <c r="W35" s="706">
        <f t="shared" si="14"/>
        <v>100</v>
      </c>
      <c r="X35" s="1355"/>
      <c r="Y35" s="386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865"/>
      <c r="Q36" s="1352" t="str">
        <f t="shared" si="11"/>
        <v>公共部分装修</v>
      </c>
      <c r="R36" s="705" t="s">
        <v>14</v>
      </c>
      <c r="S36" s="706">
        <f t="shared" si="12"/>
        <v>100</v>
      </c>
      <c r="T36" s="705" t="s">
        <v>14</v>
      </c>
      <c r="U36" s="706">
        <f t="shared" si="13"/>
        <v>100</v>
      </c>
      <c r="V36" s="705" t="s">
        <v>14</v>
      </c>
      <c r="W36" s="706">
        <f t="shared" si="14"/>
        <v>100</v>
      </c>
      <c r="X36" s="1355"/>
      <c r="Y36" s="386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865"/>
      <c r="Q37" s="1352" t="str">
        <f t="shared" si="11"/>
        <v>成新度</v>
      </c>
      <c r="R37" s="705" t="s">
        <v>14</v>
      </c>
      <c r="S37" s="706" t="e">
        <f t="shared" si="12"/>
        <v>#N/A</v>
      </c>
      <c r="T37" s="705" t="s">
        <v>14</v>
      </c>
      <c r="U37" s="706" t="e">
        <f t="shared" si="13"/>
        <v>#N/A</v>
      </c>
      <c r="V37" s="705" t="s">
        <v>14</v>
      </c>
      <c r="W37" s="706" t="e">
        <f t="shared" si="14"/>
        <v>#N/A</v>
      </c>
      <c r="X37" s="1355"/>
      <c r="Y37" s="386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865"/>
      <c r="Q38" s="1343" t="str">
        <f t="shared" si="11"/>
        <v>写字楼等级</v>
      </c>
      <c r="R38" s="701" t="s">
        <v>14</v>
      </c>
      <c r="S38" s="702">
        <f t="shared" si="12"/>
        <v>100</v>
      </c>
      <c r="T38" s="701" t="s">
        <v>14</v>
      </c>
      <c r="U38" s="702">
        <f t="shared" si="13"/>
        <v>100</v>
      </c>
      <c r="V38" s="701" t="s">
        <v>14</v>
      </c>
      <c r="W38" s="702">
        <f t="shared" si="14"/>
        <v>100</v>
      </c>
      <c r="X38" s="703"/>
      <c r="Y38" s="386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865" t="s">
        <v>1696</v>
      </c>
      <c r="Q39" s="1352" t="str">
        <f t="shared" si="11"/>
        <v>物业管理</v>
      </c>
      <c r="R39" s="705" t="s">
        <v>14</v>
      </c>
      <c r="S39" s="706">
        <f t="shared" si="12"/>
        <v>100</v>
      </c>
      <c r="T39" s="705" t="s">
        <v>14</v>
      </c>
      <c r="U39" s="706">
        <f t="shared" si="13"/>
        <v>100</v>
      </c>
      <c r="V39" s="705" t="s">
        <v>14</v>
      </c>
      <c r="W39" s="706">
        <f t="shared" si="14"/>
        <v>100</v>
      </c>
      <c r="X39" s="1355"/>
      <c r="Y39" s="386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865"/>
      <c r="Q40" s="1352" t="str">
        <f t="shared" si="11"/>
        <v>市政基础设施</v>
      </c>
      <c r="R40" s="705" t="s">
        <v>14</v>
      </c>
      <c r="S40" s="706">
        <f t="shared" si="12"/>
        <v>100</v>
      </c>
      <c r="T40" s="705" t="s">
        <v>14</v>
      </c>
      <c r="U40" s="706">
        <f t="shared" si="13"/>
        <v>100</v>
      </c>
      <c r="V40" s="705" t="s">
        <v>14</v>
      </c>
      <c r="W40" s="706">
        <f t="shared" si="14"/>
        <v>100</v>
      </c>
      <c r="X40" s="1355"/>
      <c r="Y40" s="386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865"/>
      <c r="Q41" s="1352" t="str">
        <f t="shared" si="11"/>
        <v>层高</v>
      </c>
      <c r="R41" s="705" t="s">
        <v>14</v>
      </c>
      <c r="S41" s="706">
        <f t="shared" si="12"/>
        <v>100</v>
      </c>
      <c r="T41" s="705" t="s">
        <v>14</v>
      </c>
      <c r="U41" s="706">
        <f t="shared" si="13"/>
        <v>100</v>
      </c>
      <c r="V41" s="705" t="s">
        <v>14</v>
      </c>
      <c r="W41" s="706">
        <f t="shared" si="14"/>
        <v>100</v>
      </c>
      <c r="X41" s="1355"/>
      <c r="Y41" s="386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865"/>
      <c r="Q42" s="707" t="str">
        <f t="shared" si="11"/>
        <v>单套建筑面积</v>
      </c>
      <c r="R42" s="708" t="s">
        <v>14</v>
      </c>
      <c r="S42" s="709">
        <f t="shared" si="12"/>
        <v>100</v>
      </c>
      <c r="T42" s="708" t="s">
        <v>14</v>
      </c>
      <c r="U42" s="709">
        <f t="shared" si="13"/>
        <v>100</v>
      </c>
      <c r="V42" s="708" t="s">
        <v>14</v>
      </c>
      <c r="W42" s="709">
        <f t="shared" si="14"/>
        <v>100</v>
      </c>
      <c r="X42" s="710"/>
      <c r="Y42" s="386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865"/>
      <c r="Q43" s="1352" t="str">
        <f t="shared" si="11"/>
        <v>内部装修</v>
      </c>
      <c r="R43" s="705" t="s">
        <v>14</v>
      </c>
      <c r="S43" s="706">
        <f t="shared" si="12"/>
        <v>100</v>
      </c>
      <c r="T43" s="705" t="s">
        <v>14</v>
      </c>
      <c r="U43" s="706">
        <f t="shared" si="13"/>
        <v>100</v>
      </c>
      <c r="V43" s="705" t="s">
        <v>14</v>
      </c>
      <c r="W43" s="706">
        <f t="shared" si="14"/>
        <v>100</v>
      </c>
      <c r="X43" s="1355"/>
      <c r="Y43" s="386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865"/>
      <c r="Q44" s="1352" t="str">
        <f t="shared" si="11"/>
        <v>内部装修维护情况</v>
      </c>
      <c r="R44" s="705" t="s">
        <v>14</v>
      </c>
      <c r="S44" s="706">
        <f t="shared" si="12"/>
        <v>100</v>
      </c>
      <c r="T44" s="705" t="s">
        <v>14</v>
      </c>
      <c r="U44" s="706">
        <f t="shared" si="13"/>
        <v>100</v>
      </c>
      <c r="V44" s="705" t="s">
        <v>14</v>
      </c>
      <c r="W44" s="706">
        <f t="shared" si="14"/>
        <v>100</v>
      </c>
      <c r="X44" s="1355"/>
      <c r="Y44" s="386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865"/>
      <c r="Q45" s="1343">
        <f t="shared" si="11"/>
        <v>111</v>
      </c>
      <c r="R45" s="701" t="s">
        <v>14</v>
      </c>
      <c r="S45" s="702">
        <f t="shared" si="12"/>
        <v>100</v>
      </c>
      <c r="T45" s="701" t="s">
        <v>14</v>
      </c>
      <c r="U45" s="702">
        <f t="shared" si="13"/>
        <v>100</v>
      </c>
      <c r="V45" s="701" t="s">
        <v>14</v>
      </c>
      <c r="W45" s="702">
        <f t="shared" si="14"/>
        <v>100</v>
      </c>
      <c r="X45" s="703"/>
      <c r="Y45" s="386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865"/>
      <c r="Q46" s="1352">
        <f t="shared" si="11"/>
        <v>111</v>
      </c>
      <c r="R46" s="705" t="s">
        <v>14</v>
      </c>
      <c r="S46" s="706">
        <f t="shared" si="12"/>
        <v>100</v>
      </c>
      <c r="T46" s="705" t="s">
        <v>14</v>
      </c>
      <c r="U46" s="706">
        <f t="shared" si="13"/>
        <v>100</v>
      </c>
      <c r="V46" s="705" t="s">
        <v>14</v>
      </c>
      <c r="W46" s="706">
        <f t="shared" si="14"/>
        <v>100</v>
      </c>
      <c r="X46" s="1355"/>
      <c r="Y46" s="386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866"/>
      <c r="Q47" s="1352">
        <f t="shared" si="11"/>
        <v>111</v>
      </c>
      <c r="R47" s="705" t="s">
        <v>14</v>
      </c>
      <c r="S47" s="706">
        <f t="shared" si="12"/>
        <v>100</v>
      </c>
      <c r="T47" s="705" t="s">
        <v>14</v>
      </c>
      <c r="U47" s="706">
        <f t="shared" si="13"/>
        <v>100</v>
      </c>
      <c r="V47" s="705" t="s">
        <v>14</v>
      </c>
      <c r="W47" s="706">
        <f t="shared" si="14"/>
        <v>100</v>
      </c>
      <c r="X47" s="1355"/>
      <c r="Y47" s="386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842" t="str">
        <f>A48</f>
        <v>成交单价（元/平方米）</v>
      </c>
      <c r="Q48" s="3860"/>
      <c r="R48" s="3861">
        <f>E48</f>
        <v>0</v>
      </c>
      <c r="S48" s="3861"/>
      <c r="T48" s="3861">
        <f>G48</f>
        <v>0</v>
      </c>
      <c r="U48" s="3861"/>
      <c r="V48" s="3861">
        <f>I48</f>
        <v>0</v>
      </c>
      <c r="W48" s="386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842" t="str">
        <f>A49</f>
        <v>比较价值（元/平方米）</v>
      </c>
      <c r="Q49" s="3860"/>
      <c r="R49" s="3861" t="e">
        <f>IF(F1="售价",ROUND(PRODUCT(R48,AA7:AA47),0),ROUND(PRODUCT(R48,AA7:AA47),1))</f>
        <v>#DIV/0!</v>
      </c>
      <c r="S49" s="3861"/>
      <c r="T49" s="3861" t="e">
        <f>IF(F1="售价",ROUND(PRODUCT(T48,AB7:AB47),0),ROUND(PRODUCT(T48,AB7:AB47),1))</f>
        <v>#DIV/0!</v>
      </c>
      <c r="U49" s="3861"/>
      <c r="V49" s="3861" t="e">
        <f>IF(F1="售价",ROUND(PRODUCT(V48,AC7:AC47),0),ROUND(PRODUCT(V48,AC7:AC47),1))</f>
        <v>#DIV/0!</v>
      </c>
      <c r="W49" s="386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883" t="str">
        <f>A50</f>
        <v>估价对象XX用房的比较价值（楼面单价，元/平方米）</v>
      </c>
      <c r="Q50" s="3884"/>
      <c r="R50" s="3885" t="e">
        <f>IF(F1="售价",ROUND(IF(D49="简单平均",AVERAGE(R49:V49),R49*F49+T49*H49+V49*J49),0),ROUND(IF(D49="简单平均",AVERAGE(R49:V49),R49*F49+T49*H49+V49*J49),1))</f>
        <v>#DIV/0!</v>
      </c>
      <c r="S50" s="3885"/>
      <c r="T50" s="3885"/>
      <c r="U50" s="3885"/>
      <c r="V50" s="3885"/>
      <c r="W50" s="388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114107.98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843" t="s">
        <v>1770</v>
      </c>
      <c r="D4" s="3844"/>
      <c r="E4" s="3845" t="s">
        <v>1771</v>
      </c>
      <c r="F4" s="3846"/>
      <c r="G4" s="3843" t="s">
        <v>1772</v>
      </c>
      <c r="H4" s="3844"/>
      <c r="I4" s="3843" t="s">
        <v>1773</v>
      </c>
      <c r="J4" s="3844"/>
      <c r="K4" s="559" t="s">
        <v>1774</v>
      </c>
      <c r="L4" s="913"/>
      <c r="M4" s="914"/>
      <c r="N4" s="914"/>
      <c r="O4" s="914"/>
      <c r="P4" s="3847" t="s">
        <v>1775</v>
      </c>
      <c r="Q4" s="3848"/>
      <c r="R4" s="3830" t="s">
        <v>1771</v>
      </c>
      <c r="S4" s="3831"/>
      <c r="T4" s="3830" t="s">
        <v>1772</v>
      </c>
      <c r="U4" s="3831"/>
      <c r="V4" s="3855" t="s">
        <v>1773</v>
      </c>
      <c r="W4" s="3855"/>
      <c r="X4" s="1355"/>
      <c r="Y4" s="3830" t="s">
        <v>1775</v>
      </c>
      <c r="Z4" s="3831"/>
      <c r="AA4" s="3825" t="s">
        <v>1771</v>
      </c>
      <c r="AB4" s="3826" t="s">
        <v>1772</v>
      </c>
      <c r="AC4" s="3825" t="s">
        <v>1773</v>
      </c>
    </row>
    <row r="5" spans="1:29" ht="15">
      <c r="A5" s="358"/>
      <c r="B5" s="359"/>
      <c r="C5" s="3836" t="s">
        <v>1673</v>
      </c>
      <c r="D5" s="3837"/>
      <c r="E5" s="3834" t="s">
        <v>1674</v>
      </c>
      <c r="F5" s="3835"/>
      <c r="G5" s="3836" t="s">
        <v>1675</v>
      </c>
      <c r="H5" s="3837"/>
      <c r="I5" s="3836" t="s">
        <v>1676</v>
      </c>
      <c r="J5" s="3837"/>
      <c r="K5" s="559"/>
      <c r="L5" s="913"/>
      <c r="M5" s="914"/>
      <c r="N5" s="914"/>
      <c r="O5" s="914"/>
      <c r="P5" s="3849"/>
      <c r="Q5" s="3850"/>
      <c r="R5" s="3832"/>
      <c r="S5" s="3833"/>
      <c r="T5" s="3832"/>
      <c r="U5" s="3833"/>
      <c r="V5" s="3855"/>
      <c r="W5" s="3855"/>
      <c r="X5" s="1355"/>
      <c r="Y5" s="3832"/>
      <c r="Z5" s="3833"/>
      <c r="AA5" s="3826"/>
      <c r="AB5" s="3826"/>
      <c r="AC5" s="3826"/>
    </row>
    <row r="6" spans="1:29" ht="15.75" thickBot="1">
      <c r="A6" s="360"/>
      <c r="B6" s="361"/>
      <c r="C6" s="3838" t="s">
        <v>1677</v>
      </c>
      <c r="D6" s="3839"/>
      <c r="E6" s="3840" t="s">
        <v>1677</v>
      </c>
      <c r="F6" s="3841"/>
      <c r="G6" s="3838" t="s">
        <v>1677</v>
      </c>
      <c r="H6" s="3839"/>
      <c r="I6" s="3838" t="s">
        <v>1677</v>
      </c>
      <c r="J6" s="3839"/>
      <c r="K6" s="559" t="s">
        <v>1678</v>
      </c>
      <c r="L6" s="913"/>
      <c r="M6" s="914"/>
      <c r="N6" s="914"/>
      <c r="O6" s="914"/>
      <c r="P6" s="3851"/>
      <c r="Q6" s="3852"/>
      <c r="R6" s="3832"/>
      <c r="S6" s="3833"/>
      <c r="T6" s="3853"/>
      <c r="U6" s="3854"/>
      <c r="V6" s="3855"/>
      <c r="W6" s="3855"/>
      <c r="X6" s="1355"/>
      <c r="Y6" s="3853"/>
      <c r="Z6" s="3854"/>
      <c r="AA6" s="3827"/>
      <c r="AB6" s="3827"/>
      <c r="AC6" s="3827"/>
    </row>
    <row r="7" spans="1:29" s="108" customFormat="1" ht="15.75" thickBot="1">
      <c r="A7" s="362" t="s">
        <v>1679</v>
      </c>
      <c r="B7" s="363"/>
      <c r="C7" s="364">
        <f>'数据-取费表'!B2</f>
        <v>45301</v>
      </c>
      <c r="D7" s="365">
        <v>100</v>
      </c>
      <c r="E7" s="366"/>
      <c r="F7" s="367">
        <f>SUMIF(52:52,YEAR(E7)&amp;"-"&amp;MONTH(E7),53:53)</f>
        <v>0</v>
      </c>
      <c r="G7" s="366"/>
      <c r="H7" s="365">
        <f>SUMIF(52:52,YEAR(G7)&amp;"-"&amp;MONTH(G7),53:53)</f>
        <v>0</v>
      </c>
      <c r="I7" s="366"/>
      <c r="J7" s="365">
        <f>SUMIF(52:52,YEAR(I7)&amp;"-"&amp;MONTH(I7),53:53)</f>
        <v>0</v>
      </c>
      <c r="K7" s="560"/>
      <c r="L7" s="915"/>
      <c r="M7" s="916"/>
      <c r="N7" s="916"/>
      <c r="O7" s="916"/>
      <c r="P7" s="3828" t="s">
        <v>1680</v>
      </c>
      <c r="Q7" s="3856"/>
      <c r="R7" s="701" t="s">
        <v>14</v>
      </c>
      <c r="S7" s="702">
        <f t="shared" ref="S7:S15" si="0">F7</f>
        <v>0</v>
      </c>
      <c r="T7" s="701" t="s">
        <v>14</v>
      </c>
      <c r="U7" s="702">
        <f t="shared" ref="U7:U15" si="1">H7</f>
        <v>0</v>
      </c>
      <c r="V7" s="701" t="s">
        <v>14</v>
      </c>
      <c r="W7" s="702">
        <f t="shared" ref="W7:W15" si="2">J7</f>
        <v>0</v>
      </c>
      <c r="X7" s="703"/>
      <c r="Y7" s="3828" t="s">
        <v>1680</v>
      </c>
      <c r="Z7" s="382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828" t="s">
        <v>1683</v>
      </c>
      <c r="Q8" s="3829"/>
      <c r="R8" s="701" t="s">
        <v>14</v>
      </c>
      <c r="S8" s="702">
        <f t="shared" si="0"/>
        <v>100</v>
      </c>
      <c r="T8" s="701" t="s">
        <v>14</v>
      </c>
      <c r="U8" s="702">
        <f t="shared" si="1"/>
        <v>100</v>
      </c>
      <c r="V8" s="701" t="s">
        <v>14</v>
      </c>
      <c r="W8" s="702">
        <f t="shared" si="2"/>
        <v>100</v>
      </c>
      <c r="X8" s="703"/>
      <c r="Y8" s="3828" t="s">
        <v>1683</v>
      </c>
      <c r="Z8" s="382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860" t="s">
        <v>1686</v>
      </c>
      <c r="Q9" s="1343" t="str">
        <f t="shared" ref="Q9:Q15" si="6">B9</f>
        <v>用途</v>
      </c>
      <c r="R9" s="701" t="s">
        <v>14</v>
      </c>
      <c r="S9" s="702">
        <f t="shared" si="0"/>
        <v>100</v>
      </c>
      <c r="T9" s="701" t="s">
        <v>14</v>
      </c>
      <c r="U9" s="702">
        <f t="shared" si="1"/>
        <v>100</v>
      </c>
      <c r="V9" s="701" t="s">
        <v>14</v>
      </c>
      <c r="W9" s="702">
        <f t="shared" si="2"/>
        <v>100</v>
      </c>
      <c r="X9" s="703"/>
      <c r="Y9" s="377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860"/>
      <c r="Q10" s="1343" t="str">
        <f t="shared" si="6"/>
        <v>土地使用年限（年）</v>
      </c>
      <c r="R10" s="701" t="s">
        <v>14</v>
      </c>
      <c r="S10" s="702">
        <f t="shared" si="0"/>
        <v>100</v>
      </c>
      <c r="T10" s="701" t="s">
        <v>14</v>
      </c>
      <c r="U10" s="702">
        <f t="shared" si="1"/>
        <v>100</v>
      </c>
      <c r="V10" s="701" t="s">
        <v>14</v>
      </c>
      <c r="W10" s="702">
        <f t="shared" si="2"/>
        <v>100</v>
      </c>
      <c r="X10" s="703"/>
      <c r="Y10" s="377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860"/>
      <c r="Q11" s="1343" t="str">
        <f t="shared" si="6"/>
        <v>容积率</v>
      </c>
      <c r="R11" s="701" t="s">
        <v>14</v>
      </c>
      <c r="S11" s="702">
        <f t="shared" si="0"/>
        <v>100</v>
      </c>
      <c r="T11" s="701" t="s">
        <v>14</v>
      </c>
      <c r="U11" s="702">
        <f t="shared" si="1"/>
        <v>100</v>
      </c>
      <c r="V11" s="701" t="s">
        <v>14</v>
      </c>
      <c r="W11" s="702">
        <f t="shared" si="2"/>
        <v>100</v>
      </c>
      <c r="X11" s="703"/>
      <c r="Y11" s="377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860"/>
      <c r="Q12" s="1343">
        <f t="shared" si="6"/>
        <v>111</v>
      </c>
      <c r="R12" s="701" t="s">
        <v>14</v>
      </c>
      <c r="S12" s="702">
        <f t="shared" si="0"/>
        <v>100</v>
      </c>
      <c r="T12" s="701" t="s">
        <v>14</v>
      </c>
      <c r="U12" s="702">
        <f t="shared" si="1"/>
        <v>100</v>
      </c>
      <c r="V12" s="701" t="s">
        <v>14</v>
      </c>
      <c r="W12" s="702">
        <f t="shared" si="2"/>
        <v>100</v>
      </c>
      <c r="X12" s="703"/>
      <c r="Y12" s="377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860"/>
      <c r="Q13" s="1343">
        <f t="shared" si="6"/>
        <v>111</v>
      </c>
      <c r="R13" s="701" t="s">
        <v>14</v>
      </c>
      <c r="S13" s="702">
        <f t="shared" si="0"/>
        <v>100</v>
      </c>
      <c r="T13" s="701" t="s">
        <v>14</v>
      </c>
      <c r="U13" s="702">
        <f t="shared" si="1"/>
        <v>100</v>
      </c>
      <c r="V13" s="701" t="s">
        <v>14</v>
      </c>
      <c r="W13" s="702">
        <f t="shared" si="2"/>
        <v>100</v>
      </c>
      <c r="X13" s="703"/>
      <c r="Y13" s="377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860"/>
      <c r="Q14" s="1343">
        <f t="shared" si="6"/>
        <v>111</v>
      </c>
      <c r="R14" s="701" t="s">
        <v>14</v>
      </c>
      <c r="S14" s="702">
        <f t="shared" si="0"/>
        <v>100</v>
      </c>
      <c r="T14" s="701" t="s">
        <v>14</v>
      </c>
      <c r="U14" s="702">
        <f t="shared" si="1"/>
        <v>100</v>
      </c>
      <c r="V14" s="701" t="s">
        <v>14</v>
      </c>
      <c r="W14" s="702">
        <f t="shared" si="2"/>
        <v>100</v>
      </c>
      <c r="X14" s="703"/>
      <c r="Y14" s="377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862" t="s">
        <v>1691</v>
      </c>
      <c r="Q15" s="1352" t="str">
        <f t="shared" si="6"/>
        <v>产业集聚程度</v>
      </c>
      <c r="R15" s="705" t="s">
        <v>14</v>
      </c>
      <c r="S15" s="706">
        <f t="shared" si="0"/>
        <v>100</v>
      </c>
      <c r="T15" s="705" t="s">
        <v>14</v>
      </c>
      <c r="U15" s="706">
        <f t="shared" si="1"/>
        <v>100</v>
      </c>
      <c r="V15" s="705" t="s">
        <v>14</v>
      </c>
      <c r="W15" s="706">
        <f t="shared" si="2"/>
        <v>100</v>
      </c>
      <c r="X15" s="1355"/>
      <c r="Y15" s="386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863"/>
      <c r="Q16" s="1352"/>
      <c r="R16" s="705"/>
      <c r="S16" s="706"/>
      <c r="T16" s="705"/>
      <c r="U16" s="706"/>
      <c r="V16" s="705"/>
      <c r="W16" s="706"/>
      <c r="X16" s="1355"/>
      <c r="Y16" s="386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863"/>
      <c r="Q17" s="1352" t="str">
        <f>B17</f>
        <v>交通便捷度</v>
      </c>
      <c r="R17" s="705" t="s">
        <v>14</v>
      </c>
      <c r="S17" s="706">
        <f>F17</f>
        <v>100</v>
      </c>
      <c r="T17" s="705" t="s">
        <v>14</v>
      </c>
      <c r="U17" s="706">
        <f>H17</f>
        <v>100</v>
      </c>
      <c r="V17" s="705" t="s">
        <v>14</v>
      </c>
      <c r="W17" s="706">
        <f>J17</f>
        <v>100</v>
      </c>
      <c r="X17" s="1355"/>
      <c r="Y17" s="386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863"/>
      <c r="Q18" s="1352"/>
      <c r="R18" s="705"/>
      <c r="S18" s="706"/>
      <c r="T18" s="705"/>
      <c r="U18" s="706"/>
      <c r="V18" s="705"/>
      <c r="W18" s="706"/>
      <c r="X18" s="1355"/>
      <c r="Y18" s="386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863"/>
      <c r="Q19" s="1352" t="str">
        <f>B19</f>
        <v>公共配套设施</v>
      </c>
      <c r="R19" s="705" t="s">
        <v>14</v>
      </c>
      <c r="S19" s="706">
        <f>F19</f>
        <v>100</v>
      </c>
      <c r="T19" s="705" t="s">
        <v>14</v>
      </c>
      <c r="U19" s="706">
        <f>H19</f>
        <v>100</v>
      </c>
      <c r="V19" s="705" t="s">
        <v>14</v>
      </c>
      <c r="W19" s="706">
        <f>J19</f>
        <v>100</v>
      </c>
      <c r="X19" s="1355"/>
      <c r="Y19" s="386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863"/>
      <c r="Q20" s="1352"/>
      <c r="R20" s="705"/>
      <c r="S20" s="706"/>
      <c r="T20" s="705"/>
      <c r="U20" s="706"/>
      <c r="V20" s="705"/>
      <c r="W20" s="706"/>
      <c r="X20" s="1355"/>
      <c r="Y20" s="386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863"/>
      <c r="Q21" s="1352" t="str">
        <f>B21</f>
        <v>基础设施水平</v>
      </c>
      <c r="R21" s="705" t="s">
        <v>14</v>
      </c>
      <c r="S21" s="706">
        <f>F21</f>
        <v>100</v>
      </c>
      <c r="T21" s="705" t="s">
        <v>14</v>
      </c>
      <c r="U21" s="706">
        <f>H21</f>
        <v>100</v>
      </c>
      <c r="V21" s="705" t="s">
        <v>14</v>
      </c>
      <c r="W21" s="706">
        <f>J21</f>
        <v>100</v>
      </c>
      <c r="X21" s="1355"/>
      <c r="Y21" s="386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863"/>
      <c r="Q22" s="1352"/>
      <c r="R22" s="705"/>
      <c r="S22" s="706"/>
      <c r="T22" s="705"/>
      <c r="U22" s="706"/>
      <c r="V22" s="705"/>
      <c r="W22" s="706"/>
      <c r="X22" s="1355"/>
      <c r="Y22" s="386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863"/>
      <c r="Q23" s="1352" t="str">
        <f>B23</f>
        <v>环境质量</v>
      </c>
      <c r="R23" s="705" t="s">
        <v>14</v>
      </c>
      <c r="S23" s="706">
        <f>F23</f>
        <v>100</v>
      </c>
      <c r="T23" s="705" t="s">
        <v>14</v>
      </c>
      <c r="U23" s="706">
        <f>H23</f>
        <v>100</v>
      </c>
      <c r="V23" s="705" t="s">
        <v>14</v>
      </c>
      <c r="W23" s="706">
        <f>J23</f>
        <v>100</v>
      </c>
      <c r="X23" s="1355"/>
      <c r="Y23" s="386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863"/>
      <c r="Q24" s="1352"/>
      <c r="R24" s="705"/>
      <c r="S24" s="706"/>
      <c r="T24" s="705"/>
      <c r="U24" s="706"/>
      <c r="V24" s="705"/>
      <c r="W24" s="706"/>
      <c r="X24" s="1355"/>
      <c r="Y24" s="386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863"/>
      <c r="Q25" s="1352">
        <f>B25</f>
        <v>111</v>
      </c>
      <c r="R25" s="705" t="s">
        <v>14</v>
      </c>
      <c r="S25" s="706">
        <f>F25</f>
        <v>100</v>
      </c>
      <c r="T25" s="705" t="s">
        <v>14</v>
      </c>
      <c r="U25" s="706">
        <f>H25</f>
        <v>100</v>
      </c>
      <c r="V25" s="705" t="s">
        <v>14</v>
      </c>
      <c r="W25" s="706">
        <f>J25</f>
        <v>100</v>
      </c>
      <c r="X25" s="1355"/>
      <c r="Y25" s="386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863"/>
      <c r="Q26" s="1352">
        <f t="shared" ref="Q26:Q40" si="11">B26</f>
        <v>111</v>
      </c>
      <c r="R26" s="705" t="s">
        <v>14</v>
      </c>
      <c r="S26" s="706">
        <f>F26</f>
        <v>100</v>
      </c>
      <c r="T26" s="705" t="s">
        <v>14</v>
      </c>
      <c r="U26" s="706">
        <f>H26</f>
        <v>100</v>
      </c>
      <c r="V26" s="705" t="s">
        <v>14</v>
      </c>
      <c r="W26" s="706">
        <f>J26</f>
        <v>100</v>
      </c>
      <c r="X26" s="1355"/>
      <c r="Y26" s="386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863"/>
      <c r="Q27" s="1343">
        <f t="shared" si="11"/>
        <v>111</v>
      </c>
      <c r="R27" s="701" t="s">
        <v>14</v>
      </c>
      <c r="S27" s="702">
        <f>F27</f>
        <v>100</v>
      </c>
      <c r="T27" s="701" t="s">
        <v>14</v>
      </c>
      <c r="U27" s="702">
        <f>H27</f>
        <v>100</v>
      </c>
      <c r="V27" s="701" t="s">
        <v>14</v>
      </c>
      <c r="W27" s="702">
        <f>J27</f>
        <v>100</v>
      </c>
      <c r="X27" s="703"/>
      <c r="Y27" s="386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863"/>
      <c r="Q28" s="1352">
        <f t="shared" si="11"/>
        <v>111</v>
      </c>
      <c r="R28" s="705" t="s">
        <v>14</v>
      </c>
      <c r="S28" s="706">
        <f t="shared" ref="S28:S40" si="12">F28</f>
        <v>100</v>
      </c>
      <c r="T28" s="705" t="s">
        <v>14</v>
      </c>
      <c r="U28" s="706">
        <f t="shared" ref="U28:U40" si="13">H28</f>
        <v>100</v>
      </c>
      <c r="V28" s="705" t="s">
        <v>14</v>
      </c>
      <c r="W28" s="706">
        <f t="shared" ref="W28:W40" si="14">J28</f>
        <v>100</v>
      </c>
      <c r="X28" s="1355"/>
      <c r="Y28" s="386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86" t="s">
        <v>1696</v>
      </c>
      <c r="Q29" s="1352" t="str">
        <f t="shared" si="11"/>
        <v>建筑类型</v>
      </c>
      <c r="R29" s="705" t="s">
        <v>14</v>
      </c>
      <c r="S29" s="706">
        <f t="shared" si="12"/>
        <v>100</v>
      </c>
      <c r="T29" s="705" t="s">
        <v>14</v>
      </c>
      <c r="U29" s="706">
        <f t="shared" si="13"/>
        <v>100</v>
      </c>
      <c r="V29" s="705" t="s">
        <v>14</v>
      </c>
      <c r="W29" s="706">
        <f t="shared" si="14"/>
        <v>100</v>
      </c>
      <c r="X29" s="1355"/>
      <c r="Y29" s="386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867"/>
      <c r="Q30" s="707" t="str">
        <f t="shared" si="11"/>
        <v>项目建筑规模</v>
      </c>
      <c r="R30" s="708" t="s">
        <v>14</v>
      </c>
      <c r="S30" s="709" t="e">
        <f t="shared" si="12"/>
        <v>#N/A</v>
      </c>
      <c r="T30" s="708" t="s">
        <v>14</v>
      </c>
      <c r="U30" s="709" t="e">
        <f t="shared" si="13"/>
        <v>#N/A</v>
      </c>
      <c r="V30" s="708" t="s">
        <v>14</v>
      </c>
      <c r="W30" s="709" t="e">
        <f t="shared" si="14"/>
        <v>#N/A</v>
      </c>
      <c r="X30" s="710"/>
      <c r="Y30" s="386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867"/>
      <c r="Q31" s="1352" t="str">
        <f t="shared" si="11"/>
        <v>建筑结构</v>
      </c>
      <c r="R31" s="705" t="s">
        <v>14</v>
      </c>
      <c r="S31" s="706">
        <f t="shared" si="12"/>
        <v>100</v>
      </c>
      <c r="T31" s="705" t="s">
        <v>14</v>
      </c>
      <c r="U31" s="706">
        <f t="shared" si="13"/>
        <v>100</v>
      </c>
      <c r="V31" s="705" t="s">
        <v>14</v>
      </c>
      <c r="W31" s="706">
        <f t="shared" si="14"/>
        <v>100</v>
      </c>
      <c r="X31" s="1355"/>
      <c r="Y31" s="386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867"/>
      <c r="Q32" s="1352" t="str">
        <f t="shared" si="11"/>
        <v>公共部分装修</v>
      </c>
      <c r="R32" s="705" t="s">
        <v>14</v>
      </c>
      <c r="S32" s="706">
        <f t="shared" si="12"/>
        <v>100</v>
      </c>
      <c r="T32" s="705" t="s">
        <v>14</v>
      </c>
      <c r="U32" s="706">
        <f t="shared" si="13"/>
        <v>100</v>
      </c>
      <c r="V32" s="705" t="s">
        <v>14</v>
      </c>
      <c r="W32" s="706">
        <f t="shared" si="14"/>
        <v>100</v>
      </c>
      <c r="X32" s="1355"/>
      <c r="Y32" s="386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867"/>
      <c r="Q33" s="1352" t="str">
        <f t="shared" si="11"/>
        <v>成新度</v>
      </c>
      <c r="R33" s="705" t="s">
        <v>14</v>
      </c>
      <c r="S33" s="706" t="e">
        <f t="shared" si="12"/>
        <v>#N/A</v>
      </c>
      <c r="T33" s="705" t="s">
        <v>14</v>
      </c>
      <c r="U33" s="706" t="e">
        <f t="shared" si="13"/>
        <v>#N/A</v>
      </c>
      <c r="V33" s="705" t="s">
        <v>14</v>
      </c>
      <c r="W33" s="706" t="e">
        <f t="shared" si="14"/>
        <v>#N/A</v>
      </c>
      <c r="X33" s="1355"/>
      <c r="Y33" s="386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867"/>
      <c r="Q34" s="1343" t="str">
        <f t="shared" si="11"/>
        <v>物业管理</v>
      </c>
      <c r="R34" s="701" t="s">
        <v>14</v>
      </c>
      <c r="S34" s="702">
        <f t="shared" si="12"/>
        <v>100</v>
      </c>
      <c r="T34" s="701" t="s">
        <v>14</v>
      </c>
      <c r="U34" s="702">
        <f t="shared" si="13"/>
        <v>100</v>
      </c>
      <c r="V34" s="701" t="s">
        <v>14</v>
      </c>
      <c r="W34" s="702">
        <f t="shared" si="14"/>
        <v>100</v>
      </c>
      <c r="X34" s="703"/>
      <c r="Y34" s="386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867" t="s">
        <v>1696</v>
      </c>
      <c r="Q35" s="1352" t="str">
        <f t="shared" si="11"/>
        <v>市政基础设施</v>
      </c>
      <c r="R35" s="705" t="s">
        <v>14</v>
      </c>
      <c r="S35" s="706">
        <f t="shared" si="12"/>
        <v>100</v>
      </c>
      <c r="T35" s="705" t="s">
        <v>14</v>
      </c>
      <c r="U35" s="706">
        <f t="shared" si="13"/>
        <v>100</v>
      </c>
      <c r="V35" s="705" t="s">
        <v>14</v>
      </c>
      <c r="W35" s="706">
        <f t="shared" si="14"/>
        <v>100</v>
      </c>
      <c r="X35" s="1355"/>
      <c r="Y35" s="386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867"/>
      <c r="Q36" s="1352" t="str">
        <f t="shared" si="11"/>
        <v>内部装修</v>
      </c>
      <c r="R36" s="705" t="s">
        <v>14</v>
      </c>
      <c r="S36" s="706">
        <f t="shared" si="12"/>
        <v>100</v>
      </c>
      <c r="T36" s="705" t="s">
        <v>14</v>
      </c>
      <c r="U36" s="706">
        <f t="shared" si="13"/>
        <v>100</v>
      </c>
      <c r="V36" s="705" t="s">
        <v>14</v>
      </c>
      <c r="W36" s="706">
        <f t="shared" si="14"/>
        <v>100</v>
      </c>
      <c r="X36" s="1355"/>
      <c r="Y36" s="386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867"/>
      <c r="Q37" s="1352" t="str">
        <f t="shared" si="11"/>
        <v>内部装修状况</v>
      </c>
      <c r="R37" s="705" t="s">
        <v>14</v>
      </c>
      <c r="S37" s="706">
        <f t="shared" si="12"/>
        <v>100</v>
      </c>
      <c r="T37" s="705" t="s">
        <v>14</v>
      </c>
      <c r="U37" s="706">
        <f t="shared" si="13"/>
        <v>100</v>
      </c>
      <c r="V37" s="705" t="s">
        <v>14</v>
      </c>
      <c r="W37" s="706">
        <f t="shared" si="14"/>
        <v>100</v>
      </c>
      <c r="X37" s="1355"/>
      <c r="Y37" s="386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867"/>
      <c r="Q38" s="707">
        <f t="shared" si="11"/>
        <v>111</v>
      </c>
      <c r="R38" s="708" t="s">
        <v>14</v>
      </c>
      <c r="S38" s="709">
        <f t="shared" si="12"/>
        <v>100</v>
      </c>
      <c r="T38" s="708" t="s">
        <v>14</v>
      </c>
      <c r="U38" s="709">
        <f t="shared" si="13"/>
        <v>100</v>
      </c>
      <c r="V38" s="708" t="s">
        <v>14</v>
      </c>
      <c r="W38" s="709">
        <f t="shared" si="14"/>
        <v>100</v>
      </c>
      <c r="X38" s="710"/>
      <c r="Y38" s="386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867"/>
      <c r="Q39" s="1352">
        <f t="shared" si="11"/>
        <v>111</v>
      </c>
      <c r="R39" s="705" t="s">
        <v>14</v>
      </c>
      <c r="S39" s="706">
        <f t="shared" si="12"/>
        <v>100</v>
      </c>
      <c r="T39" s="705" t="s">
        <v>14</v>
      </c>
      <c r="U39" s="706">
        <f t="shared" si="13"/>
        <v>100</v>
      </c>
      <c r="V39" s="705" t="s">
        <v>14</v>
      </c>
      <c r="W39" s="706">
        <f t="shared" si="14"/>
        <v>100</v>
      </c>
      <c r="X39" s="1355"/>
      <c r="Y39" s="386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68"/>
      <c r="Q40" s="1352">
        <f t="shared" si="11"/>
        <v>111</v>
      </c>
      <c r="R40" s="705" t="s">
        <v>14</v>
      </c>
      <c r="S40" s="706">
        <f t="shared" si="12"/>
        <v>100</v>
      </c>
      <c r="T40" s="705" t="s">
        <v>14</v>
      </c>
      <c r="U40" s="706">
        <f t="shared" si="13"/>
        <v>100</v>
      </c>
      <c r="V40" s="705" t="s">
        <v>14</v>
      </c>
      <c r="W40" s="706">
        <f t="shared" si="14"/>
        <v>100</v>
      </c>
      <c r="X40" s="1355"/>
      <c r="Y40" s="386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860" t="str">
        <f>A41</f>
        <v>成交单价（元/平方米）</v>
      </c>
      <c r="Q41" s="3860"/>
      <c r="R41" s="3861">
        <f>E41</f>
        <v>0</v>
      </c>
      <c r="S41" s="3861"/>
      <c r="T41" s="3861">
        <f>G41</f>
        <v>0</v>
      </c>
      <c r="U41" s="3861"/>
      <c r="V41" s="3861">
        <f>I41</f>
        <v>0</v>
      </c>
      <c r="W41" s="386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860" t="str">
        <f>A42</f>
        <v>比较价值（元/平方米）</v>
      </c>
      <c r="Q42" s="3860"/>
      <c r="R42" s="3861" t="e">
        <f>IF(F1="售价",ROUND(PRODUCT(R41,AA7:AA40),0),ROUND(PRODUCT(R41,AA7:AA40),1))</f>
        <v>#DIV/0!</v>
      </c>
      <c r="S42" s="3861"/>
      <c r="T42" s="3861" t="e">
        <f>IF(F1="售价",ROUND(PRODUCT(T41,AB7:AB40),0),ROUND(PRODUCT(T41,AB7:AB40),1))</f>
        <v>#DIV/0!</v>
      </c>
      <c r="U42" s="3861"/>
      <c r="V42" s="3861" t="e">
        <f>IF(F1="售价",ROUND(PRODUCT(V41,AC7:AC40),0),ROUND(PRODUCT(V41,AC7:AC40),1))</f>
        <v>#DIV/0!</v>
      </c>
      <c r="W42" s="386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857" t="str">
        <f>A43</f>
        <v>估价对象XX用房的比较价值（楼面单价，元/平方米）</v>
      </c>
      <c r="Q43" s="3858"/>
      <c r="R43" s="3859" t="e">
        <f>IF(F1="售价",ROUND(IF(D42="简单平均",AVERAGE(R42:V42),R42*F42+T42*H42+V42*J42),0),ROUND(IF(D42="简单平均",AVERAGE(R42:V42),R42*F42+T42*H42+V42*J42),1))</f>
        <v>#DIV/0!</v>
      </c>
      <c r="S43" s="3859"/>
      <c r="T43" s="3859"/>
      <c r="U43" s="3859"/>
      <c r="V43" s="3859"/>
      <c r="W43" s="385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843" t="s">
        <v>1770</v>
      </c>
      <c r="D4" s="3844"/>
      <c r="E4" s="3845" t="s">
        <v>1771</v>
      </c>
      <c r="F4" s="3846"/>
      <c r="G4" s="3843" t="s">
        <v>1772</v>
      </c>
      <c r="H4" s="3844"/>
      <c r="I4" s="3843" t="s">
        <v>1773</v>
      </c>
      <c r="J4" s="3844"/>
      <c r="K4" s="559" t="s">
        <v>1774</v>
      </c>
      <c r="L4" s="2715"/>
      <c r="M4" s="2716"/>
      <c r="N4" s="2716"/>
      <c r="O4" s="2716"/>
      <c r="P4" s="3847" t="s">
        <v>1775</v>
      </c>
      <c r="Q4" s="3848"/>
      <c r="R4" s="3830" t="s">
        <v>1771</v>
      </c>
      <c r="S4" s="3831"/>
      <c r="T4" s="3830" t="s">
        <v>1772</v>
      </c>
      <c r="U4" s="3831"/>
      <c r="V4" s="3855" t="s">
        <v>1773</v>
      </c>
      <c r="W4" s="3855"/>
      <c r="X4" s="1355"/>
      <c r="Y4" s="3830" t="s">
        <v>1775</v>
      </c>
      <c r="Z4" s="3831"/>
      <c r="AA4" s="3825" t="s">
        <v>1771</v>
      </c>
      <c r="AB4" s="3826" t="s">
        <v>1772</v>
      </c>
      <c r="AC4" s="3825" t="s">
        <v>1773</v>
      </c>
    </row>
    <row r="5" spans="1:29" ht="15">
      <c r="A5" s="358"/>
      <c r="B5" s="359"/>
      <c r="C5" s="3836" t="s">
        <v>1673</v>
      </c>
      <c r="D5" s="3837"/>
      <c r="E5" s="3834" t="s">
        <v>1674</v>
      </c>
      <c r="F5" s="3835"/>
      <c r="G5" s="3836" t="s">
        <v>1675</v>
      </c>
      <c r="H5" s="3837"/>
      <c r="I5" s="3836" t="s">
        <v>1676</v>
      </c>
      <c r="J5" s="3837"/>
      <c r="K5" s="559"/>
      <c r="L5" s="2715"/>
      <c r="M5" s="2716"/>
      <c r="N5" s="2716"/>
      <c r="O5" s="2716"/>
      <c r="P5" s="3849"/>
      <c r="Q5" s="3850"/>
      <c r="R5" s="3832"/>
      <c r="S5" s="3833"/>
      <c r="T5" s="3832"/>
      <c r="U5" s="3833"/>
      <c r="V5" s="3855"/>
      <c r="W5" s="3855"/>
      <c r="X5" s="1355"/>
      <c r="Y5" s="3832"/>
      <c r="Z5" s="3833"/>
      <c r="AA5" s="3826"/>
      <c r="AB5" s="3826"/>
      <c r="AC5" s="3826"/>
    </row>
    <row r="6" spans="1:29" ht="15.75" thickBot="1">
      <c r="A6" s="360"/>
      <c r="B6" s="361"/>
      <c r="C6" s="3838" t="s">
        <v>1677</v>
      </c>
      <c r="D6" s="3839"/>
      <c r="E6" s="3840" t="s">
        <v>1677</v>
      </c>
      <c r="F6" s="3841"/>
      <c r="G6" s="3838" t="s">
        <v>1677</v>
      </c>
      <c r="H6" s="3839"/>
      <c r="I6" s="3838" t="s">
        <v>1677</v>
      </c>
      <c r="J6" s="3839"/>
      <c r="K6" s="559" t="s">
        <v>1678</v>
      </c>
      <c r="L6" s="2715"/>
      <c r="M6" s="2716"/>
      <c r="N6" s="2716"/>
      <c r="O6" s="2716"/>
      <c r="P6" s="3851"/>
      <c r="Q6" s="3852"/>
      <c r="R6" s="3832"/>
      <c r="S6" s="3833"/>
      <c r="T6" s="3853"/>
      <c r="U6" s="3854"/>
      <c r="V6" s="3855"/>
      <c r="W6" s="3855"/>
      <c r="X6" s="1355"/>
      <c r="Y6" s="3853"/>
      <c r="Z6" s="3854"/>
      <c r="AA6" s="3827"/>
      <c r="AB6" s="3827"/>
      <c r="AC6" s="3827"/>
    </row>
    <row r="7" spans="1:29" s="108" customFormat="1" ht="15.75" thickBot="1">
      <c r="A7" s="362" t="s">
        <v>1679</v>
      </c>
      <c r="B7" s="363"/>
      <c r="C7" s="364">
        <f>'数据-取费表'!B2</f>
        <v>45301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828" t="s">
        <v>1680</v>
      </c>
      <c r="Q7" s="3856"/>
      <c r="R7" s="701" t="s">
        <v>14</v>
      </c>
      <c r="S7" s="702">
        <f t="shared" ref="S7:S14" si="0">F7</f>
        <v>0</v>
      </c>
      <c r="T7" s="701" t="s">
        <v>14</v>
      </c>
      <c r="U7" s="702">
        <f t="shared" ref="U7:U14" si="1">H7</f>
        <v>0</v>
      </c>
      <c r="V7" s="701" t="s">
        <v>14</v>
      </c>
      <c r="W7" s="702">
        <f t="shared" ref="W7:W14" si="2">J7</f>
        <v>0</v>
      </c>
      <c r="X7" s="703"/>
      <c r="Y7" s="3828" t="s">
        <v>1680</v>
      </c>
      <c r="Z7" s="382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828" t="s">
        <v>1683</v>
      </c>
      <c r="Q8" s="3829"/>
      <c r="R8" s="701" t="s">
        <v>14</v>
      </c>
      <c r="S8" s="702">
        <f t="shared" si="0"/>
        <v>100</v>
      </c>
      <c r="T8" s="701" t="s">
        <v>14</v>
      </c>
      <c r="U8" s="702">
        <f t="shared" si="1"/>
        <v>100</v>
      </c>
      <c r="V8" s="701" t="s">
        <v>14</v>
      </c>
      <c r="W8" s="702">
        <f t="shared" si="2"/>
        <v>100</v>
      </c>
      <c r="X8" s="703"/>
      <c r="Y8" s="3828" t="s">
        <v>1683</v>
      </c>
      <c r="Z8" s="382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860" t="s">
        <v>1686</v>
      </c>
      <c r="Q9" s="1343" t="str">
        <f t="shared" ref="Q9:Q14" si="6">B9</f>
        <v>用途</v>
      </c>
      <c r="R9" s="701" t="s">
        <v>14</v>
      </c>
      <c r="S9" s="702">
        <f t="shared" si="0"/>
        <v>100</v>
      </c>
      <c r="T9" s="701" t="s">
        <v>14</v>
      </c>
      <c r="U9" s="702">
        <f t="shared" si="1"/>
        <v>100</v>
      </c>
      <c r="V9" s="701" t="s">
        <v>14</v>
      </c>
      <c r="W9" s="702">
        <f t="shared" si="2"/>
        <v>100</v>
      </c>
      <c r="X9" s="703"/>
      <c r="Y9" s="377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860"/>
      <c r="Q10" s="1343" t="str">
        <f t="shared" si="6"/>
        <v>土地使用年限（年）</v>
      </c>
      <c r="R10" s="701" t="s">
        <v>14</v>
      </c>
      <c r="S10" s="702">
        <f t="shared" si="0"/>
        <v>100</v>
      </c>
      <c r="T10" s="701" t="s">
        <v>14</v>
      </c>
      <c r="U10" s="702">
        <f t="shared" si="1"/>
        <v>100</v>
      </c>
      <c r="V10" s="701" t="s">
        <v>14</v>
      </c>
      <c r="W10" s="702">
        <f t="shared" si="2"/>
        <v>100</v>
      </c>
      <c r="X10" s="703"/>
      <c r="Y10" s="377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860"/>
      <c r="Q11" s="1343">
        <f t="shared" si="6"/>
        <v>111</v>
      </c>
      <c r="R11" s="701" t="s">
        <v>14</v>
      </c>
      <c r="S11" s="702">
        <f t="shared" si="0"/>
        <v>100</v>
      </c>
      <c r="T11" s="701" t="s">
        <v>14</v>
      </c>
      <c r="U11" s="702">
        <f t="shared" si="1"/>
        <v>100</v>
      </c>
      <c r="V11" s="701" t="s">
        <v>14</v>
      </c>
      <c r="W11" s="702">
        <f t="shared" si="2"/>
        <v>100</v>
      </c>
      <c r="X11" s="703"/>
      <c r="Y11" s="377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860"/>
      <c r="Q12" s="1343">
        <f t="shared" si="6"/>
        <v>111</v>
      </c>
      <c r="R12" s="701" t="s">
        <v>14</v>
      </c>
      <c r="S12" s="702">
        <f t="shared" si="0"/>
        <v>100</v>
      </c>
      <c r="T12" s="701" t="s">
        <v>14</v>
      </c>
      <c r="U12" s="702">
        <f t="shared" si="1"/>
        <v>100</v>
      </c>
      <c r="V12" s="701" t="s">
        <v>14</v>
      </c>
      <c r="W12" s="702">
        <f t="shared" si="2"/>
        <v>100</v>
      </c>
      <c r="X12" s="703"/>
      <c r="Y12" s="377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860"/>
      <c r="Q13" s="1343">
        <f t="shared" si="6"/>
        <v>111</v>
      </c>
      <c r="R13" s="701" t="s">
        <v>14</v>
      </c>
      <c r="S13" s="702">
        <f t="shared" si="0"/>
        <v>100</v>
      </c>
      <c r="T13" s="701" t="s">
        <v>14</v>
      </c>
      <c r="U13" s="702">
        <f t="shared" si="1"/>
        <v>100</v>
      </c>
      <c r="V13" s="701" t="s">
        <v>14</v>
      </c>
      <c r="W13" s="702">
        <f t="shared" si="2"/>
        <v>100</v>
      </c>
      <c r="X13" s="703"/>
      <c r="Y13" s="377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862" t="s">
        <v>1691</v>
      </c>
      <c r="Q14" s="1352" t="str">
        <f t="shared" si="6"/>
        <v>交通便捷度</v>
      </c>
      <c r="R14" s="705" t="s">
        <v>14</v>
      </c>
      <c r="S14" s="706">
        <f t="shared" si="0"/>
        <v>100</v>
      </c>
      <c r="T14" s="705" t="s">
        <v>14</v>
      </c>
      <c r="U14" s="706">
        <f t="shared" si="1"/>
        <v>100</v>
      </c>
      <c r="V14" s="705" t="s">
        <v>14</v>
      </c>
      <c r="W14" s="706">
        <f t="shared" si="2"/>
        <v>100</v>
      </c>
      <c r="X14" s="1355"/>
      <c r="Y14" s="386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863"/>
      <c r="Q15" s="1352"/>
      <c r="R15" s="705"/>
      <c r="S15" s="706"/>
      <c r="T15" s="705"/>
      <c r="U15" s="706"/>
      <c r="V15" s="705"/>
      <c r="W15" s="706"/>
      <c r="X15" s="1355"/>
      <c r="Y15" s="386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863"/>
      <c r="Q16" s="1352" t="str">
        <f>B16</f>
        <v>公共配套设施</v>
      </c>
      <c r="R16" s="705" t="s">
        <v>14</v>
      </c>
      <c r="S16" s="706">
        <f>F16</f>
        <v>100</v>
      </c>
      <c r="T16" s="705" t="s">
        <v>14</v>
      </c>
      <c r="U16" s="706">
        <f>H16</f>
        <v>100</v>
      </c>
      <c r="V16" s="705" t="s">
        <v>14</v>
      </c>
      <c r="W16" s="706">
        <f>J16</f>
        <v>100</v>
      </c>
      <c r="X16" s="1355"/>
      <c r="Y16" s="386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863"/>
      <c r="Q17" s="1352"/>
      <c r="R17" s="705"/>
      <c r="S17" s="706"/>
      <c r="T17" s="705"/>
      <c r="U17" s="706"/>
      <c r="V17" s="705"/>
      <c r="W17" s="706"/>
      <c r="X17" s="1355"/>
      <c r="Y17" s="386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863"/>
      <c r="Q18" s="1352" t="str">
        <f>B18</f>
        <v>基础设施水平</v>
      </c>
      <c r="R18" s="705" t="s">
        <v>14</v>
      </c>
      <c r="S18" s="706">
        <f>F18</f>
        <v>100</v>
      </c>
      <c r="T18" s="705" t="s">
        <v>14</v>
      </c>
      <c r="U18" s="706">
        <f>H18</f>
        <v>100</v>
      </c>
      <c r="V18" s="705" t="s">
        <v>14</v>
      </c>
      <c r="W18" s="706">
        <f>J18</f>
        <v>100</v>
      </c>
      <c r="X18" s="1355"/>
      <c r="Y18" s="386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863"/>
      <c r="Q19" s="1352"/>
      <c r="R19" s="705"/>
      <c r="S19" s="706"/>
      <c r="T19" s="705"/>
      <c r="U19" s="706"/>
      <c r="V19" s="705"/>
      <c r="W19" s="706"/>
      <c r="X19" s="1355"/>
      <c r="Y19" s="386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863"/>
      <c r="Q20" s="1352" t="str">
        <f>B20</f>
        <v>自然及人文环境</v>
      </c>
      <c r="R20" s="705" t="s">
        <v>14</v>
      </c>
      <c r="S20" s="706">
        <f>F20</f>
        <v>100</v>
      </c>
      <c r="T20" s="705" t="s">
        <v>14</v>
      </c>
      <c r="U20" s="706">
        <f>H20</f>
        <v>100</v>
      </c>
      <c r="V20" s="705" t="s">
        <v>14</v>
      </c>
      <c r="W20" s="706">
        <f>J20</f>
        <v>100</v>
      </c>
      <c r="X20" s="1355"/>
      <c r="Y20" s="386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863"/>
      <c r="Q21" s="1352"/>
      <c r="R21" s="705"/>
      <c r="S21" s="706"/>
      <c r="T21" s="705"/>
      <c r="U21" s="706"/>
      <c r="V21" s="705"/>
      <c r="W21" s="706"/>
      <c r="X21" s="1355"/>
      <c r="Y21" s="386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863"/>
      <c r="Q22" s="1352" t="str">
        <f>B22</f>
        <v>楼层</v>
      </c>
      <c r="R22" s="705" t="s">
        <v>14</v>
      </c>
      <c r="S22" s="706">
        <f>F22</f>
        <v>100</v>
      </c>
      <c r="T22" s="705" t="s">
        <v>14</v>
      </c>
      <c r="U22" s="706">
        <f>H22</f>
        <v>100</v>
      </c>
      <c r="V22" s="705" t="s">
        <v>14</v>
      </c>
      <c r="W22" s="706">
        <f>J22</f>
        <v>100</v>
      </c>
      <c r="X22" s="1355"/>
      <c r="Y22" s="386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863"/>
      <c r="Q23" s="1352">
        <f>B23</f>
        <v>111</v>
      </c>
      <c r="R23" s="705" t="s">
        <v>14</v>
      </c>
      <c r="S23" s="706">
        <f>F23</f>
        <v>100</v>
      </c>
      <c r="T23" s="705" t="s">
        <v>14</v>
      </c>
      <c r="U23" s="706">
        <f>H23</f>
        <v>100</v>
      </c>
      <c r="V23" s="705" t="s">
        <v>14</v>
      </c>
      <c r="W23" s="706">
        <f>J23</f>
        <v>100</v>
      </c>
      <c r="X23" s="1355"/>
      <c r="Y23" s="386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863"/>
      <c r="Q24" s="1352">
        <f t="shared" ref="Q24:Q36" si="11">B24</f>
        <v>111</v>
      </c>
      <c r="R24" s="705" t="s">
        <v>14</v>
      </c>
      <c r="S24" s="706">
        <f>F24</f>
        <v>100</v>
      </c>
      <c r="T24" s="705" t="s">
        <v>14</v>
      </c>
      <c r="U24" s="706">
        <f>H24</f>
        <v>100</v>
      </c>
      <c r="V24" s="705" t="s">
        <v>14</v>
      </c>
      <c r="W24" s="706">
        <f>J24</f>
        <v>100</v>
      </c>
      <c r="X24" s="1355"/>
      <c r="Y24" s="386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863"/>
      <c r="Q25" s="1343">
        <f t="shared" si="11"/>
        <v>111</v>
      </c>
      <c r="R25" s="701" t="s">
        <v>14</v>
      </c>
      <c r="S25" s="702">
        <f>F25</f>
        <v>100</v>
      </c>
      <c r="T25" s="701" t="s">
        <v>14</v>
      </c>
      <c r="U25" s="702">
        <f>H25</f>
        <v>100</v>
      </c>
      <c r="V25" s="701" t="s">
        <v>14</v>
      </c>
      <c r="W25" s="702">
        <f>J25</f>
        <v>100</v>
      </c>
      <c r="X25" s="703"/>
      <c r="Y25" s="386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88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86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867"/>
      <c r="Q27" s="707" t="str">
        <f t="shared" si="11"/>
        <v>项目停车位配比</v>
      </c>
      <c r="R27" s="708" t="s">
        <v>14</v>
      </c>
      <c r="S27" s="709">
        <f t="shared" si="12"/>
        <v>100</v>
      </c>
      <c r="T27" s="708" t="s">
        <v>14</v>
      </c>
      <c r="U27" s="709">
        <f t="shared" si="13"/>
        <v>100</v>
      </c>
      <c r="V27" s="708" t="s">
        <v>14</v>
      </c>
      <c r="W27" s="709">
        <f t="shared" si="14"/>
        <v>100</v>
      </c>
      <c r="X27" s="710"/>
      <c r="Y27" s="386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867"/>
      <c r="Q28" s="1352" t="str">
        <f t="shared" si="11"/>
        <v>公共部分装修</v>
      </c>
      <c r="R28" s="705" t="s">
        <v>14</v>
      </c>
      <c r="S28" s="706">
        <f t="shared" si="12"/>
        <v>100</v>
      </c>
      <c r="T28" s="705" t="s">
        <v>14</v>
      </c>
      <c r="U28" s="706">
        <f t="shared" si="13"/>
        <v>100</v>
      </c>
      <c r="V28" s="705" t="s">
        <v>14</v>
      </c>
      <c r="W28" s="706">
        <f t="shared" si="14"/>
        <v>100</v>
      </c>
      <c r="X28" s="1355"/>
      <c r="Y28" s="386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867"/>
      <c r="Q29" s="1352" t="str">
        <f t="shared" si="11"/>
        <v>成新率</v>
      </c>
      <c r="R29" s="705" t="s">
        <v>14</v>
      </c>
      <c r="S29" s="706" t="e">
        <f t="shared" si="12"/>
        <v>#N/A</v>
      </c>
      <c r="T29" s="705" t="s">
        <v>14</v>
      </c>
      <c r="U29" s="706" t="e">
        <f t="shared" si="13"/>
        <v>#N/A</v>
      </c>
      <c r="V29" s="705" t="s">
        <v>14</v>
      </c>
      <c r="W29" s="706" t="e">
        <f t="shared" si="14"/>
        <v>#N/A</v>
      </c>
      <c r="X29" s="1355"/>
      <c r="Y29" s="386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867"/>
      <c r="Q30" s="1352" t="str">
        <f t="shared" si="11"/>
        <v>物业等级</v>
      </c>
      <c r="R30" s="705" t="s">
        <v>14</v>
      </c>
      <c r="S30" s="706">
        <f t="shared" si="12"/>
        <v>100</v>
      </c>
      <c r="T30" s="705" t="s">
        <v>14</v>
      </c>
      <c r="U30" s="706">
        <f t="shared" si="13"/>
        <v>100</v>
      </c>
      <c r="V30" s="705" t="s">
        <v>14</v>
      </c>
      <c r="W30" s="706">
        <f t="shared" si="14"/>
        <v>100</v>
      </c>
      <c r="X30" s="1355"/>
      <c r="Y30" s="386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867"/>
      <c r="Q31" s="1343" t="str">
        <f t="shared" si="11"/>
        <v>停车位面积</v>
      </c>
      <c r="R31" s="701" t="s">
        <v>14</v>
      </c>
      <c r="S31" s="702" t="e">
        <f t="shared" si="12"/>
        <v>#N/A</v>
      </c>
      <c r="T31" s="701" t="s">
        <v>14</v>
      </c>
      <c r="U31" s="702" t="e">
        <f t="shared" si="13"/>
        <v>#N/A</v>
      </c>
      <c r="V31" s="701" t="s">
        <v>14</v>
      </c>
      <c r="W31" s="702" t="e">
        <f t="shared" si="14"/>
        <v>#N/A</v>
      </c>
      <c r="X31" s="703"/>
      <c r="Y31" s="386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867" t="s">
        <v>1696</v>
      </c>
      <c r="Q32" s="1352" t="str">
        <f t="shared" si="11"/>
        <v>车位类型</v>
      </c>
      <c r="R32" s="705" t="s">
        <v>14</v>
      </c>
      <c r="S32" s="706">
        <f t="shared" si="12"/>
        <v>100</v>
      </c>
      <c r="T32" s="705" t="s">
        <v>14</v>
      </c>
      <c r="U32" s="706">
        <f t="shared" si="13"/>
        <v>100</v>
      </c>
      <c r="V32" s="705" t="s">
        <v>14</v>
      </c>
      <c r="W32" s="706">
        <f t="shared" si="14"/>
        <v>100</v>
      </c>
      <c r="X32" s="1355"/>
      <c r="Y32" s="386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867"/>
      <c r="Q33" s="1352" t="str">
        <f t="shared" si="11"/>
        <v>是否直接入户</v>
      </c>
      <c r="R33" s="705" t="s">
        <v>14</v>
      </c>
      <c r="S33" s="706">
        <f t="shared" si="12"/>
        <v>100</v>
      </c>
      <c r="T33" s="705" t="s">
        <v>14</v>
      </c>
      <c r="U33" s="706">
        <f t="shared" si="13"/>
        <v>100</v>
      </c>
      <c r="V33" s="705" t="s">
        <v>14</v>
      </c>
      <c r="W33" s="706">
        <f t="shared" si="14"/>
        <v>100</v>
      </c>
      <c r="X33" s="1355"/>
      <c r="Y33" s="386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867"/>
      <c r="Q34" s="1352">
        <f t="shared" si="11"/>
        <v>111</v>
      </c>
      <c r="R34" s="705" t="s">
        <v>14</v>
      </c>
      <c r="S34" s="706">
        <f t="shared" si="12"/>
        <v>100</v>
      </c>
      <c r="T34" s="705" t="s">
        <v>14</v>
      </c>
      <c r="U34" s="706">
        <f t="shared" si="13"/>
        <v>100</v>
      </c>
      <c r="V34" s="705" t="s">
        <v>14</v>
      </c>
      <c r="W34" s="706">
        <f t="shared" si="14"/>
        <v>100</v>
      </c>
      <c r="X34" s="1355"/>
      <c r="Y34" s="386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867"/>
      <c r="Q35" s="707">
        <f t="shared" si="11"/>
        <v>111</v>
      </c>
      <c r="R35" s="708" t="s">
        <v>14</v>
      </c>
      <c r="S35" s="709">
        <f t="shared" si="12"/>
        <v>100</v>
      </c>
      <c r="T35" s="708" t="s">
        <v>14</v>
      </c>
      <c r="U35" s="709">
        <f t="shared" si="13"/>
        <v>100</v>
      </c>
      <c r="V35" s="708" t="s">
        <v>14</v>
      </c>
      <c r="W35" s="709">
        <f t="shared" si="14"/>
        <v>100</v>
      </c>
      <c r="X35" s="710"/>
      <c r="Y35" s="386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867"/>
      <c r="Q36" s="1352">
        <f t="shared" si="11"/>
        <v>111</v>
      </c>
      <c r="R36" s="705" t="s">
        <v>14</v>
      </c>
      <c r="S36" s="706">
        <f t="shared" si="12"/>
        <v>100</v>
      </c>
      <c r="T36" s="705" t="s">
        <v>14</v>
      </c>
      <c r="U36" s="706">
        <f t="shared" si="13"/>
        <v>100</v>
      </c>
      <c r="V36" s="705" t="s">
        <v>14</v>
      </c>
      <c r="W36" s="706">
        <f t="shared" si="14"/>
        <v>100</v>
      </c>
      <c r="X36" s="1355"/>
      <c r="Y36" s="3867"/>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860" t="str">
        <f>A37</f>
        <v>成交单价</v>
      </c>
      <c r="Q37" s="3860"/>
      <c r="R37" s="3861">
        <f>E37</f>
        <v>0</v>
      </c>
      <c r="S37" s="3861"/>
      <c r="T37" s="3861">
        <f>G37</f>
        <v>0</v>
      </c>
      <c r="U37" s="3861"/>
      <c r="V37" s="3861">
        <f>I37</f>
        <v>0</v>
      </c>
      <c r="W37" s="386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860" t="str">
        <f>A38</f>
        <v>比较价值（元/平方米）</v>
      </c>
      <c r="Q38" s="3860"/>
      <c r="R38" s="3861" t="e">
        <f>IF(F1="售价",ROUND(PRODUCT(R37,AA7:AA36),0),ROUND(PRODUCT(R37,AA7:AA36),1))</f>
        <v>#DIV/0!</v>
      </c>
      <c r="S38" s="3861"/>
      <c r="T38" s="3861" t="e">
        <f>IF(F1="售价",ROUND(PRODUCT(T37,AB7:AB36),0),ROUND(PRODUCT(T37,AB7:AB36),1))</f>
        <v>#DIV/0!</v>
      </c>
      <c r="U38" s="3861"/>
      <c r="V38" s="3861" t="e">
        <f>IF(F1="售价",ROUND(PRODUCT(V37,AC7:AC36),0),ROUND(PRODUCT(V37,AC7:AC36),1))</f>
        <v>#DIV/0!</v>
      </c>
      <c r="W38" s="386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857" t="str">
        <f>A39</f>
        <v>估价对象XX用房的比较价值（楼面单价，元/平方米）</v>
      </c>
      <c r="Q39" s="3858"/>
      <c r="R39" s="3887" t="e">
        <f>IF(F1="售价",ROUND(IF(D38="简单平均",AVERAGE(R38:W38),R38*F38+T38*H38+V38*J38),0),ROUND(IF(D38="简单平均",AVERAGE(R38:V38),R38*F38+T38*H38+V38*J38),1))</f>
        <v>#DIV/0!</v>
      </c>
      <c r="S39" s="3887"/>
      <c r="T39" s="3887"/>
      <c r="U39" s="3887"/>
      <c r="V39" s="3887"/>
      <c r="W39" s="388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843" t="s">
        <v>1770</v>
      </c>
      <c r="D4" s="3844"/>
      <c r="E4" s="3845" t="s">
        <v>1771</v>
      </c>
      <c r="F4" s="3846"/>
      <c r="G4" s="3843" t="s">
        <v>1772</v>
      </c>
      <c r="H4" s="3844"/>
      <c r="I4" s="3843" t="s">
        <v>1773</v>
      </c>
      <c r="J4" s="3844"/>
      <c r="K4" s="559" t="s">
        <v>1774</v>
      </c>
      <c r="L4" s="2715"/>
      <c r="M4" s="2716"/>
      <c r="N4" s="2716"/>
      <c r="O4" s="2716"/>
      <c r="P4" s="3847" t="s">
        <v>1775</v>
      </c>
      <c r="Q4" s="3848"/>
      <c r="R4" s="3830" t="s">
        <v>1771</v>
      </c>
      <c r="S4" s="3831"/>
      <c r="T4" s="3830" t="s">
        <v>1772</v>
      </c>
      <c r="U4" s="3831"/>
      <c r="V4" s="3855" t="s">
        <v>1773</v>
      </c>
      <c r="W4" s="3855"/>
      <c r="X4" s="1355"/>
      <c r="Y4" s="3830" t="s">
        <v>1775</v>
      </c>
      <c r="Z4" s="3831"/>
      <c r="AA4" s="3825" t="s">
        <v>1771</v>
      </c>
      <c r="AB4" s="3826" t="s">
        <v>1772</v>
      </c>
      <c r="AC4" s="3825" t="s">
        <v>1773</v>
      </c>
    </row>
    <row r="5" spans="1:29" ht="15">
      <c r="A5" s="358"/>
      <c r="B5" s="359"/>
      <c r="C5" s="3836" t="s">
        <v>1673</v>
      </c>
      <c r="D5" s="3837"/>
      <c r="E5" s="3834" t="s">
        <v>1674</v>
      </c>
      <c r="F5" s="3835"/>
      <c r="G5" s="3836" t="s">
        <v>1675</v>
      </c>
      <c r="H5" s="3837"/>
      <c r="I5" s="3836" t="s">
        <v>1676</v>
      </c>
      <c r="J5" s="3837"/>
      <c r="K5" s="559"/>
      <c r="L5" s="2715"/>
      <c r="M5" s="2716"/>
      <c r="N5" s="2716"/>
      <c r="O5" s="2716"/>
      <c r="P5" s="3849"/>
      <c r="Q5" s="3850"/>
      <c r="R5" s="3832"/>
      <c r="S5" s="3833"/>
      <c r="T5" s="3832"/>
      <c r="U5" s="3833"/>
      <c r="V5" s="3855"/>
      <c r="W5" s="3855"/>
      <c r="X5" s="1355"/>
      <c r="Y5" s="3832"/>
      <c r="Z5" s="3833"/>
      <c r="AA5" s="3826"/>
      <c r="AB5" s="3826"/>
      <c r="AC5" s="3826"/>
    </row>
    <row r="6" spans="1:29" ht="15.75" thickBot="1">
      <c r="A6" s="360"/>
      <c r="B6" s="361"/>
      <c r="C6" s="3838" t="s">
        <v>1677</v>
      </c>
      <c r="D6" s="3839"/>
      <c r="E6" s="3840" t="s">
        <v>1677</v>
      </c>
      <c r="F6" s="3841"/>
      <c r="G6" s="3838" t="s">
        <v>1677</v>
      </c>
      <c r="H6" s="3839"/>
      <c r="I6" s="3838" t="s">
        <v>1677</v>
      </c>
      <c r="J6" s="3839"/>
      <c r="K6" s="559" t="s">
        <v>1678</v>
      </c>
      <c r="L6" s="2715"/>
      <c r="M6" s="2716"/>
      <c r="N6" s="2716"/>
      <c r="O6" s="2716"/>
      <c r="P6" s="3851"/>
      <c r="Q6" s="3852"/>
      <c r="R6" s="3832"/>
      <c r="S6" s="3833"/>
      <c r="T6" s="3853"/>
      <c r="U6" s="3854"/>
      <c r="V6" s="3855"/>
      <c r="W6" s="3855"/>
      <c r="X6" s="1355"/>
      <c r="Y6" s="3853"/>
      <c r="Z6" s="3854"/>
      <c r="AA6" s="3827"/>
      <c r="AB6" s="3827"/>
      <c r="AC6" s="3827"/>
    </row>
    <row r="7" spans="1:29" s="108" customFormat="1" ht="15.75" thickBot="1">
      <c r="A7" s="362" t="s">
        <v>1679</v>
      </c>
      <c r="B7" s="363"/>
      <c r="C7" s="364">
        <f>'数据-取费表'!B2</f>
        <v>45301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828" t="s">
        <v>1680</v>
      </c>
      <c r="Q7" s="3856"/>
      <c r="R7" s="701" t="s">
        <v>14</v>
      </c>
      <c r="S7" s="702">
        <f t="shared" ref="S7:S14" si="0">F7</f>
        <v>0</v>
      </c>
      <c r="T7" s="701" t="s">
        <v>14</v>
      </c>
      <c r="U7" s="702">
        <f t="shared" ref="U7:U14" si="1">H7</f>
        <v>0</v>
      </c>
      <c r="V7" s="701" t="s">
        <v>14</v>
      </c>
      <c r="W7" s="702">
        <f t="shared" ref="W7:W14" si="2">J7</f>
        <v>0</v>
      </c>
      <c r="X7" s="703"/>
      <c r="Y7" s="3828" t="s">
        <v>1680</v>
      </c>
      <c r="Z7" s="382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828" t="s">
        <v>1683</v>
      </c>
      <c r="Q8" s="3829"/>
      <c r="R8" s="701" t="s">
        <v>14</v>
      </c>
      <c r="S8" s="702">
        <f t="shared" si="0"/>
        <v>100</v>
      </c>
      <c r="T8" s="701" t="s">
        <v>14</v>
      </c>
      <c r="U8" s="702">
        <f t="shared" si="1"/>
        <v>100</v>
      </c>
      <c r="V8" s="701" t="s">
        <v>14</v>
      </c>
      <c r="W8" s="702">
        <f t="shared" si="2"/>
        <v>100</v>
      </c>
      <c r="X8" s="703"/>
      <c r="Y8" s="3828" t="s">
        <v>1683</v>
      </c>
      <c r="Z8" s="382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860" t="s">
        <v>1686</v>
      </c>
      <c r="Q9" s="1343" t="str">
        <f t="shared" ref="Q9:Q14" si="6">B9</f>
        <v>用途</v>
      </c>
      <c r="R9" s="701" t="s">
        <v>14</v>
      </c>
      <c r="S9" s="702">
        <f t="shared" si="0"/>
        <v>100</v>
      </c>
      <c r="T9" s="701" t="s">
        <v>14</v>
      </c>
      <c r="U9" s="702">
        <f t="shared" si="1"/>
        <v>100</v>
      </c>
      <c r="V9" s="701" t="s">
        <v>14</v>
      </c>
      <c r="W9" s="702">
        <f t="shared" si="2"/>
        <v>100</v>
      </c>
      <c r="X9" s="703"/>
      <c r="Y9" s="377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860"/>
      <c r="Q10" s="1343" t="str">
        <f t="shared" si="6"/>
        <v>土地使用年限（年）</v>
      </c>
      <c r="R10" s="701" t="s">
        <v>14</v>
      </c>
      <c r="S10" s="702">
        <f t="shared" si="0"/>
        <v>100</v>
      </c>
      <c r="T10" s="701" t="s">
        <v>14</v>
      </c>
      <c r="U10" s="702">
        <f t="shared" si="1"/>
        <v>100</v>
      </c>
      <c r="V10" s="701" t="s">
        <v>14</v>
      </c>
      <c r="W10" s="702">
        <f t="shared" si="2"/>
        <v>100</v>
      </c>
      <c r="X10" s="703"/>
      <c r="Y10" s="377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860"/>
      <c r="Q11" s="1343">
        <f t="shared" si="6"/>
        <v>111</v>
      </c>
      <c r="R11" s="701" t="s">
        <v>14</v>
      </c>
      <c r="S11" s="702">
        <f t="shared" si="0"/>
        <v>100</v>
      </c>
      <c r="T11" s="701" t="s">
        <v>14</v>
      </c>
      <c r="U11" s="702">
        <f t="shared" si="1"/>
        <v>100</v>
      </c>
      <c r="V11" s="701" t="s">
        <v>14</v>
      </c>
      <c r="W11" s="702">
        <f t="shared" si="2"/>
        <v>100</v>
      </c>
      <c r="X11" s="703"/>
      <c r="Y11" s="377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860"/>
      <c r="Q12" s="1343">
        <f t="shared" si="6"/>
        <v>111</v>
      </c>
      <c r="R12" s="701" t="s">
        <v>14</v>
      </c>
      <c r="S12" s="702">
        <f t="shared" si="0"/>
        <v>100</v>
      </c>
      <c r="T12" s="701" t="s">
        <v>14</v>
      </c>
      <c r="U12" s="702">
        <f t="shared" si="1"/>
        <v>100</v>
      </c>
      <c r="V12" s="701" t="s">
        <v>14</v>
      </c>
      <c r="W12" s="702">
        <f t="shared" si="2"/>
        <v>100</v>
      </c>
      <c r="X12" s="703"/>
      <c r="Y12" s="377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860"/>
      <c r="Q13" s="1343">
        <f t="shared" si="6"/>
        <v>111</v>
      </c>
      <c r="R13" s="701" t="s">
        <v>14</v>
      </c>
      <c r="S13" s="702">
        <f t="shared" si="0"/>
        <v>100</v>
      </c>
      <c r="T13" s="701" t="s">
        <v>14</v>
      </c>
      <c r="U13" s="702">
        <f t="shared" si="1"/>
        <v>100</v>
      </c>
      <c r="V13" s="701" t="s">
        <v>14</v>
      </c>
      <c r="W13" s="702">
        <f t="shared" si="2"/>
        <v>100</v>
      </c>
      <c r="X13" s="703"/>
      <c r="Y13" s="377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862" t="s">
        <v>1691</v>
      </c>
      <c r="Q14" s="1352" t="str">
        <f t="shared" si="6"/>
        <v>交通便捷度</v>
      </c>
      <c r="R14" s="705" t="s">
        <v>14</v>
      </c>
      <c r="S14" s="706">
        <f t="shared" si="0"/>
        <v>100</v>
      </c>
      <c r="T14" s="705" t="s">
        <v>14</v>
      </c>
      <c r="U14" s="706">
        <f t="shared" si="1"/>
        <v>100</v>
      </c>
      <c r="V14" s="705" t="s">
        <v>14</v>
      </c>
      <c r="W14" s="706">
        <f t="shared" si="2"/>
        <v>100</v>
      </c>
      <c r="X14" s="1355"/>
      <c r="Y14" s="386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863"/>
      <c r="Q15" s="1352"/>
      <c r="R15" s="705"/>
      <c r="S15" s="706"/>
      <c r="T15" s="705"/>
      <c r="U15" s="706"/>
      <c r="V15" s="705"/>
      <c r="W15" s="706"/>
      <c r="X15" s="1355"/>
      <c r="Y15" s="386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863"/>
      <c r="Q16" s="1352" t="str">
        <f>B16</f>
        <v>公共配套设施</v>
      </c>
      <c r="R16" s="705" t="s">
        <v>14</v>
      </c>
      <c r="S16" s="706">
        <f>F16</f>
        <v>100</v>
      </c>
      <c r="T16" s="705" t="s">
        <v>14</v>
      </c>
      <c r="U16" s="706">
        <f>H16</f>
        <v>100</v>
      </c>
      <c r="V16" s="705" t="s">
        <v>14</v>
      </c>
      <c r="W16" s="706">
        <f>J16</f>
        <v>100</v>
      </c>
      <c r="X16" s="1355"/>
      <c r="Y16" s="386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863"/>
      <c r="Q17" s="1352"/>
      <c r="R17" s="705"/>
      <c r="S17" s="706"/>
      <c r="T17" s="705"/>
      <c r="U17" s="706"/>
      <c r="V17" s="705"/>
      <c r="W17" s="706"/>
      <c r="X17" s="1355"/>
      <c r="Y17" s="386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863"/>
      <c r="Q18" s="1352" t="str">
        <f>B18</f>
        <v>基础设施水平</v>
      </c>
      <c r="R18" s="705" t="s">
        <v>14</v>
      </c>
      <c r="S18" s="706">
        <f>F18</f>
        <v>100</v>
      </c>
      <c r="T18" s="705" t="s">
        <v>14</v>
      </c>
      <c r="U18" s="706">
        <f>H18</f>
        <v>100</v>
      </c>
      <c r="V18" s="705" t="s">
        <v>14</v>
      </c>
      <c r="W18" s="706">
        <f>J18</f>
        <v>100</v>
      </c>
      <c r="X18" s="1355"/>
      <c r="Y18" s="386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863"/>
      <c r="Q19" s="1352"/>
      <c r="R19" s="705"/>
      <c r="S19" s="706"/>
      <c r="T19" s="705"/>
      <c r="U19" s="706"/>
      <c r="V19" s="705"/>
      <c r="W19" s="706"/>
      <c r="X19" s="1355"/>
      <c r="Y19" s="386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863"/>
      <c r="Q20" s="1352" t="str">
        <f>B20</f>
        <v>自然及人文环境</v>
      </c>
      <c r="R20" s="705" t="s">
        <v>14</v>
      </c>
      <c r="S20" s="706">
        <f>F20</f>
        <v>100</v>
      </c>
      <c r="T20" s="705" t="s">
        <v>14</v>
      </c>
      <c r="U20" s="706">
        <f>H20</f>
        <v>100</v>
      </c>
      <c r="V20" s="705" t="s">
        <v>14</v>
      </c>
      <c r="W20" s="706">
        <f>J20</f>
        <v>100</v>
      </c>
      <c r="X20" s="1355"/>
      <c r="Y20" s="386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863"/>
      <c r="Q21" s="1352"/>
      <c r="R21" s="705"/>
      <c r="S21" s="706"/>
      <c r="T21" s="705"/>
      <c r="U21" s="706"/>
      <c r="V21" s="705"/>
      <c r="W21" s="706"/>
      <c r="X21" s="1355"/>
      <c r="Y21" s="386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863"/>
      <c r="Q22" s="1352" t="str">
        <f>B22</f>
        <v>楼层</v>
      </c>
      <c r="R22" s="705" t="s">
        <v>14</v>
      </c>
      <c r="S22" s="706">
        <f>F22</f>
        <v>100</v>
      </c>
      <c r="T22" s="705" t="s">
        <v>14</v>
      </c>
      <c r="U22" s="706">
        <f>H22</f>
        <v>100</v>
      </c>
      <c r="V22" s="705" t="s">
        <v>14</v>
      </c>
      <c r="W22" s="706">
        <f>J22</f>
        <v>100</v>
      </c>
      <c r="X22" s="1355"/>
      <c r="Y22" s="386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863"/>
      <c r="Q23" s="1352">
        <f>B23</f>
        <v>111</v>
      </c>
      <c r="R23" s="705" t="s">
        <v>14</v>
      </c>
      <c r="S23" s="706">
        <f>F23</f>
        <v>100</v>
      </c>
      <c r="T23" s="705" t="s">
        <v>14</v>
      </c>
      <c r="U23" s="706">
        <f>H23</f>
        <v>100</v>
      </c>
      <c r="V23" s="705" t="s">
        <v>14</v>
      </c>
      <c r="W23" s="706">
        <f>J23</f>
        <v>100</v>
      </c>
      <c r="X23" s="1355"/>
      <c r="Y23" s="386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863"/>
      <c r="Q24" s="1352">
        <f t="shared" ref="Q24:Q34" si="11">B24</f>
        <v>111</v>
      </c>
      <c r="R24" s="705" t="s">
        <v>14</v>
      </c>
      <c r="S24" s="706">
        <f>F24</f>
        <v>100</v>
      </c>
      <c r="T24" s="705" t="s">
        <v>14</v>
      </c>
      <c r="U24" s="706">
        <f>H24</f>
        <v>100</v>
      </c>
      <c r="V24" s="705" t="s">
        <v>14</v>
      </c>
      <c r="W24" s="706">
        <f>J24</f>
        <v>100</v>
      </c>
      <c r="X24" s="1355"/>
      <c r="Y24" s="386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863"/>
      <c r="Q25" s="1343">
        <f t="shared" si="11"/>
        <v>111</v>
      </c>
      <c r="R25" s="701" t="s">
        <v>14</v>
      </c>
      <c r="S25" s="702">
        <f>F25</f>
        <v>100</v>
      </c>
      <c r="T25" s="701" t="s">
        <v>14</v>
      </c>
      <c r="U25" s="702">
        <f>H25</f>
        <v>100</v>
      </c>
      <c r="V25" s="701" t="s">
        <v>14</v>
      </c>
      <c r="W25" s="702">
        <f>J25</f>
        <v>100</v>
      </c>
      <c r="X25" s="703"/>
      <c r="Y25" s="386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88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86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867"/>
      <c r="Q27" s="707" t="str">
        <f t="shared" si="11"/>
        <v>成新率</v>
      </c>
      <c r="R27" s="708" t="s">
        <v>14</v>
      </c>
      <c r="S27" s="709" t="e">
        <f t="shared" si="12"/>
        <v>#N/A</v>
      </c>
      <c r="T27" s="708" t="s">
        <v>14</v>
      </c>
      <c r="U27" s="709" t="e">
        <f t="shared" si="13"/>
        <v>#N/A</v>
      </c>
      <c r="V27" s="708" t="s">
        <v>14</v>
      </c>
      <c r="W27" s="709" t="e">
        <f t="shared" si="14"/>
        <v>#N/A</v>
      </c>
      <c r="X27" s="710"/>
      <c r="Y27" s="386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867"/>
      <c r="Q28" s="1352" t="str">
        <f t="shared" si="11"/>
        <v>物业等级</v>
      </c>
      <c r="R28" s="705" t="s">
        <v>14</v>
      </c>
      <c r="S28" s="706">
        <f t="shared" si="12"/>
        <v>100</v>
      </c>
      <c r="T28" s="705" t="s">
        <v>14</v>
      </c>
      <c r="U28" s="706">
        <f t="shared" si="13"/>
        <v>100</v>
      </c>
      <c r="V28" s="705" t="s">
        <v>14</v>
      </c>
      <c r="W28" s="706">
        <f t="shared" si="14"/>
        <v>100</v>
      </c>
      <c r="X28" s="1355"/>
      <c r="Y28" s="386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867"/>
      <c r="Q29" s="1352" t="str">
        <f t="shared" si="11"/>
        <v>有无电梯</v>
      </c>
      <c r="R29" s="705" t="s">
        <v>14</v>
      </c>
      <c r="S29" s="706">
        <f t="shared" si="12"/>
        <v>100</v>
      </c>
      <c r="T29" s="705" t="s">
        <v>14</v>
      </c>
      <c r="U29" s="706">
        <f t="shared" si="13"/>
        <v>100</v>
      </c>
      <c r="V29" s="705" t="s">
        <v>14</v>
      </c>
      <c r="W29" s="706">
        <f t="shared" si="14"/>
        <v>100</v>
      </c>
      <c r="X29" s="1355"/>
      <c r="Y29" s="386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867"/>
      <c r="Q30" s="1352" t="str">
        <f t="shared" si="11"/>
        <v>建筑面积</v>
      </c>
      <c r="R30" s="705" t="s">
        <v>14</v>
      </c>
      <c r="S30" s="706" t="e">
        <f t="shared" si="12"/>
        <v>#N/A</v>
      </c>
      <c r="T30" s="705" t="s">
        <v>14</v>
      </c>
      <c r="U30" s="706" t="e">
        <f t="shared" si="13"/>
        <v>#N/A</v>
      </c>
      <c r="V30" s="705" t="s">
        <v>14</v>
      </c>
      <c r="W30" s="706" t="e">
        <f t="shared" si="14"/>
        <v>#N/A</v>
      </c>
      <c r="X30" s="1355"/>
      <c r="Y30" s="386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867"/>
      <c r="Q31" s="1343" t="str">
        <f t="shared" si="11"/>
        <v>是否封闭</v>
      </c>
      <c r="R31" s="701" t="s">
        <v>14</v>
      </c>
      <c r="S31" s="702">
        <f t="shared" si="12"/>
        <v>100</v>
      </c>
      <c r="T31" s="701" t="s">
        <v>14</v>
      </c>
      <c r="U31" s="702">
        <f t="shared" si="13"/>
        <v>100</v>
      </c>
      <c r="V31" s="701" t="s">
        <v>14</v>
      </c>
      <c r="W31" s="702">
        <f t="shared" si="14"/>
        <v>100</v>
      </c>
      <c r="X31" s="703"/>
      <c r="Y31" s="386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867" t="s">
        <v>1696</v>
      </c>
      <c r="Q32" s="1352">
        <f t="shared" si="11"/>
        <v>111</v>
      </c>
      <c r="R32" s="705" t="s">
        <v>14</v>
      </c>
      <c r="S32" s="706">
        <f t="shared" si="12"/>
        <v>100</v>
      </c>
      <c r="T32" s="705" t="s">
        <v>14</v>
      </c>
      <c r="U32" s="706">
        <f t="shared" si="13"/>
        <v>100</v>
      </c>
      <c r="V32" s="705" t="s">
        <v>14</v>
      </c>
      <c r="W32" s="706">
        <f t="shared" si="14"/>
        <v>100</v>
      </c>
      <c r="X32" s="1355"/>
      <c r="Y32" s="386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867"/>
      <c r="Q33" s="1352">
        <f t="shared" si="11"/>
        <v>111</v>
      </c>
      <c r="R33" s="705" t="s">
        <v>14</v>
      </c>
      <c r="S33" s="706">
        <f t="shared" si="12"/>
        <v>100</v>
      </c>
      <c r="T33" s="705" t="s">
        <v>14</v>
      </c>
      <c r="U33" s="706">
        <f t="shared" si="13"/>
        <v>100</v>
      </c>
      <c r="V33" s="705" t="s">
        <v>14</v>
      </c>
      <c r="W33" s="706">
        <f t="shared" si="14"/>
        <v>100</v>
      </c>
      <c r="X33" s="1355"/>
      <c r="Y33" s="386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867"/>
      <c r="Q34" s="1352">
        <f t="shared" si="11"/>
        <v>111</v>
      </c>
      <c r="R34" s="705" t="s">
        <v>14</v>
      </c>
      <c r="S34" s="706">
        <f t="shared" si="12"/>
        <v>100</v>
      </c>
      <c r="T34" s="705" t="s">
        <v>14</v>
      </c>
      <c r="U34" s="706">
        <f t="shared" si="13"/>
        <v>100</v>
      </c>
      <c r="V34" s="705" t="s">
        <v>14</v>
      </c>
      <c r="W34" s="706">
        <f t="shared" si="14"/>
        <v>100</v>
      </c>
      <c r="X34" s="1355"/>
      <c r="Y34" s="386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860" t="str">
        <f>A35</f>
        <v>成交单价（元/平方米）</v>
      </c>
      <c r="Q35" s="3860"/>
      <c r="R35" s="3861">
        <f>E35</f>
        <v>0</v>
      </c>
      <c r="S35" s="3861"/>
      <c r="T35" s="3861">
        <f>G35</f>
        <v>0</v>
      </c>
      <c r="U35" s="3861"/>
      <c r="V35" s="3861">
        <f>I35</f>
        <v>0</v>
      </c>
      <c r="W35" s="386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860" t="str">
        <f>A36</f>
        <v>比较价值（元/平方米）</v>
      </c>
      <c r="Q36" s="3860"/>
      <c r="R36" s="3861" t="e">
        <f>IF(F1="售价",ROUND(PRODUCT(R35,AA7:AA34),0),ROUND(PRODUCT(R35,AA7:AA34),1))</f>
        <v>#DIV/0!</v>
      </c>
      <c r="S36" s="3861"/>
      <c r="T36" s="3861" t="e">
        <f>IF(F1="售价",ROUND(PRODUCT(T35,AB7:AB34),0),ROUND(PRODUCT(T35,AB7:AB34),1))</f>
        <v>#DIV/0!</v>
      </c>
      <c r="U36" s="3861"/>
      <c r="V36" s="3861" t="e">
        <f>IF(F1="售价",ROUND(PRODUCT(V35,AC7:AC34),0),ROUND(PRODUCT(V35,AC7:AC34),1))</f>
        <v>#DIV/0!</v>
      </c>
      <c r="W36" s="386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857" t="str">
        <f>A37</f>
        <v>估价对象XX用房的比较价值（楼面单价，元/平方米）</v>
      </c>
      <c r="Q37" s="3858"/>
      <c r="R37" s="3887" t="e">
        <f>IF(F1="售价",ROUND(IF(D36="简单平均",AVERAGE(R36:W36),R36*F36+T36*H36+V36*J36),0),ROUND(IF(D36="简单平均",AVERAGE(R36:V36),R36*F36+T36*H36+V36*J36),1))</f>
        <v>#DIV/0!</v>
      </c>
      <c r="S37" s="3887"/>
      <c r="T37" s="3887"/>
      <c r="U37" s="3887"/>
      <c r="V37" s="3887"/>
      <c r="W37" s="388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5" sqref="N15"/>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843" t="s">
        <v>1770</v>
      </c>
      <c r="D4" s="3844"/>
      <c r="E4" s="3845" t="s">
        <v>1771</v>
      </c>
      <c r="F4" s="3846"/>
      <c r="G4" s="3843" t="s">
        <v>1772</v>
      </c>
      <c r="H4" s="3844"/>
      <c r="I4" s="3843" t="s">
        <v>1773</v>
      </c>
      <c r="J4" s="3844"/>
      <c r="K4" s="559" t="s">
        <v>1774</v>
      </c>
      <c r="L4" s="2715"/>
      <c r="M4" s="2716"/>
      <c r="N4" s="2716"/>
      <c r="O4" s="2716"/>
      <c r="P4" s="3847" t="s">
        <v>1775</v>
      </c>
      <c r="Q4" s="3848"/>
      <c r="R4" s="3830" t="s">
        <v>1771</v>
      </c>
      <c r="S4" s="3831"/>
      <c r="T4" s="3830" t="s">
        <v>1772</v>
      </c>
      <c r="U4" s="3831"/>
      <c r="V4" s="3855" t="s">
        <v>1773</v>
      </c>
      <c r="W4" s="3855"/>
      <c r="X4" s="1355"/>
      <c r="Y4" s="3830" t="s">
        <v>1775</v>
      </c>
      <c r="Z4" s="3831"/>
      <c r="AA4" s="3825" t="s">
        <v>1771</v>
      </c>
      <c r="AB4" s="3826" t="s">
        <v>1772</v>
      </c>
      <c r="AC4" s="3825" t="s">
        <v>1773</v>
      </c>
    </row>
    <row r="5" spans="1:30" ht="15">
      <c r="A5" s="358"/>
      <c r="B5" s="359"/>
      <c r="C5" s="3836" t="s">
        <v>1673</v>
      </c>
      <c r="D5" s="3837"/>
      <c r="E5" s="3834" t="s">
        <v>1674</v>
      </c>
      <c r="F5" s="3835"/>
      <c r="G5" s="3836" t="s">
        <v>1675</v>
      </c>
      <c r="H5" s="3837"/>
      <c r="I5" s="3836" t="s">
        <v>1676</v>
      </c>
      <c r="J5" s="3837"/>
      <c r="K5" s="559"/>
      <c r="L5" s="2715"/>
      <c r="M5" s="2716"/>
      <c r="N5" s="2716"/>
      <c r="O5" s="2716"/>
      <c r="P5" s="3849"/>
      <c r="Q5" s="3850"/>
      <c r="R5" s="3832"/>
      <c r="S5" s="3833"/>
      <c r="T5" s="3832"/>
      <c r="U5" s="3833"/>
      <c r="V5" s="3855"/>
      <c r="W5" s="3855"/>
      <c r="X5" s="1355"/>
      <c r="Y5" s="3832"/>
      <c r="Z5" s="3833"/>
      <c r="AA5" s="3826"/>
      <c r="AB5" s="3826"/>
      <c r="AC5" s="3826"/>
    </row>
    <row r="6" spans="1:30" ht="15.75" thickBot="1">
      <c r="A6" s="360"/>
      <c r="B6" s="361"/>
      <c r="C6" s="3838" t="s">
        <v>1677</v>
      </c>
      <c r="D6" s="3839"/>
      <c r="E6" s="3840" t="s">
        <v>1677</v>
      </c>
      <c r="F6" s="3841"/>
      <c r="G6" s="3838" t="s">
        <v>1677</v>
      </c>
      <c r="H6" s="3839"/>
      <c r="I6" s="3838" t="s">
        <v>1677</v>
      </c>
      <c r="J6" s="3839"/>
      <c r="K6" s="559" t="s">
        <v>1678</v>
      </c>
      <c r="L6" s="2715"/>
      <c r="M6" s="2716"/>
      <c r="N6" s="2716"/>
      <c r="O6" s="2716"/>
      <c r="P6" s="3851"/>
      <c r="Q6" s="3852"/>
      <c r="R6" s="3832"/>
      <c r="S6" s="3833"/>
      <c r="T6" s="3853"/>
      <c r="U6" s="3854"/>
      <c r="V6" s="3855"/>
      <c r="W6" s="3855"/>
      <c r="X6" s="1355"/>
      <c r="Y6" s="3853"/>
      <c r="Z6" s="3854"/>
      <c r="AA6" s="3827"/>
      <c r="AB6" s="3827"/>
      <c r="AC6" s="3827"/>
    </row>
    <row r="7" spans="1:30" s="108" customFormat="1" ht="15.75" thickBot="1">
      <c r="A7" s="362" t="s">
        <v>1679</v>
      </c>
      <c r="B7" s="363"/>
      <c r="C7" s="364">
        <f>'数据-取费表'!B2</f>
        <v>45301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828" t="s">
        <v>1680</v>
      </c>
      <c r="Q7" s="3856"/>
      <c r="R7" s="701" t="s">
        <v>14</v>
      </c>
      <c r="S7" s="702">
        <f t="shared" ref="S7:S15" si="0">F7</f>
        <v>0</v>
      </c>
      <c r="T7" s="701" t="s">
        <v>14</v>
      </c>
      <c r="U7" s="702">
        <f t="shared" ref="U7:U15" si="1">H7</f>
        <v>0</v>
      </c>
      <c r="V7" s="701" t="s">
        <v>14</v>
      </c>
      <c r="W7" s="702">
        <f t="shared" ref="W7:W15" si="2">J7</f>
        <v>0</v>
      </c>
      <c r="X7" s="703"/>
      <c r="Y7" s="3828" t="s">
        <v>1680</v>
      </c>
      <c r="Z7" s="382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828" t="s">
        <v>1683</v>
      </c>
      <c r="Q8" s="3829"/>
      <c r="R8" s="701" t="s">
        <v>14</v>
      </c>
      <c r="S8" s="702">
        <f t="shared" si="0"/>
        <v>0</v>
      </c>
      <c r="T8" s="701" t="s">
        <v>14</v>
      </c>
      <c r="U8" s="702">
        <f t="shared" si="1"/>
        <v>0</v>
      </c>
      <c r="V8" s="701" t="s">
        <v>14</v>
      </c>
      <c r="W8" s="702">
        <f t="shared" si="2"/>
        <v>0</v>
      </c>
      <c r="X8" s="703"/>
      <c r="Y8" s="3828" t="s">
        <v>1683</v>
      </c>
      <c r="Z8" s="382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860" t="s">
        <v>1686</v>
      </c>
      <c r="Q9" s="1343" t="str">
        <f t="shared" ref="Q9:Q15" si="6">B9</f>
        <v>用途</v>
      </c>
      <c r="R9" s="701" t="s">
        <v>14</v>
      </c>
      <c r="S9" s="702">
        <f t="shared" si="0"/>
        <v>100</v>
      </c>
      <c r="T9" s="701" t="s">
        <v>14</v>
      </c>
      <c r="U9" s="702">
        <f t="shared" si="1"/>
        <v>100</v>
      </c>
      <c r="V9" s="701" t="s">
        <v>14</v>
      </c>
      <c r="W9" s="702">
        <f t="shared" si="2"/>
        <v>100</v>
      </c>
      <c r="X9" s="703"/>
      <c r="Y9" s="377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9"/>
      <c r="M10" s="2720"/>
      <c r="N10" s="2720"/>
      <c r="O10" s="2773"/>
      <c r="P10" s="3860"/>
      <c r="Q10" s="1343" t="str">
        <f t="shared" si="6"/>
        <v>土地使用年限（年）</v>
      </c>
      <c r="R10" s="701" t="s">
        <v>14</v>
      </c>
      <c r="S10" s="702">
        <f t="shared" si="0"/>
        <v>115</v>
      </c>
      <c r="T10" s="701" t="s">
        <v>14</v>
      </c>
      <c r="U10" s="702">
        <f t="shared" si="1"/>
        <v>115</v>
      </c>
      <c r="V10" s="701" t="s">
        <v>14</v>
      </c>
      <c r="W10" s="702">
        <f t="shared" si="2"/>
        <v>115</v>
      </c>
      <c r="X10" s="703"/>
      <c r="Y10" s="3772"/>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860"/>
      <c r="Q11" s="1343" t="str">
        <f t="shared" si="6"/>
        <v>容积率</v>
      </c>
      <c r="R11" s="701" t="s">
        <v>14</v>
      </c>
      <c r="S11" s="702" t="e">
        <f t="shared" si="0"/>
        <v>#N/A</v>
      </c>
      <c r="T11" s="701" t="s">
        <v>14</v>
      </c>
      <c r="U11" s="702" t="e">
        <f t="shared" si="1"/>
        <v>#N/A</v>
      </c>
      <c r="V11" s="701" t="s">
        <v>14</v>
      </c>
      <c r="W11" s="702" t="e">
        <f t="shared" si="2"/>
        <v>#N/A</v>
      </c>
      <c r="X11" s="703"/>
      <c r="Y11" s="377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860"/>
      <c r="Q12" s="1343" t="str">
        <f t="shared" si="6"/>
        <v>配建</v>
      </c>
      <c r="R12" s="701" t="s">
        <v>14</v>
      </c>
      <c r="S12" s="702">
        <f t="shared" si="0"/>
        <v>100</v>
      </c>
      <c r="T12" s="701" t="s">
        <v>14</v>
      </c>
      <c r="U12" s="702">
        <f t="shared" si="1"/>
        <v>100</v>
      </c>
      <c r="V12" s="701" t="s">
        <v>14</v>
      </c>
      <c r="W12" s="702">
        <f t="shared" si="2"/>
        <v>100</v>
      </c>
      <c r="X12" s="703"/>
      <c r="Y12" s="377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860"/>
      <c r="Q13" s="1343">
        <f t="shared" si="6"/>
        <v>111</v>
      </c>
      <c r="R13" s="701" t="s">
        <v>14</v>
      </c>
      <c r="S13" s="702">
        <f t="shared" si="0"/>
        <v>100</v>
      </c>
      <c r="T13" s="701" t="s">
        <v>14</v>
      </c>
      <c r="U13" s="702">
        <f t="shared" si="1"/>
        <v>100</v>
      </c>
      <c r="V13" s="701" t="s">
        <v>14</v>
      </c>
      <c r="W13" s="702">
        <f t="shared" si="2"/>
        <v>100</v>
      </c>
      <c r="X13" s="703"/>
      <c r="Y13" s="377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860"/>
      <c r="Q14" s="1343">
        <f t="shared" si="6"/>
        <v>111</v>
      </c>
      <c r="R14" s="701" t="s">
        <v>14</v>
      </c>
      <c r="S14" s="702">
        <f t="shared" si="0"/>
        <v>100</v>
      </c>
      <c r="T14" s="701" t="s">
        <v>14</v>
      </c>
      <c r="U14" s="702">
        <f t="shared" si="1"/>
        <v>100</v>
      </c>
      <c r="V14" s="701" t="s">
        <v>14</v>
      </c>
      <c r="W14" s="702">
        <f t="shared" si="2"/>
        <v>100</v>
      </c>
      <c r="X14" s="703"/>
      <c r="Y14" s="377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862" t="s">
        <v>1691</v>
      </c>
      <c r="Q15" s="1352" t="str">
        <f t="shared" si="6"/>
        <v>居住社区成熟度</v>
      </c>
      <c r="R15" s="705" t="s">
        <v>14</v>
      </c>
      <c r="S15" s="706">
        <f t="shared" si="0"/>
        <v>100</v>
      </c>
      <c r="T15" s="705" t="s">
        <v>14</v>
      </c>
      <c r="U15" s="706">
        <f t="shared" si="1"/>
        <v>100</v>
      </c>
      <c r="V15" s="705" t="s">
        <v>14</v>
      </c>
      <c r="W15" s="706">
        <f t="shared" si="2"/>
        <v>100</v>
      </c>
      <c r="X15" s="1355"/>
      <c r="Y15" s="386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863"/>
      <c r="Q16" s="1352"/>
      <c r="R16" s="705"/>
      <c r="S16" s="706"/>
      <c r="T16" s="705"/>
      <c r="U16" s="706"/>
      <c r="V16" s="705"/>
      <c r="W16" s="706"/>
      <c r="X16" s="1355"/>
      <c r="Y16" s="386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863"/>
      <c r="Q17" s="1352" t="str">
        <f>B17</f>
        <v>商业繁华度</v>
      </c>
      <c r="R17" s="705" t="s">
        <v>14</v>
      </c>
      <c r="S17" s="706">
        <f>F17</f>
        <v>100</v>
      </c>
      <c r="T17" s="705" t="s">
        <v>14</v>
      </c>
      <c r="U17" s="706">
        <f>H17</f>
        <v>100</v>
      </c>
      <c r="V17" s="705" t="s">
        <v>14</v>
      </c>
      <c r="W17" s="706">
        <f>J17</f>
        <v>100</v>
      </c>
      <c r="X17" s="1355"/>
      <c r="Y17" s="386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863"/>
      <c r="Q18" s="1352"/>
      <c r="R18" s="705"/>
      <c r="S18" s="706"/>
      <c r="T18" s="705"/>
      <c r="U18" s="706"/>
      <c r="V18" s="705"/>
      <c r="W18" s="706"/>
      <c r="X18" s="1355"/>
      <c r="Y18" s="386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863"/>
      <c r="Q19" s="1352" t="str">
        <f>B19</f>
        <v>办公集聚程度</v>
      </c>
      <c r="R19" s="705" t="s">
        <v>14</v>
      </c>
      <c r="S19" s="706">
        <f>F19</f>
        <v>100</v>
      </c>
      <c r="T19" s="705" t="s">
        <v>14</v>
      </c>
      <c r="U19" s="706">
        <f>H19</f>
        <v>100</v>
      </c>
      <c r="V19" s="705" t="s">
        <v>14</v>
      </c>
      <c r="W19" s="706">
        <f>J19</f>
        <v>100</v>
      </c>
      <c r="X19" s="1355"/>
      <c r="Y19" s="386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863"/>
      <c r="Q20" s="1352"/>
      <c r="R20" s="705"/>
      <c r="S20" s="706"/>
      <c r="T20" s="705"/>
      <c r="U20" s="706"/>
      <c r="V20" s="705"/>
      <c r="W20" s="706"/>
      <c r="X20" s="1355"/>
      <c r="Y20" s="386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863"/>
      <c r="Q21" s="1352" t="str">
        <f>B21</f>
        <v>交通便捷度</v>
      </c>
      <c r="R21" s="705" t="s">
        <v>14</v>
      </c>
      <c r="S21" s="706">
        <f>F21</f>
        <v>100</v>
      </c>
      <c r="T21" s="705" t="s">
        <v>14</v>
      </c>
      <c r="U21" s="706">
        <f>H21</f>
        <v>100</v>
      </c>
      <c r="V21" s="705" t="s">
        <v>14</v>
      </c>
      <c r="W21" s="706">
        <f>J21</f>
        <v>100</v>
      </c>
      <c r="X21" s="1355"/>
      <c r="Y21" s="386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863"/>
      <c r="Q22" s="1352"/>
      <c r="R22" s="705"/>
      <c r="S22" s="706"/>
      <c r="T22" s="705"/>
      <c r="U22" s="706"/>
      <c r="V22" s="705"/>
      <c r="W22" s="706"/>
      <c r="X22" s="1355"/>
      <c r="Y22" s="386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863"/>
      <c r="Q23" s="1352" t="str">
        <f t="shared" ref="Q23:Q37" si="8">B23</f>
        <v>区域土地利用方向</v>
      </c>
      <c r="R23" s="705" t="s">
        <v>14</v>
      </c>
      <c r="S23" s="706">
        <f>F23</f>
        <v>100</v>
      </c>
      <c r="T23" s="705" t="s">
        <v>14</v>
      </c>
      <c r="U23" s="706">
        <f>H23</f>
        <v>100</v>
      </c>
      <c r="V23" s="705" t="s">
        <v>14</v>
      </c>
      <c r="W23" s="706">
        <f>J23</f>
        <v>100</v>
      </c>
      <c r="X23" s="1355"/>
      <c r="Y23" s="386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863"/>
      <c r="Q24" s="1352"/>
      <c r="R24" s="705"/>
      <c r="S24" s="706"/>
      <c r="T24" s="705"/>
      <c r="U24" s="706"/>
      <c r="V24" s="705"/>
      <c r="W24" s="706"/>
      <c r="X24" s="1355"/>
      <c r="Y24" s="386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863"/>
      <c r="Q25" s="1352" t="str">
        <f t="shared" si="8"/>
        <v>自然及人文环境状况</v>
      </c>
      <c r="R25" s="705" t="s">
        <v>14</v>
      </c>
      <c r="S25" s="706">
        <f>F25</f>
        <v>100</v>
      </c>
      <c r="T25" s="705" t="s">
        <v>14</v>
      </c>
      <c r="U25" s="706">
        <f>H25</f>
        <v>100</v>
      </c>
      <c r="V25" s="705" t="s">
        <v>14</v>
      </c>
      <c r="W25" s="706">
        <f>J25</f>
        <v>100</v>
      </c>
      <c r="X25" s="1355"/>
      <c r="Y25" s="386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863"/>
      <c r="Q26" s="1352"/>
      <c r="R26" s="705"/>
      <c r="S26" s="706"/>
      <c r="T26" s="705"/>
      <c r="U26" s="706"/>
      <c r="V26" s="705"/>
      <c r="W26" s="706"/>
      <c r="X26" s="1355"/>
      <c r="Y26" s="386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863"/>
      <c r="Q27" s="1343" t="str">
        <f t="shared" si="8"/>
        <v>公共配套设施</v>
      </c>
      <c r="R27" s="701" t="s">
        <v>14</v>
      </c>
      <c r="S27" s="702">
        <f>F27</f>
        <v>100</v>
      </c>
      <c r="T27" s="701" t="s">
        <v>14</v>
      </c>
      <c r="U27" s="702">
        <f>H27</f>
        <v>100</v>
      </c>
      <c r="V27" s="701" t="s">
        <v>14</v>
      </c>
      <c r="W27" s="702">
        <f>J27</f>
        <v>100</v>
      </c>
      <c r="X27" s="703"/>
      <c r="Y27" s="386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863"/>
      <c r="Q28" s="1343"/>
      <c r="R28" s="701"/>
      <c r="S28" s="702"/>
      <c r="T28" s="701"/>
      <c r="U28" s="702"/>
      <c r="V28" s="701"/>
      <c r="W28" s="702"/>
      <c r="X28" s="703"/>
      <c r="Y28" s="386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863"/>
      <c r="Q29" s="1343" t="str">
        <f t="shared" ref="Q29" si="9">B29</f>
        <v>基础设施水平</v>
      </c>
      <c r="R29" s="701" t="s">
        <v>14</v>
      </c>
      <c r="S29" s="702">
        <f>F29</f>
        <v>100</v>
      </c>
      <c r="T29" s="701" t="s">
        <v>14</v>
      </c>
      <c r="U29" s="702">
        <f>H29</f>
        <v>100</v>
      </c>
      <c r="V29" s="701" t="s">
        <v>14</v>
      </c>
      <c r="W29" s="702">
        <f>J29</f>
        <v>100</v>
      </c>
      <c r="X29" s="703"/>
      <c r="Y29" s="386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863"/>
      <c r="Q30" s="1343"/>
      <c r="R30" s="701"/>
      <c r="S30" s="702"/>
      <c r="T30" s="701"/>
      <c r="U30" s="702"/>
      <c r="V30" s="701"/>
      <c r="W30" s="702"/>
      <c r="X30" s="703"/>
      <c r="Y30" s="386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86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86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863"/>
      <c r="Q32" s="1352" t="str">
        <f t="shared" si="8"/>
        <v>毗邻道路的类型与等级</v>
      </c>
      <c r="R32" s="705" t="s">
        <v>14</v>
      </c>
      <c r="S32" s="706">
        <f t="shared" si="10"/>
        <v>100</v>
      </c>
      <c r="T32" s="705" t="s">
        <v>14</v>
      </c>
      <c r="U32" s="706">
        <f t="shared" si="11"/>
        <v>100</v>
      </c>
      <c r="V32" s="705" t="s">
        <v>14</v>
      </c>
      <c r="W32" s="706">
        <f t="shared" si="12"/>
        <v>100</v>
      </c>
      <c r="X32" s="1355"/>
      <c r="Y32" s="386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863"/>
      <c r="Q33" s="1352"/>
      <c r="R33" s="705"/>
      <c r="S33" s="706"/>
      <c r="T33" s="705"/>
      <c r="U33" s="706"/>
      <c r="V33" s="705"/>
      <c r="W33" s="706"/>
      <c r="X33" s="1355"/>
      <c r="Y33" s="386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863"/>
      <c r="Q34" s="1352" t="str">
        <f t="shared" si="8"/>
        <v>土地级别</v>
      </c>
      <c r="R34" s="705" t="s">
        <v>14</v>
      </c>
      <c r="S34" s="706">
        <f t="shared" si="10"/>
        <v>100</v>
      </c>
      <c r="T34" s="705" t="s">
        <v>14</v>
      </c>
      <c r="U34" s="706">
        <f t="shared" si="11"/>
        <v>100</v>
      </c>
      <c r="V34" s="705" t="s">
        <v>14</v>
      </c>
      <c r="W34" s="706">
        <f t="shared" si="12"/>
        <v>100</v>
      </c>
      <c r="X34" s="1355"/>
      <c r="Y34" s="386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863"/>
      <c r="Q35" s="1352">
        <f t="shared" si="8"/>
        <v>111</v>
      </c>
      <c r="R35" s="705" t="s">
        <v>14</v>
      </c>
      <c r="S35" s="706">
        <f t="shared" si="10"/>
        <v>100</v>
      </c>
      <c r="T35" s="705" t="s">
        <v>14</v>
      </c>
      <c r="U35" s="706">
        <f t="shared" si="11"/>
        <v>100</v>
      </c>
      <c r="V35" s="705" t="s">
        <v>14</v>
      </c>
      <c r="W35" s="706">
        <f t="shared" si="12"/>
        <v>100</v>
      </c>
      <c r="X35" s="1355"/>
      <c r="Y35" s="386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886" t="s">
        <v>1696</v>
      </c>
      <c r="Q36" s="1352">
        <f t="shared" si="8"/>
        <v>111</v>
      </c>
      <c r="R36" s="705" t="s">
        <v>14</v>
      </c>
      <c r="S36" s="706">
        <f t="shared" si="10"/>
        <v>100</v>
      </c>
      <c r="T36" s="705" t="s">
        <v>14</v>
      </c>
      <c r="U36" s="706">
        <f t="shared" si="11"/>
        <v>100</v>
      </c>
      <c r="V36" s="705" t="s">
        <v>14</v>
      </c>
      <c r="W36" s="706">
        <f t="shared" si="12"/>
        <v>100</v>
      </c>
      <c r="X36" s="1355"/>
      <c r="Y36" s="386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867"/>
      <c r="Q37" s="1352">
        <f t="shared" si="8"/>
        <v>111</v>
      </c>
      <c r="R37" s="708" t="s">
        <v>14</v>
      </c>
      <c r="S37" s="709">
        <f t="shared" si="10"/>
        <v>100</v>
      </c>
      <c r="T37" s="708" t="s">
        <v>14</v>
      </c>
      <c r="U37" s="709">
        <f t="shared" si="11"/>
        <v>100</v>
      </c>
      <c r="V37" s="708" t="s">
        <v>14</v>
      </c>
      <c r="W37" s="709">
        <f t="shared" si="12"/>
        <v>100</v>
      </c>
      <c r="X37" s="710"/>
      <c r="Y37" s="386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867"/>
      <c r="Q38" s="1352" t="str">
        <f>B38</f>
        <v>宗地面积</v>
      </c>
      <c r="R38" s="705" t="s">
        <v>14</v>
      </c>
      <c r="S38" s="706" t="e">
        <f t="shared" si="10"/>
        <v>#N/A</v>
      </c>
      <c r="T38" s="705" t="s">
        <v>14</v>
      </c>
      <c r="U38" s="706" t="e">
        <f t="shared" si="11"/>
        <v>#N/A</v>
      </c>
      <c r="V38" s="705" t="s">
        <v>14</v>
      </c>
      <c r="W38" s="706" t="e">
        <f t="shared" si="12"/>
        <v>#N/A</v>
      </c>
      <c r="X38" s="1355"/>
      <c r="Y38" s="386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867"/>
      <c r="Q39" s="1352" t="str">
        <f t="shared" ref="Q39:Q45" si="14">B39</f>
        <v>宗地形状</v>
      </c>
      <c r="R39" s="705" t="s">
        <v>14</v>
      </c>
      <c r="S39" s="706">
        <f t="shared" si="10"/>
        <v>100</v>
      </c>
      <c r="T39" s="705" t="s">
        <v>14</v>
      </c>
      <c r="U39" s="706">
        <f t="shared" si="11"/>
        <v>100</v>
      </c>
      <c r="V39" s="705" t="s">
        <v>14</v>
      </c>
      <c r="W39" s="706">
        <f t="shared" si="12"/>
        <v>100</v>
      </c>
      <c r="X39" s="1355"/>
      <c r="Y39" s="386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867"/>
      <c r="Q40" s="1352" t="str">
        <f t="shared" si="14"/>
        <v>临街宽度及深度</v>
      </c>
      <c r="R40" s="705" t="s">
        <v>14</v>
      </c>
      <c r="S40" s="706">
        <f t="shared" si="10"/>
        <v>100</v>
      </c>
      <c r="T40" s="705" t="s">
        <v>14</v>
      </c>
      <c r="U40" s="706">
        <f t="shared" si="11"/>
        <v>100</v>
      </c>
      <c r="V40" s="705" t="s">
        <v>14</v>
      </c>
      <c r="W40" s="706">
        <f t="shared" si="12"/>
        <v>100</v>
      </c>
      <c r="X40" s="1355"/>
      <c r="Y40" s="386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867"/>
      <c r="Q41" s="1352" t="str">
        <f t="shared" si="14"/>
        <v>宗地开发程度</v>
      </c>
      <c r="R41" s="701" t="s">
        <v>14</v>
      </c>
      <c r="S41" s="702">
        <f t="shared" si="10"/>
        <v>100</v>
      </c>
      <c r="T41" s="701" t="s">
        <v>14</v>
      </c>
      <c r="U41" s="702">
        <f t="shared" si="11"/>
        <v>100</v>
      </c>
      <c r="V41" s="701" t="s">
        <v>14</v>
      </c>
      <c r="W41" s="702">
        <f t="shared" si="12"/>
        <v>100</v>
      </c>
      <c r="X41" s="703"/>
      <c r="Y41" s="386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867" t="s">
        <v>1696</v>
      </c>
      <c r="Q42" s="1352" t="str">
        <f t="shared" si="14"/>
        <v>工程地质条件</v>
      </c>
      <c r="R42" s="705" t="s">
        <v>14</v>
      </c>
      <c r="S42" s="706">
        <f t="shared" si="10"/>
        <v>100</v>
      </c>
      <c r="T42" s="705" t="s">
        <v>14</v>
      </c>
      <c r="U42" s="706">
        <f t="shared" si="11"/>
        <v>100</v>
      </c>
      <c r="V42" s="705" t="s">
        <v>14</v>
      </c>
      <c r="W42" s="706">
        <f t="shared" si="12"/>
        <v>100</v>
      </c>
      <c r="X42" s="1355"/>
      <c r="Y42" s="386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867"/>
      <c r="Q43" s="1352">
        <f t="shared" si="14"/>
        <v>111</v>
      </c>
      <c r="R43" s="705" t="s">
        <v>14</v>
      </c>
      <c r="S43" s="706">
        <f t="shared" si="10"/>
        <v>100</v>
      </c>
      <c r="T43" s="705" t="s">
        <v>14</v>
      </c>
      <c r="U43" s="706">
        <f t="shared" si="11"/>
        <v>100</v>
      </c>
      <c r="V43" s="705" t="s">
        <v>14</v>
      </c>
      <c r="W43" s="706">
        <f t="shared" si="12"/>
        <v>100</v>
      </c>
      <c r="X43" s="1355"/>
      <c r="Y43" s="386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867"/>
      <c r="Q44" s="1352">
        <f t="shared" si="14"/>
        <v>111</v>
      </c>
      <c r="R44" s="705" t="s">
        <v>14</v>
      </c>
      <c r="S44" s="706">
        <f t="shared" si="10"/>
        <v>100</v>
      </c>
      <c r="T44" s="705" t="s">
        <v>14</v>
      </c>
      <c r="U44" s="706">
        <f t="shared" si="11"/>
        <v>100</v>
      </c>
      <c r="V44" s="705" t="s">
        <v>14</v>
      </c>
      <c r="W44" s="706">
        <f t="shared" si="12"/>
        <v>100</v>
      </c>
      <c r="X44" s="1355"/>
      <c r="Y44" s="386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867"/>
      <c r="Q45" s="1352">
        <f t="shared" si="14"/>
        <v>111</v>
      </c>
      <c r="R45" s="708" t="s">
        <v>14</v>
      </c>
      <c r="S45" s="709">
        <f t="shared" si="10"/>
        <v>100</v>
      </c>
      <c r="T45" s="708" t="s">
        <v>14</v>
      </c>
      <c r="U45" s="709">
        <f t="shared" si="11"/>
        <v>100</v>
      </c>
      <c r="V45" s="708" t="s">
        <v>14</v>
      </c>
      <c r="W45" s="709">
        <f t="shared" si="12"/>
        <v>100</v>
      </c>
      <c r="X45" s="710"/>
      <c r="Y45" s="386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860" t="str">
        <f>A46</f>
        <v>成交单价</v>
      </c>
      <c r="Q46" s="3860"/>
      <c r="R46" s="3855">
        <f>E46</f>
        <v>0</v>
      </c>
      <c r="S46" s="3855"/>
      <c r="T46" s="3855">
        <f>G46</f>
        <v>0</v>
      </c>
      <c r="U46" s="3855"/>
      <c r="V46" s="3855">
        <f>I46</f>
        <v>0</v>
      </c>
      <c r="W46" s="385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860" t="str">
        <f>A47</f>
        <v>比较价值（元/平方米）</v>
      </c>
      <c r="Q47" s="3860"/>
      <c r="R47" s="3888" t="e">
        <f>ROUND(PRODUCT(R46,AA7:AA45),0)</f>
        <v>#DIV/0!</v>
      </c>
      <c r="S47" s="3888"/>
      <c r="T47" s="3888" t="e">
        <f>ROUND(PRODUCT(T46,AB7:AB45),0)</f>
        <v>#DIV/0!</v>
      </c>
      <c r="U47" s="3888"/>
      <c r="V47" s="3888" t="e">
        <f>ROUND(PRODUCT(V46,AC7:AC45),0)</f>
        <v>#DIV/0!</v>
      </c>
      <c r="W47" s="388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857" t="str">
        <f>A48</f>
        <v>估价对象XX用房的比较价值（楼面单价，元/平方米）</v>
      </c>
      <c r="Q48" s="3858"/>
      <c r="R48" s="3889" t="e">
        <f>ROUND(IF(D47="简单平均",AVERAGE(R47:W47),R47*F47+T47*H47+V47*J47),0)</f>
        <v>#DIV/0!</v>
      </c>
      <c r="S48" s="3889"/>
      <c r="T48" s="3889"/>
      <c r="U48" s="3889"/>
      <c r="V48" s="3889"/>
      <c r="W48" s="388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843" t="s">
        <v>1887</v>
      </c>
      <c r="H55" s="389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114107.98</v>
      </c>
      <c r="F56" s="886" t="e">
        <f t="shared" ref="F56:F64" si="15">ROUND(B56*E56/10000,0)</f>
        <v>#DIV/0!</v>
      </c>
      <c r="G56" s="3842"/>
      <c r="H56" s="386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114107.98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5" sqref="N15"/>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843" t="s">
        <v>1770</v>
      </c>
      <c r="D4" s="3844"/>
      <c r="E4" s="3845" t="s">
        <v>1771</v>
      </c>
      <c r="F4" s="3846"/>
      <c r="G4" s="3843" t="s">
        <v>1772</v>
      </c>
      <c r="H4" s="3844"/>
      <c r="I4" s="3843" t="s">
        <v>1773</v>
      </c>
      <c r="J4" s="3844"/>
      <c r="K4" s="559" t="s">
        <v>1774</v>
      </c>
      <c r="L4" s="2715"/>
      <c r="M4" s="2716"/>
      <c r="N4" s="2716"/>
      <c r="O4" s="2716"/>
      <c r="P4" s="3847" t="s">
        <v>1775</v>
      </c>
      <c r="Q4" s="3848"/>
      <c r="R4" s="3830" t="s">
        <v>1771</v>
      </c>
      <c r="S4" s="3831"/>
      <c r="T4" s="3830" t="s">
        <v>1772</v>
      </c>
      <c r="U4" s="3831"/>
      <c r="V4" s="3855" t="s">
        <v>1773</v>
      </c>
      <c r="W4" s="3855"/>
      <c r="X4" s="1355"/>
      <c r="Y4" s="3830" t="s">
        <v>1775</v>
      </c>
      <c r="Z4" s="3831"/>
      <c r="AA4" s="3825" t="s">
        <v>1771</v>
      </c>
      <c r="AB4" s="3826" t="s">
        <v>1772</v>
      </c>
      <c r="AC4" s="3825" t="s">
        <v>1773</v>
      </c>
    </row>
    <row r="5" spans="1:29" ht="15">
      <c r="A5" s="358"/>
      <c r="B5" s="359"/>
      <c r="C5" s="3836" t="s">
        <v>1673</v>
      </c>
      <c r="D5" s="3837"/>
      <c r="E5" s="3834" t="s">
        <v>1674</v>
      </c>
      <c r="F5" s="3835"/>
      <c r="G5" s="3836" t="s">
        <v>1675</v>
      </c>
      <c r="H5" s="3837"/>
      <c r="I5" s="3836" t="s">
        <v>1676</v>
      </c>
      <c r="J5" s="3837"/>
      <c r="K5" s="559"/>
      <c r="L5" s="2715"/>
      <c r="M5" s="2716"/>
      <c r="N5" s="2716"/>
      <c r="O5" s="2716"/>
      <c r="P5" s="3849"/>
      <c r="Q5" s="3850"/>
      <c r="R5" s="3832"/>
      <c r="S5" s="3833"/>
      <c r="T5" s="3832"/>
      <c r="U5" s="3833"/>
      <c r="V5" s="3855"/>
      <c r="W5" s="3855"/>
      <c r="X5" s="1355"/>
      <c r="Y5" s="3832"/>
      <c r="Z5" s="3833"/>
      <c r="AA5" s="3826"/>
      <c r="AB5" s="3826"/>
      <c r="AC5" s="3826"/>
    </row>
    <row r="6" spans="1:29" ht="15.75" thickBot="1">
      <c r="A6" s="360"/>
      <c r="B6" s="361"/>
      <c r="C6" s="3891" t="s">
        <v>1919</v>
      </c>
      <c r="D6" s="3892"/>
      <c r="E6" s="3893" t="s">
        <v>1919</v>
      </c>
      <c r="F6" s="3894"/>
      <c r="G6" s="3891" t="s">
        <v>1919</v>
      </c>
      <c r="H6" s="3892"/>
      <c r="I6" s="3891" t="s">
        <v>1919</v>
      </c>
      <c r="J6" s="3892"/>
      <c r="K6" s="559" t="s">
        <v>1678</v>
      </c>
      <c r="L6" s="2715"/>
      <c r="M6" s="2716"/>
      <c r="N6" s="2716"/>
      <c r="O6" s="2716"/>
      <c r="P6" s="3851"/>
      <c r="Q6" s="3852"/>
      <c r="R6" s="3832"/>
      <c r="S6" s="3833"/>
      <c r="T6" s="3853"/>
      <c r="U6" s="3854"/>
      <c r="V6" s="3855"/>
      <c r="W6" s="3855"/>
      <c r="X6" s="1355"/>
      <c r="Y6" s="3853"/>
      <c r="Z6" s="3854"/>
      <c r="AA6" s="3827"/>
      <c r="AB6" s="3827"/>
      <c r="AC6" s="3827"/>
    </row>
    <row r="7" spans="1:29" s="108" customFormat="1" ht="15.75" thickBot="1">
      <c r="A7" s="362" t="s">
        <v>1679</v>
      </c>
      <c r="B7" s="363"/>
      <c r="C7" s="364">
        <f>'数据-取费表'!B2</f>
        <v>45301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828" t="s">
        <v>1680</v>
      </c>
      <c r="Q7" s="3856"/>
      <c r="R7" s="701" t="s">
        <v>14</v>
      </c>
      <c r="S7" s="702">
        <f t="shared" ref="S7:S15" si="0">F7</f>
        <v>0</v>
      </c>
      <c r="T7" s="701" t="s">
        <v>14</v>
      </c>
      <c r="U7" s="702">
        <f t="shared" ref="U7:U15" si="1">H7</f>
        <v>0</v>
      </c>
      <c r="V7" s="701" t="s">
        <v>14</v>
      </c>
      <c r="W7" s="702">
        <f t="shared" ref="W7:W15" si="2">J7</f>
        <v>0</v>
      </c>
      <c r="X7" s="703"/>
      <c r="Y7" s="3828" t="s">
        <v>1680</v>
      </c>
      <c r="Z7" s="382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828" t="s">
        <v>1683</v>
      </c>
      <c r="Q8" s="3829"/>
      <c r="R8" s="701" t="s">
        <v>14</v>
      </c>
      <c r="S8" s="702">
        <f t="shared" si="0"/>
        <v>0</v>
      </c>
      <c r="T8" s="701" t="s">
        <v>14</v>
      </c>
      <c r="U8" s="702">
        <f t="shared" si="1"/>
        <v>0</v>
      </c>
      <c r="V8" s="701" t="s">
        <v>14</v>
      </c>
      <c r="W8" s="702">
        <f t="shared" si="2"/>
        <v>0</v>
      </c>
      <c r="X8" s="703"/>
      <c r="Y8" s="3828" t="s">
        <v>1683</v>
      </c>
      <c r="Z8" s="382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860" t="s">
        <v>1686</v>
      </c>
      <c r="Q9" s="1343" t="str">
        <f t="shared" ref="Q9:Q15" si="6">B9</f>
        <v>用途</v>
      </c>
      <c r="R9" s="701" t="s">
        <v>14</v>
      </c>
      <c r="S9" s="702">
        <f t="shared" si="0"/>
        <v>100</v>
      </c>
      <c r="T9" s="701" t="s">
        <v>14</v>
      </c>
      <c r="U9" s="702">
        <f t="shared" si="1"/>
        <v>100</v>
      </c>
      <c r="V9" s="701" t="s">
        <v>14</v>
      </c>
      <c r="W9" s="702">
        <f t="shared" si="2"/>
        <v>100</v>
      </c>
      <c r="X9" s="703"/>
      <c r="Y9" s="377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9"/>
      <c r="M10" s="2720"/>
      <c r="N10" s="2720"/>
      <c r="O10" s="2773"/>
      <c r="P10" s="3860"/>
      <c r="Q10" s="1343" t="str">
        <f t="shared" si="6"/>
        <v>土地使用年限（年）</v>
      </c>
      <c r="R10" s="701" t="s">
        <v>14</v>
      </c>
      <c r="S10" s="702">
        <f t="shared" si="0"/>
        <v>115</v>
      </c>
      <c r="T10" s="701" t="s">
        <v>14</v>
      </c>
      <c r="U10" s="702">
        <f t="shared" si="1"/>
        <v>115</v>
      </c>
      <c r="V10" s="701" t="s">
        <v>14</v>
      </c>
      <c r="W10" s="702">
        <f t="shared" si="2"/>
        <v>115</v>
      </c>
      <c r="X10" s="703"/>
      <c r="Y10" s="3772"/>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860"/>
      <c r="Q11" s="1343" t="str">
        <f t="shared" si="6"/>
        <v>容积率</v>
      </c>
      <c r="R11" s="701" t="s">
        <v>14</v>
      </c>
      <c r="S11" s="702" t="e">
        <f t="shared" si="0"/>
        <v>#N/A</v>
      </c>
      <c r="T11" s="701" t="s">
        <v>14</v>
      </c>
      <c r="U11" s="702" t="e">
        <f t="shared" si="1"/>
        <v>#N/A</v>
      </c>
      <c r="V11" s="701" t="s">
        <v>14</v>
      </c>
      <c r="W11" s="702" t="e">
        <f t="shared" si="2"/>
        <v>#N/A</v>
      </c>
      <c r="X11" s="703"/>
      <c r="Y11" s="377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860"/>
      <c r="Q12" s="1343">
        <f t="shared" si="6"/>
        <v>111</v>
      </c>
      <c r="R12" s="701" t="s">
        <v>14</v>
      </c>
      <c r="S12" s="702">
        <f t="shared" si="0"/>
        <v>100</v>
      </c>
      <c r="T12" s="701" t="s">
        <v>14</v>
      </c>
      <c r="U12" s="702">
        <f t="shared" si="1"/>
        <v>100</v>
      </c>
      <c r="V12" s="701" t="s">
        <v>14</v>
      </c>
      <c r="W12" s="702">
        <f t="shared" si="2"/>
        <v>100</v>
      </c>
      <c r="X12" s="703"/>
      <c r="Y12" s="377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860"/>
      <c r="Q13" s="1343">
        <f t="shared" si="6"/>
        <v>111</v>
      </c>
      <c r="R13" s="701" t="s">
        <v>14</v>
      </c>
      <c r="S13" s="702">
        <f t="shared" si="0"/>
        <v>100</v>
      </c>
      <c r="T13" s="701" t="s">
        <v>14</v>
      </c>
      <c r="U13" s="702">
        <f t="shared" si="1"/>
        <v>100</v>
      </c>
      <c r="V13" s="701" t="s">
        <v>14</v>
      </c>
      <c r="W13" s="702">
        <f t="shared" si="2"/>
        <v>100</v>
      </c>
      <c r="X13" s="703"/>
      <c r="Y13" s="377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860"/>
      <c r="Q14" s="1343">
        <f t="shared" si="6"/>
        <v>111</v>
      </c>
      <c r="R14" s="701" t="s">
        <v>14</v>
      </c>
      <c r="S14" s="702">
        <f t="shared" si="0"/>
        <v>100</v>
      </c>
      <c r="T14" s="701" t="s">
        <v>14</v>
      </c>
      <c r="U14" s="702">
        <f t="shared" si="1"/>
        <v>100</v>
      </c>
      <c r="V14" s="701" t="s">
        <v>14</v>
      </c>
      <c r="W14" s="702">
        <f t="shared" si="2"/>
        <v>100</v>
      </c>
      <c r="X14" s="703"/>
      <c r="Y14" s="377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862" t="s">
        <v>1691</v>
      </c>
      <c r="Q15" s="1352" t="str">
        <f t="shared" si="6"/>
        <v>产业集聚程度</v>
      </c>
      <c r="R15" s="705" t="s">
        <v>14</v>
      </c>
      <c r="S15" s="706">
        <f t="shared" si="0"/>
        <v>100</v>
      </c>
      <c r="T15" s="705" t="s">
        <v>14</v>
      </c>
      <c r="U15" s="706">
        <f t="shared" si="1"/>
        <v>100</v>
      </c>
      <c r="V15" s="705" t="s">
        <v>14</v>
      </c>
      <c r="W15" s="706">
        <f t="shared" si="2"/>
        <v>100</v>
      </c>
      <c r="X15" s="1355"/>
      <c r="Y15" s="386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863"/>
      <c r="Q16" s="1352"/>
      <c r="R16" s="705"/>
      <c r="S16" s="706"/>
      <c r="T16" s="705"/>
      <c r="U16" s="706"/>
      <c r="V16" s="705"/>
      <c r="W16" s="706"/>
      <c r="X16" s="1355"/>
      <c r="Y16" s="386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863"/>
      <c r="Q17" s="1352" t="str">
        <f>B17</f>
        <v>交通便捷度</v>
      </c>
      <c r="R17" s="705" t="s">
        <v>14</v>
      </c>
      <c r="S17" s="706">
        <f>F17</f>
        <v>100</v>
      </c>
      <c r="T17" s="705" t="s">
        <v>14</v>
      </c>
      <c r="U17" s="706">
        <f>H17</f>
        <v>100</v>
      </c>
      <c r="V17" s="705" t="s">
        <v>14</v>
      </c>
      <c r="W17" s="706">
        <f>J17</f>
        <v>100</v>
      </c>
      <c r="X17" s="1355"/>
      <c r="Y17" s="386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863"/>
      <c r="Q18" s="1352"/>
      <c r="R18" s="705"/>
      <c r="S18" s="706"/>
      <c r="T18" s="705"/>
      <c r="U18" s="706"/>
      <c r="V18" s="705"/>
      <c r="W18" s="706"/>
      <c r="X18" s="1355"/>
      <c r="Y18" s="386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863"/>
      <c r="Q19" s="1352" t="str">
        <f t="shared" ref="Q19:Q33" si="8">B19</f>
        <v>区域土地利用方向</v>
      </c>
      <c r="R19" s="705" t="s">
        <v>14</v>
      </c>
      <c r="S19" s="706">
        <f>F19</f>
        <v>100</v>
      </c>
      <c r="T19" s="705" t="s">
        <v>14</v>
      </c>
      <c r="U19" s="706">
        <f>H19</f>
        <v>100</v>
      </c>
      <c r="V19" s="705" t="s">
        <v>14</v>
      </c>
      <c r="W19" s="706">
        <f>J19</f>
        <v>100</v>
      </c>
      <c r="X19" s="1355"/>
      <c r="Y19" s="386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863"/>
      <c r="Q20" s="1352"/>
      <c r="R20" s="705"/>
      <c r="S20" s="706"/>
      <c r="T20" s="705"/>
      <c r="U20" s="706"/>
      <c r="V20" s="705"/>
      <c r="W20" s="706"/>
      <c r="X20" s="1355"/>
      <c r="Y20" s="386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863"/>
      <c r="Q21" s="1352" t="str">
        <f t="shared" si="8"/>
        <v>环境状况</v>
      </c>
      <c r="R21" s="705" t="s">
        <v>14</v>
      </c>
      <c r="S21" s="706">
        <f>F21</f>
        <v>100</v>
      </c>
      <c r="T21" s="705" t="s">
        <v>14</v>
      </c>
      <c r="U21" s="706">
        <f>H21</f>
        <v>100</v>
      </c>
      <c r="V21" s="705" t="s">
        <v>14</v>
      </c>
      <c r="W21" s="706">
        <f>J21</f>
        <v>100</v>
      </c>
      <c r="X21" s="1355"/>
      <c r="Y21" s="386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863"/>
      <c r="Q22" s="1352"/>
      <c r="R22" s="705"/>
      <c r="S22" s="706"/>
      <c r="T22" s="705"/>
      <c r="U22" s="706"/>
      <c r="V22" s="705"/>
      <c r="W22" s="706"/>
      <c r="X22" s="1355"/>
      <c r="Y22" s="386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863"/>
      <c r="Q23" s="1343" t="str">
        <f t="shared" si="8"/>
        <v>公共配套设施</v>
      </c>
      <c r="R23" s="701" t="s">
        <v>14</v>
      </c>
      <c r="S23" s="702">
        <f>F23</f>
        <v>100</v>
      </c>
      <c r="T23" s="701" t="s">
        <v>14</v>
      </c>
      <c r="U23" s="702">
        <f>H23</f>
        <v>100</v>
      </c>
      <c r="V23" s="701" t="s">
        <v>14</v>
      </c>
      <c r="W23" s="702">
        <f>J23</f>
        <v>100</v>
      </c>
      <c r="X23" s="703"/>
      <c r="Y23" s="386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863"/>
      <c r="Q24" s="1343"/>
      <c r="R24" s="701"/>
      <c r="S24" s="702"/>
      <c r="T24" s="701"/>
      <c r="U24" s="702"/>
      <c r="V24" s="701"/>
      <c r="W24" s="702"/>
      <c r="X24" s="703"/>
      <c r="Y24" s="386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863"/>
      <c r="Q25" s="1343" t="str">
        <f t="shared" ref="Q25" si="9">B25</f>
        <v>基础设施水平</v>
      </c>
      <c r="R25" s="701" t="s">
        <v>14</v>
      </c>
      <c r="S25" s="702">
        <f>F25</f>
        <v>100</v>
      </c>
      <c r="T25" s="701" t="s">
        <v>14</v>
      </c>
      <c r="U25" s="702">
        <f>H25</f>
        <v>100</v>
      </c>
      <c r="V25" s="701" t="s">
        <v>14</v>
      </c>
      <c r="W25" s="702">
        <f>J25</f>
        <v>100</v>
      </c>
      <c r="X25" s="703"/>
      <c r="Y25" s="386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863"/>
      <c r="Q26" s="1343"/>
      <c r="R26" s="701"/>
      <c r="S26" s="702"/>
      <c r="T26" s="701"/>
      <c r="U26" s="702"/>
      <c r="V26" s="701"/>
      <c r="W26" s="702"/>
      <c r="X26" s="703"/>
      <c r="Y26" s="386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86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86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863"/>
      <c r="Q28" s="1352" t="str">
        <f t="shared" si="8"/>
        <v>毗邻道路的类型与等级</v>
      </c>
      <c r="R28" s="705" t="s">
        <v>14</v>
      </c>
      <c r="S28" s="706">
        <f t="shared" si="10"/>
        <v>100</v>
      </c>
      <c r="T28" s="705" t="s">
        <v>14</v>
      </c>
      <c r="U28" s="706">
        <f t="shared" si="11"/>
        <v>100</v>
      </c>
      <c r="V28" s="705" t="s">
        <v>14</v>
      </c>
      <c r="W28" s="706">
        <f t="shared" si="12"/>
        <v>100</v>
      </c>
      <c r="X28" s="1355"/>
      <c r="Y28" s="386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863"/>
      <c r="Q29" s="1352"/>
      <c r="R29" s="705"/>
      <c r="S29" s="706"/>
      <c r="T29" s="705"/>
      <c r="U29" s="706"/>
      <c r="V29" s="705"/>
      <c r="W29" s="706"/>
      <c r="X29" s="1355"/>
      <c r="Y29" s="386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863"/>
      <c r="Q30" s="1352" t="str">
        <f t="shared" si="8"/>
        <v>土地级别</v>
      </c>
      <c r="R30" s="705" t="s">
        <v>14</v>
      </c>
      <c r="S30" s="706">
        <f t="shared" si="10"/>
        <v>100</v>
      </c>
      <c r="T30" s="705" t="s">
        <v>14</v>
      </c>
      <c r="U30" s="706">
        <f t="shared" si="11"/>
        <v>100</v>
      </c>
      <c r="V30" s="705" t="s">
        <v>14</v>
      </c>
      <c r="W30" s="706">
        <f t="shared" si="12"/>
        <v>100</v>
      </c>
      <c r="X30" s="1355"/>
      <c r="Y30" s="386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863"/>
      <c r="Q31" s="1352">
        <f t="shared" si="8"/>
        <v>111</v>
      </c>
      <c r="R31" s="705" t="s">
        <v>14</v>
      </c>
      <c r="S31" s="706">
        <f t="shared" si="10"/>
        <v>100</v>
      </c>
      <c r="T31" s="705" t="s">
        <v>14</v>
      </c>
      <c r="U31" s="706">
        <f t="shared" si="11"/>
        <v>100</v>
      </c>
      <c r="V31" s="705" t="s">
        <v>14</v>
      </c>
      <c r="W31" s="706">
        <f t="shared" si="12"/>
        <v>100</v>
      </c>
      <c r="X31" s="1355"/>
      <c r="Y31" s="386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886" t="s">
        <v>1696</v>
      </c>
      <c r="Q32" s="1352">
        <f t="shared" si="8"/>
        <v>111</v>
      </c>
      <c r="R32" s="705" t="s">
        <v>14</v>
      </c>
      <c r="S32" s="706">
        <f t="shared" si="10"/>
        <v>100</v>
      </c>
      <c r="T32" s="705" t="s">
        <v>14</v>
      </c>
      <c r="U32" s="706">
        <f t="shared" si="11"/>
        <v>100</v>
      </c>
      <c r="V32" s="705" t="s">
        <v>14</v>
      </c>
      <c r="W32" s="706">
        <f t="shared" si="12"/>
        <v>100</v>
      </c>
      <c r="X32" s="1355"/>
      <c r="Y32" s="386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867"/>
      <c r="Q33" s="1352">
        <f t="shared" si="8"/>
        <v>111</v>
      </c>
      <c r="R33" s="708" t="s">
        <v>14</v>
      </c>
      <c r="S33" s="709">
        <f t="shared" si="10"/>
        <v>100</v>
      </c>
      <c r="T33" s="708" t="s">
        <v>14</v>
      </c>
      <c r="U33" s="709">
        <f t="shared" si="11"/>
        <v>100</v>
      </c>
      <c r="V33" s="708" t="s">
        <v>14</v>
      </c>
      <c r="W33" s="709">
        <f t="shared" si="12"/>
        <v>100</v>
      </c>
      <c r="X33" s="710"/>
      <c r="Y33" s="386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867"/>
      <c r="Q34" s="1352" t="str">
        <f>B34</f>
        <v>宗地面积</v>
      </c>
      <c r="R34" s="705" t="s">
        <v>14</v>
      </c>
      <c r="S34" s="706" t="e">
        <f t="shared" si="10"/>
        <v>#N/A</v>
      </c>
      <c r="T34" s="705" t="s">
        <v>14</v>
      </c>
      <c r="U34" s="706" t="e">
        <f t="shared" si="11"/>
        <v>#N/A</v>
      </c>
      <c r="V34" s="705" t="s">
        <v>14</v>
      </c>
      <c r="W34" s="706" t="e">
        <f t="shared" si="12"/>
        <v>#N/A</v>
      </c>
      <c r="X34" s="1355"/>
      <c r="Y34" s="386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867"/>
      <c r="Q35" s="1352" t="str">
        <f t="shared" ref="Q35:Q40" si="14">B35</f>
        <v>宗地形状</v>
      </c>
      <c r="R35" s="705" t="s">
        <v>14</v>
      </c>
      <c r="S35" s="706">
        <f t="shared" si="10"/>
        <v>100</v>
      </c>
      <c r="T35" s="705" t="s">
        <v>14</v>
      </c>
      <c r="U35" s="706">
        <f t="shared" si="11"/>
        <v>100</v>
      </c>
      <c r="V35" s="705" t="s">
        <v>14</v>
      </c>
      <c r="W35" s="706">
        <f t="shared" si="12"/>
        <v>100</v>
      </c>
      <c r="X35" s="1355"/>
      <c r="Y35" s="386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867"/>
      <c r="Q36" s="1352" t="str">
        <f t="shared" si="14"/>
        <v>宗地开发程度</v>
      </c>
      <c r="R36" s="701" t="s">
        <v>14</v>
      </c>
      <c r="S36" s="702">
        <f t="shared" si="10"/>
        <v>100</v>
      </c>
      <c r="T36" s="701" t="s">
        <v>14</v>
      </c>
      <c r="U36" s="702">
        <f t="shared" si="11"/>
        <v>100</v>
      </c>
      <c r="V36" s="701" t="s">
        <v>14</v>
      </c>
      <c r="W36" s="702">
        <f t="shared" si="12"/>
        <v>100</v>
      </c>
      <c r="X36" s="703"/>
      <c r="Y36" s="386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867" t="s">
        <v>1696</v>
      </c>
      <c r="Q37" s="1352" t="str">
        <f t="shared" si="14"/>
        <v>工程地质条件</v>
      </c>
      <c r="R37" s="705" t="s">
        <v>14</v>
      </c>
      <c r="S37" s="706">
        <f t="shared" si="10"/>
        <v>100</v>
      </c>
      <c r="T37" s="705" t="s">
        <v>14</v>
      </c>
      <c r="U37" s="706">
        <f t="shared" si="11"/>
        <v>100</v>
      </c>
      <c r="V37" s="705" t="s">
        <v>14</v>
      </c>
      <c r="W37" s="706">
        <f t="shared" si="12"/>
        <v>100</v>
      </c>
      <c r="X37" s="1355"/>
      <c r="Y37" s="386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867"/>
      <c r="Q38" s="1352">
        <f t="shared" si="14"/>
        <v>111</v>
      </c>
      <c r="R38" s="705" t="s">
        <v>14</v>
      </c>
      <c r="S38" s="706">
        <f t="shared" si="10"/>
        <v>100</v>
      </c>
      <c r="T38" s="705" t="s">
        <v>14</v>
      </c>
      <c r="U38" s="706">
        <f t="shared" si="11"/>
        <v>100</v>
      </c>
      <c r="V38" s="705" t="s">
        <v>14</v>
      </c>
      <c r="W38" s="706">
        <f t="shared" si="12"/>
        <v>100</v>
      </c>
      <c r="X38" s="1355"/>
      <c r="Y38" s="386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867"/>
      <c r="Q39" s="1352">
        <f t="shared" si="14"/>
        <v>111</v>
      </c>
      <c r="R39" s="705" t="s">
        <v>14</v>
      </c>
      <c r="S39" s="706">
        <f t="shared" si="10"/>
        <v>100</v>
      </c>
      <c r="T39" s="705" t="s">
        <v>14</v>
      </c>
      <c r="U39" s="706">
        <f t="shared" si="11"/>
        <v>100</v>
      </c>
      <c r="V39" s="705" t="s">
        <v>14</v>
      </c>
      <c r="W39" s="706">
        <f t="shared" si="12"/>
        <v>100</v>
      </c>
      <c r="X39" s="1355"/>
      <c r="Y39" s="386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867"/>
      <c r="Q40" s="1352">
        <f t="shared" si="14"/>
        <v>111</v>
      </c>
      <c r="R40" s="708" t="s">
        <v>14</v>
      </c>
      <c r="S40" s="709">
        <f t="shared" si="10"/>
        <v>100</v>
      </c>
      <c r="T40" s="708" t="s">
        <v>14</v>
      </c>
      <c r="U40" s="709">
        <f t="shared" si="11"/>
        <v>100</v>
      </c>
      <c r="V40" s="708" t="s">
        <v>14</v>
      </c>
      <c r="W40" s="709">
        <f t="shared" si="12"/>
        <v>100</v>
      </c>
      <c r="X40" s="710"/>
      <c r="Y40" s="386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860" t="str">
        <f>A41</f>
        <v>成交单价</v>
      </c>
      <c r="Q41" s="3860"/>
      <c r="R41" s="3855">
        <f>E41</f>
        <v>0</v>
      </c>
      <c r="S41" s="3855"/>
      <c r="T41" s="3855">
        <f>G41</f>
        <v>0</v>
      </c>
      <c r="U41" s="3855"/>
      <c r="V41" s="3855">
        <f>I41</f>
        <v>0</v>
      </c>
      <c r="W41" s="385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860" t="str">
        <f>A42</f>
        <v>比较价值（元/平方米）</v>
      </c>
      <c r="Q42" s="3860"/>
      <c r="R42" s="3888" t="e">
        <f>ROUND(PRODUCT(R41,AA7:AA40),0)</f>
        <v>#DIV/0!</v>
      </c>
      <c r="S42" s="3888"/>
      <c r="T42" s="3888" t="e">
        <f>ROUND(PRODUCT(T41,AB7:AB40),0)</f>
        <v>#DIV/0!</v>
      </c>
      <c r="U42" s="3888"/>
      <c r="V42" s="3888" t="e">
        <f>ROUND(PRODUCT(V41,AC7:AC40),0)</f>
        <v>#DIV/0!</v>
      </c>
      <c r="W42" s="388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857" t="str">
        <f>A43</f>
        <v>估价对象XX用房的比较价值（楼面单价，元/平方米）</v>
      </c>
      <c r="Q43" s="3858"/>
      <c r="R43" s="3889" t="e">
        <f>ROUND(IF(D42="简单平均",AVERAGE(R42:W42),R42*F42+T42*H42+V42*J42),0)</f>
        <v>#DIV/0!</v>
      </c>
      <c r="S43" s="3889"/>
      <c r="T43" s="3889"/>
      <c r="U43" s="3889"/>
      <c r="V43" s="3889"/>
      <c r="W43" s="388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843" t="s">
        <v>1887</v>
      </c>
      <c r="H50" s="389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114107.98</v>
      </c>
      <c r="F51" s="639" t="e">
        <f t="shared" ref="F51:F60" si="15">ROUND(B51*E51/10000,0)</f>
        <v>#DIV/0!</v>
      </c>
      <c r="G51" s="3842"/>
      <c r="H51" s="386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236852.67</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98" t="s">
        <v>2084</v>
      </c>
      <c r="D1" s="3899"/>
      <c r="E1" s="3899"/>
      <c r="F1" s="3899"/>
      <c r="G1" s="3899"/>
      <c r="H1" s="3899"/>
      <c r="I1" s="3899"/>
      <c r="J1" s="3899"/>
      <c r="K1" s="3899"/>
      <c r="L1" s="3899"/>
      <c r="M1" s="3899"/>
      <c r="N1" s="3899"/>
      <c r="O1" s="3899"/>
      <c r="P1" s="3899"/>
      <c r="Q1" s="3899"/>
      <c r="R1" s="3899"/>
      <c r="S1" s="390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95" t="s">
        <v>27</v>
      </c>
      <c r="D22" s="3896"/>
      <c r="E22" s="3896"/>
      <c r="F22" s="3896"/>
      <c r="G22" s="3896"/>
      <c r="H22" s="3896"/>
      <c r="I22" s="3896"/>
      <c r="J22" s="3896"/>
      <c r="K22" s="3896"/>
      <c r="L22" s="3896"/>
      <c r="M22" s="3896"/>
      <c r="N22" s="3896"/>
      <c r="O22" s="3896"/>
      <c r="P22" s="3896"/>
      <c r="Q22" s="389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80340</v>
      </c>
      <c r="C2" s="2145" t="s">
        <v>2074</v>
      </c>
      <c r="D2" s="2145" t="s">
        <v>2075</v>
      </c>
      <c r="E2" s="2612">
        <f ca="1">SUMIF(E6:E13,"&lt;&gt;#ref!",E6:E13)</f>
        <v>236852.66999999998</v>
      </c>
      <c r="F2" s="2793"/>
      <c r="G2" s="2793"/>
      <c r="H2" s="2793"/>
      <c r="I2" s="2793"/>
      <c r="J2" s="2793"/>
      <c r="K2" s="2793"/>
      <c r="L2" s="2793"/>
      <c r="M2" s="2793"/>
      <c r="N2" s="2793"/>
      <c r="O2" s="2793"/>
      <c r="P2" s="2793"/>
    </row>
    <row r="3" spans="1:16" ht="15.75">
      <c r="A3" s="2145" t="s">
        <v>2076</v>
      </c>
      <c r="B3" s="2602">
        <f ca="1">ROUND(B2*10000/E2,0)</f>
        <v>3392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80340</v>
      </c>
      <c r="C6" s="2145" t="s">
        <v>2074</v>
      </c>
      <c r="D6" s="2793"/>
      <c r="E6" s="2612">
        <f ca="1">SUMIF(INDIRECT("'"&amp;A6&amp;"'"&amp;"!C:C"),"建筑面积",INDIRECT("'"&amp;A6&amp;"'"&amp;"!D:D"))</f>
        <v>236852.66999999998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3" zoomScaleNormal="80" zoomScaleSheetLayoutView="100" workbookViewId="0">
      <selection activeCell="D86" sqref="D86"/>
    </sheetView>
  </sheetViews>
  <sheetFormatPr defaultColWidth="9"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9" style="1998"/>
  </cols>
  <sheetData>
    <row r="1" spans="1:36" ht="28.5">
      <c r="A1" s="196" t="s">
        <v>1926</v>
      </c>
      <c r="B1" s="197"/>
      <c r="C1" s="201" t="s">
        <v>1927</v>
      </c>
      <c r="D1" s="342">
        <f>SUM(D33:D34,D37:D42)</f>
        <v>236852.66999999998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25.5">
      <c r="A2" s="201" t="s">
        <v>1934</v>
      </c>
      <c r="B2" s="204">
        <f>C30</f>
        <v>80340</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Ⅵ-天竺保税区北Ⅱ</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4813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3392</v>
      </c>
      <c r="C3" s="1999" t="s">
        <v>1941</v>
      </c>
      <c r="D3" s="2000" t="s">
        <v>1942</v>
      </c>
      <c r="E3" s="3420" t="s">
        <v>2487</v>
      </c>
      <c r="F3" s="2004" t="s">
        <v>3420</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3794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908"/>
      <c r="B4" s="3909"/>
      <c r="C4" s="3909"/>
      <c r="D4" s="3910"/>
      <c r="E4" s="3910"/>
      <c r="F4" s="3910"/>
      <c r="G4" s="3910"/>
      <c r="H4" s="3910"/>
      <c r="I4" s="3910"/>
      <c r="J4" s="391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3206</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2265</v>
      </c>
      <c r="D5" s="1339">
        <f>ROUND(C6*C17+C20,0)</f>
        <v>2265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2828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2340</v>
      </c>
      <c r="D6" s="2017"/>
      <c r="E6" s="2018"/>
      <c r="F6" s="2018"/>
      <c r="G6" s="2019"/>
      <c r="H6" s="2019"/>
      <c r="I6" s="2019"/>
      <c r="J6" s="2020"/>
      <c r="K6" s="1384"/>
      <c r="L6" s="2003" t="s">
        <v>1951</v>
      </c>
      <c r="M6" s="864">
        <f>SUMPRODUCT((区片价!B127:B189=I2)*(区片价!C3:G3=E2)*(区片价!C127:G189))</f>
        <v>2340</v>
      </c>
      <c r="N6" s="866">
        <f>SUMPRODUCT((因素修正幅度!B127:B189=I2)*(因素修正幅度!C3:G3=E2)*(因素修正幅度!C127:G189))</f>
        <v>0.05</v>
      </c>
      <c r="O6" s="1119"/>
      <c r="P6" s="1119"/>
      <c r="Q6" s="1119"/>
      <c r="R6" s="1212">
        <v>5</v>
      </c>
      <c r="S6" s="3361">
        <f>ROUND(SUMPRODUCT((B106:B110=R6)*(C105:N105=G2)*(C106:N110)),4)</f>
        <v>0.84799999999999998</v>
      </c>
      <c r="T6" s="3361">
        <f t="shared" si="0"/>
        <v>2718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905" t="s">
        <v>1960</v>
      </c>
      <c r="X8" s="390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907"/>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90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912" t="s">
        <v>3258</v>
      </c>
      <c r="B20" s="167" t="s">
        <v>1994</v>
      </c>
      <c r="C20" s="3325">
        <f>ROUND(IF(F21="与级别开发程度一致",0,(G21-E21)/C21),0)</f>
        <v>-75</v>
      </c>
      <c r="D20" s="3341" t="s">
        <v>1998</v>
      </c>
      <c r="E20" s="3342"/>
      <c r="F20" s="3918" t="s">
        <v>1995</v>
      </c>
      <c r="G20" s="3919"/>
      <c r="H20" s="3326" t="s">
        <v>3422</v>
      </c>
      <c r="I20" s="3326" t="s">
        <v>3423</v>
      </c>
      <c r="J20" s="3327" t="s">
        <v>3424</v>
      </c>
      <c r="K20" s="2047" t="s">
        <v>3425</v>
      </c>
      <c r="L20" s="2047" t="s">
        <v>3426</v>
      </c>
      <c r="M20" s="2047" t="s">
        <v>3427</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913"/>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3421</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1.5</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45301</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0.87160000000000004</v>
      </c>
      <c r="D24" s="2060" t="s">
        <v>2007</v>
      </c>
      <c r="E24" s="1335">
        <f>存贷款利率!E24/100</f>
        <v>4.3499999999999997E-2</v>
      </c>
      <c r="F24" s="2060" t="s">
        <v>1999</v>
      </c>
      <c r="G24" s="768">
        <f>SUMIF(M30:Q30,E2,M33:Q33)</f>
        <v>0.05</v>
      </c>
      <c r="H24" s="2060" t="s">
        <v>2008</v>
      </c>
      <c r="I24" s="769">
        <f>SUMIF('数据-取费表'!C6:C15,E2,'数据-取费表'!F6:F15)/COUNTIF('数据-取费表'!C6:C15,E2)</f>
        <v>32.54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1.0583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1.0138</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80340</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3392</v>
      </c>
      <c r="D33" s="2098">
        <f>'数据-基础表'!A3</f>
        <v>236852.66999999998</v>
      </c>
      <c r="E33" s="773">
        <f>ROUND(C33*D33/10000,0)</f>
        <v>80340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509</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916"/>
      <c r="B37" s="2113" t="s">
        <v>2036</v>
      </c>
      <c r="C37" s="175">
        <f>ROUND(D5*C22*C23*C24*C28*F37,0)</f>
        <v>1923</v>
      </c>
      <c r="D37" s="2098"/>
      <c r="E37" s="171">
        <f>ROUND(C37*D37/10000,0)</f>
        <v>0</v>
      </c>
      <c r="F37" s="171">
        <f>SUMIF(修正!A57:A68,G2,修正!B57:B68)</f>
        <v>0.6</v>
      </c>
      <c r="G37" s="171">
        <f>ROUND(IF(E2="工业",C37*$M$42,C37*$M$41),0)</f>
        <v>288</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917"/>
      <c r="B38" s="2041" t="s">
        <v>2037</v>
      </c>
      <c r="C38" s="175">
        <f>ROUND(D5*C22*C23*C24*C28*F38,0)</f>
        <v>961</v>
      </c>
      <c r="D38" s="2098"/>
      <c r="E38" s="171">
        <f t="shared" ref="E38:E42" si="4">ROUND(C38*D38/10000,0)</f>
        <v>0</v>
      </c>
      <c r="F38" s="171">
        <f>SUMIF(修正!A57:A68,G2,修正!C57:C68)</f>
        <v>0.3</v>
      </c>
      <c r="G38" s="171">
        <f>ROUND(IF(E2="工业",C38*$M$42,C38*$M$41),0)</f>
        <v>144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917"/>
      <c r="B39" s="2041" t="s">
        <v>3263</v>
      </c>
      <c r="C39" s="175">
        <f>ROUND(D5*C22*C23*C24*C28*F39,0)</f>
        <v>801</v>
      </c>
      <c r="D39" s="2098"/>
      <c r="E39" s="171">
        <f t="shared" si="4"/>
        <v>0</v>
      </c>
      <c r="F39" s="171">
        <f>SUMIF(修正!A57:A68,G2,修正!D57:D68)</f>
        <v>0.25</v>
      </c>
      <c r="G39" s="171">
        <f>ROUND(IF(E2="工业",C39*$M$42,C39*$M$41),0)</f>
        <v>120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801</v>
      </c>
      <c r="D40" s="2098"/>
      <c r="E40" s="171">
        <f t="shared" si="4"/>
        <v>0</v>
      </c>
      <c r="F40" s="175">
        <f>SUMIF(修正!A57:A68,G2,修正!E57:E68)</f>
        <v>0.25</v>
      </c>
      <c r="G40" s="171">
        <f>ROUND(IF(E2="工业",C40*$M$42,C40*$M$41),0)</f>
        <v>120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1.0138</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3451" t="s">
        <v>3428</v>
      </c>
      <c r="D83" s="1065">
        <f t="shared" ref="D83:D90" si="22">SUMIF($J$82:$N$82,C83,J83:N83)</f>
        <v>6.4999999999999997E-3</v>
      </c>
      <c r="E83" s="744">
        <f>ROUND(SUM(D83:D90),4)</f>
        <v>1.38E-2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3451" t="s">
        <v>3429</v>
      </c>
      <c r="D84" s="1065">
        <f t="shared" si="22"/>
        <v>0</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3274</v>
      </c>
      <c r="B85" s="2134">
        <f>估价对象房地状况!G17</f>
        <v>0</v>
      </c>
      <c r="C85" s="3451" t="s">
        <v>3428</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3451" t="s">
        <v>3430</v>
      </c>
      <c r="D86" s="1065">
        <f t="shared" si="22"/>
        <v>-1.1999999999999999E-3</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3451" t="s">
        <v>3430</v>
      </c>
      <c r="D87" s="1065">
        <f t="shared" si="22"/>
        <v>-1.5E-3</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3451" t="s">
        <v>3431</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3451" t="s">
        <v>3428</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3451" t="s">
        <v>3429</v>
      </c>
      <c r="D90" s="1065">
        <f t="shared" si="22"/>
        <v>0</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914" t="s">
        <v>3298</v>
      </c>
      <c r="B103" s="3914"/>
      <c r="C103" s="3914"/>
      <c r="D103" s="3914"/>
      <c r="E103" s="3914"/>
      <c r="F103" s="3914"/>
      <c r="G103" s="3914"/>
      <c r="H103" s="3914"/>
      <c r="I103" s="3914"/>
      <c r="J103" s="3914"/>
      <c r="K103" s="3390"/>
      <c r="L103" s="3390"/>
      <c r="M103" s="3390"/>
      <c r="N103" s="3390"/>
    </row>
    <row r="104" spans="1:14">
      <c r="A104" s="3915" t="s">
        <v>3299</v>
      </c>
      <c r="B104" s="3915" t="s">
        <v>3300</v>
      </c>
      <c r="C104" s="3391" t="s">
        <v>3301</v>
      </c>
      <c r="D104" s="3392"/>
      <c r="E104" s="3392"/>
      <c r="F104" s="3392"/>
      <c r="G104" s="3392"/>
      <c r="H104" s="3392"/>
      <c r="I104" s="3392"/>
      <c r="J104" s="3393"/>
      <c r="K104" s="3394"/>
      <c r="L104" s="3394"/>
      <c r="M104" s="3394"/>
      <c r="N104" s="3394"/>
    </row>
    <row r="105" spans="1:14">
      <c r="A105" s="3915"/>
      <c r="B105" s="3915"/>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901"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90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90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90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90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902"/>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90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904" t="s">
        <v>3315</v>
      </c>
      <c r="B113" s="3904"/>
      <c r="C113" s="3904"/>
      <c r="D113" s="3904"/>
      <c r="E113" s="3904"/>
      <c r="F113" s="3904"/>
      <c r="G113" s="3904"/>
      <c r="H113" s="3904"/>
      <c r="I113" s="3904"/>
      <c r="J113" s="390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v>
      </c>
      <c r="C116" s="3400" t="s">
        <v>3317</v>
      </c>
      <c r="D116" s="3401">
        <f>SUMPRODUCT((A118:A122=F116)*(B117:M117=H116)*B118:M122)</f>
        <v>0.64319999999999999</v>
      </c>
      <c r="E116" s="2000" t="s">
        <v>3318</v>
      </c>
      <c r="F116" s="3402" t="str">
        <f>E2</f>
        <v>工业</v>
      </c>
      <c r="G116" s="2000" t="s">
        <v>3319</v>
      </c>
      <c r="H116" s="3402" t="str">
        <f>G2</f>
        <v>六级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3333</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3334</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927" t="s">
        <v>2611</v>
      </c>
      <c r="B20" s="3920" t="s">
        <v>2632</v>
      </c>
      <c r="C20" s="3103" t="s">
        <v>2443</v>
      </c>
      <c r="D20" s="3104"/>
      <c r="E20" s="3105">
        <v>1</v>
      </c>
      <c r="F20" s="3106" t="s">
        <v>2444</v>
      </c>
      <c r="G20" s="3106"/>
    </row>
    <row r="21" spans="1:13" ht="19.5" customHeight="1">
      <c r="A21" s="3928"/>
      <c r="B21" s="3921"/>
      <c r="C21" s="3107" t="s">
        <v>2445</v>
      </c>
      <c r="D21" s="3108"/>
      <c r="E21" s="3109">
        <v>1</v>
      </c>
      <c r="F21" s="3106" t="s">
        <v>2446</v>
      </c>
      <c r="G21" s="3106"/>
    </row>
    <row r="22" spans="1:13" ht="19.5" customHeight="1">
      <c r="A22" s="3928"/>
      <c r="B22" s="3921"/>
      <c r="C22" s="3107" t="s">
        <v>2447</v>
      </c>
      <c r="D22" s="3108"/>
      <c r="E22" s="3109">
        <v>0.9</v>
      </c>
      <c r="F22" s="3106" t="s">
        <v>2448</v>
      </c>
      <c r="G22" s="3106"/>
    </row>
    <row r="23" spans="1:13" ht="19.5" customHeight="1">
      <c r="A23" s="3928"/>
      <c r="B23" s="3921"/>
      <c r="C23" s="3107" t="s">
        <v>2449</v>
      </c>
      <c r="D23" s="3108"/>
      <c r="E23" s="3109">
        <v>0.9</v>
      </c>
      <c r="F23" s="3106" t="s">
        <v>2450</v>
      </c>
      <c r="G23" s="3106"/>
    </row>
    <row r="24" spans="1:13" ht="19.5" customHeight="1">
      <c r="A24" s="3928"/>
      <c r="B24" s="3921"/>
      <c r="C24" s="3107" t="s">
        <v>2451</v>
      </c>
      <c r="D24" s="3108"/>
      <c r="E24" s="3109">
        <v>0.8</v>
      </c>
      <c r="F24" s="3106" t="s">
        <v>2452</v>
      </c>
      <c r="G24" s="3106"/>
    </row>
    <row r="25" spans="1:13" ht="19.5" customHeight="1" thickBot="1">
      <c r="A25" s="3929"/>
      <c r="B25" s="392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923" t="s">
        <v>2635</v>
      </c>
      <c r="B27" s="3920" t="s">
        <v>2616</v>
      </c>
      <c r="C27" s="3103" t="s">
        <v>2456</v>
      </c>
      <c r="D27" s="3104"/>
      <c r="E27" s="3105">
        <v>1</v>
      </c>
      <c r="F27" s="3106" t="s">
        <v>2457</v>
      </c>
      <c r="G27" s="3106"/>
    </row>
    <row r="28" spans="1:13" ht="19.5" customHeight="1">
      <c r="A28" s="3924"/>
      <c r="B28" s="3921"/>
      <c r="C28" s="3107" t="s">
        <v>2458</v>
      </c>
      <c r="D28" s="3108"/>
      <c r="E28" s="3109">
        <v>1</v>
      </c>
      <c r="F28" s="3106" t="s">
        <v>2459</v>
      </c>
      <c r="G28" s="3106"/>
    </row>
    <row r="29" spans="1:13" ht="19.5" customHeight="1">
      <c r="A29" s="3924"/>
      <c r="B29" s="3921"/>
      <c r="C29" s="3107" t="s">
        <v>2460</v>
      </c>
      <c r="D29" s="3108"/>
      <c r="E29" s="3109">
        <v>0.8</v>
      </c>
      <c r="F29" s="3106" t="s">
        <v>2461</v>
      </c>
      <c r="G29" s="3106"/>
    </row>
    <row r="30" spans="1:13" ht="19.5" customHeight="1">
      <c r="A30" s="3924"/>
      <c r="B30" s="3921"/>
      <c r="C30" s="3107" t="s">
        <v>2462</v>
      </c>
      <c r="D30" s="3108"/>
      <c r="E30" s="3109">
        <v>0.8</v>
      </c>
      <c r="F30" s="3106" t="s">
        <v>2463</v>
      </c>
      <c r="G30" s="3106"/>
    </row>
    <row r="31" spans="1:13" ht="19.5" customHeight="1">
      <c r="A31" s="3924"/>
      <c r="B31" s="3921"/>
      <c r="C31" s="3107" t="s">
        <v>2464</v>
      </c>
      <c r="D31" s="3108"/>
      <c r="E31" s="3109">
        <v>0.8</v>
      </c>
      <c r="F31" s="3106" t="s">
        <v>2465</v>
      </c>
      <c r="G31" s="3106"/>
    </row>
    <row r="32" spans="1:13" ht="19.5" customHeight="1">
      <c r="A32" s="3924"/>
      <c r="B32" s="3921"/>
      <c r="C32" s="3107" t="s">
        <v>2466</v>
      </c>
      <c r="D32" s="3108"/>
      <c r="E32" s="3109">
        <v>0.7</v>
      </c>
      <c r="F32" s="3106" t="s">
        <v>2467</v>
      </c>
      <c r="G32" s="3106"/>
    </row>
    <row r="33" spans="1:7" ht="19.5" customHeight="1">
      <c r="A33" s="3924"/>
      <c r="B33" s="3921"/>
      <c r="C33" s="3107" t="s">
        <v>2468</v>
      </c>
      <c r="D33" s="3108"/>
      <c r="E33" s="3109">
        <v>0.8</v>
      </c>
      <c r="F33" s="3106" t="s">
        <v>2469</v>
      </c>
      <c r="G33" s="3106"/>
    </row>
    <row r="34" spans="1:7" ht="19.5" customHeight="1">
      <c r="A34" s="3924"/>
      <c r="B34" s="3921"/>
      <c r="C34" s="3107" t="s">
        <v>2470</v>
      </c>
      <c r="D34" s="3108"/>
      <c r="E34" s="3109">
        <v>0.6</v>
      </c>
      <c r="F34" s="3106" t="s">
        <v>2471</v>
      </c>
      <c r="G34" s="3106"/>
    </row>
    <row r="35" spans="1:7" ht="19.5" customHeight="1">
      <c r="A35" s="3924"/>
      <c r="B35" s="3921"/>
      <c r="C35" s="3107" t="s">
        <v>2472</v>
      </c>
      <c r="D35" s="3108"/>
      <c r="E35" s="3109">
        <v>0.2</v>
      </c>
      <c r="F35" s="3106" t="s">
        <v>2473</v>
      </c>
      <c r="G35" s="3106"/>
    </row>
    <row r="36" spans="1:7" ht="19.5" customHeight="1">
      <c r="A36" s="3924"/>
      <c r="B36" s="3921"/>
      <c r="C36" s="3107" t="s">
        <v>2474</v>
      </c>
      <c r="D36" s="3108"/>
      <c r="E36" s="3109">
        <v>0.2</v>
      </c>
      <c r="F36" s="3106" t="s">
        <v>2475</v>
      </c>
      <c r="G36" s="3106"/>
    </row>
    <row r="37" spans="1:7" ht="19.5" customHeight="1">
      <c r="A37" s="3924"/>
      <c r="B37" s="3926" t="s">
        <v>2636</v>
      </c>
      <c r="C37" s="3107" t="s">
        <v>2476</v>
      </c>
      <c r="D37" s="3108"/>
      <c r="E37" s="3109">
        <v>0.6</v>
      </c>
      <c r="F37" s="3106" t="s">
        <v>2477</v>
      </c>
      <c r="G37" s="3106"/>
    </row>
    <row r="38" spans="1:7" ht="19.5" customHeight="1">
      <c r="A38" s="3924"/>
      <c r="B38" s="3921"/>
      <c r="C38" s="3107" t="s">
        <v>2478</v>
      </c>
      <c r="D38" s="3108"/>
      <c r="E38" s="3109">
        <v>0.6</v>
      </c>
      <c r="F38" s="3106" t="s">
        <v>2479</v>
      </c>
      <c r="G38" s="3106"/>
    </row>
    <row r="39" spans="1:7" ht="19.5" customHeight="1" thickBot="1">
      <c r="A39" s="3925"/>
      <c r="B39" s="392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927" t="s">
        <v>2614</v>
      </c>
      <c r="B41" s="3920" t="s">
        <v>2638</v>
      </c>
      <c r="C41" s="3103" t="s">
        <v>2483</v>
      </c>
      <c r="D41" s="3104"/>
      <c r="E41" s="3105">
        <v>1</v>
      </c>
      <c r="F41" s="3106" t="s">
        <v>2484</v>
      </c>
      <c r="G41" s="3106"/>
    </row>
    <row r="42" spans="1:7" ht="19.5" customHeight="1">
      <c r="A42" s="3928"/>
      <c r="B42" s="3921"/>
      <c r="C42" s="3107" t="s">
        <v>2485</v>
      </c>
      <c r="D42" s="3108"/>
      <c r="E42" s="3109">
        <v>1</v>
      </c>
      <c r="F42" s="3106" t="s">
        <v>2486</v>
      </c>
      <c r="G42" s="3106"/>
    </row>
    <row r="43" spans="1:7" ht="19.5" customHeight="1">
      <c r="A43" s="3928"/>
      <c r="B43" s="3930"/>
      <c r="C43" s="3107" t="s">
        <v>2487</v>
      </c>
      <c r="D43" s="3108"/>
      <c r="E43" s="3109">
        <v>1.5</v>
      </c>
      <c r="F43" s="3106" t="s">
        <v>2488</v>
      </c>
      <c r="G43" s="3106"/>
    </row>
    <row r="44" spans="1:7" ht="19.5" customHeight="1">
      <c r="A44" s="3928"/>
      <c r="B44" s="3118" t="s">
        <v>2639</v>
      </c>
      <c r="C44" s="3107" t="s">
        <v>2640</v>
      </c>
      <c r="D44" s="3108"/>
      <c r="E44" s="3109">
        <v>2</v>
      </c>
      <c r="F44" s="3106" t="s">
        <v>2489</v>
      </c>
      <c r="G44" s="3106"/>
    </row>
    <row r="45" spans="1:7" ht="19.5" customHeight="1">
      <c r="A45" s="3928"/>
      <c r="B45" s="3926" t="s">
        <v>2641</v>
      </c>
      <c r="C45" s="3107" t="s">
        <v>2490</v>
      </c>
      <c r="D45" s="3108"/>
      <c r="E45" s="3109">
        <v>1</v>
      </c>
      <c r="F45" s="3106" t="s">
        <v>2491</v>
      </c>
      <c r="G45" s="3106"/>
    </row>
    <row r="46" spans="1:7" ht="19.5" customHeight="1">
      <c r="A46" s="3928"/>
      <c r="B46" s="3921"/>
      <c r="C46" s="3107" t="s">
        <v>2492</v>
      </c>
      <c r="D46" s="3108"/>
      <c r="E46" s="3109">
        <v>1</v>
      </c>
      <c r="F46" s="3106" t="s">
        <v>2493</v>
      </c>
      <c r="G46" s="3106"/>
    </row>
    <row r="47" spans="1:7" ht="19.5" customHeight="1">
      <c r="A47" s="3928"/>
      <c r="B47" s="3921"/>
      <c r="C47" s="3107" t="s">
        <v>2494</v>
      </c>
      <c r="D47" s="3108"/>
      <c r="E47" s="3109">
        <v>1</v>
      </c>
      <c r="F47" s="3106" t="s">
        <v>2495</v>
      </c>
      <c r="G47" s="3106"/>
    </row>
    <row r="48" spans="1:7" ht="19.5" customHeight="1">
      <c r="A48" s="3928"/>
      <c r="B48" s="3921"/>
      <c r="C48" s="3107" t="s">
        <v>2496</v>
      </c>
      <c r="D48" s="3108"/>
      <c r="E48" s="3109">
        <v>1</v>
      </c>
      <c r="F48" s="3106" t="s">
        <v>2497</v>
      </c>
      <c r="G48" s="3106"/>
    </row>
    <row r="49" spans="1:7" ht="19.5" customHeight="1">
      <c r="A49" s="3928"/>
      <c r="B49" s="3921"/>
      <c r="C49" s="3107" t="s">
        <v>2498</v>
      </c>
      <c r="D49" s="3108"/>
      <c r="E49" s="3109">
        <v>1</v>
      </c>
      <c r="F49" s="3106" t="s">
        <v>2499</v>
      </c>
      <c r="G49" s="3106"/>
    </row>
    <row r="50" spans="1:7" ht="19.5" customHeight="1">
      <c r="A50" s="3928"/>
      <c r="B50" s="3921"/>
      <c r="C50" s="3107" t="s">
        <v>2500</v>
      </c>
      <c r="D50" s="3108"/>
      <c r="E50" s="3109">
        <v>1</v>
      </c>
      <c r="F50" s="3106" t="s">
        <v>2501</v>
      </c>
      <c r="G50" s="3106"/>
    </row>
    <row r="51" spans="1:7" ht="19.5" customHeight="1" thickBot="1">
      <c r="A51" s="3929"/>
      <c r="B51" s="392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926" t="s">
        <v>2655</v>
      </c>
      <c r="C73" s="3092" t="s">
        <v>2656</v>
      </c>
      <c r="D73" s="3092" t="s">
        <v>2657</v>
      </c>
      <c r="E73" s="3118">
        <v>0.2</v>
      </c>
      <c r="F73" s="3118">
        <v>25</v>
      </c>
    </row>
    <row r="74" spans="1:7" ht="24">
      <c r="A74" s="3118">
        <v>2</v>
      </c>
      <c r="B74" s="3921"/>
      <c r="C74" s="3092" t="s">
        <v>2658</v>
      </c>
      <c r="D74" s="3092" t="s">
        <v>2659</v>
      </c>
      <c r="E74" s="3118">
        <v>0.2</v>
      </c>
      <c r="F74" s="3118">
        <v>25</v>
      </c>
    </row>
    <row r="75" spans="1:7" ht="24">
      <c r="A75" s="3118">
        <v>3</v>
      </c>
      <c r="B75" s="3921"/>
      <c r="C75" s="3092" t="s">
        <v>2660</v>
      </c>
      <c r="D75" s="3092" t="s">
        <v>2661</v>
      </c>
      <c r="E75" s="3118">
        <v>0.2</v>
      </c>
      <c r="F75" s="3118">
        <v>25</v>
      </c>
    </row>
    <row r="76" spans="1:7" ht="13.5">
      <c r="A76" s="3118">
        <v>4</v>
      </c>
      <c r="B76" s="3921"/>
      <c r="C76" s="3092" t="s">
        <v>2662</v>
      </c>
      <c r="D76" s="3092" t="s">
        <v>2663</v>
      </c>
      <c r="E76" s="3118">
        <v>0.15</v>
      </c>
      <c r="F76" s="3118">
        <v>20</v>
      </c>
    </row>
    <row r="77" spans="1:7" ht="24">
      <c r="A77" s="3118">
        <v>5</v>
      </c>
      <c r="B77" s="3921"/>
      <c r="C77" s="3092" t="s">
        <v>2664</v>
      </c>
      <c r="D77" s="3092" t="s">
        <v>2665</v>
      </c>
      <c r="E77" s="3118">
        <v>0.15</v>
      </c>
      <c r="F77" s="3118">
        <v>20</v>
      </c>
    </row>
    <row r="78" spans="1:7" ht="24">
      <c r="A78" s="3118">
        <v>6</v>
      </c>
      <c r="B78" s="3921"/>
      <c r="C78" s="3092" t="s">
        <v>2666</v>
      </c>
      <c r="D78" s="3092" t="s">
        <v>2667</v>
      </c>
      <c r="E78" s="3118">
        <v>0.15</v>
      </c>
      <c r="F78" s="3118">
        <v>20</v>
      </c>
    </row>
    <row r="79" spans="1:7" ht="24">
      <c r="A79" s="3118">
        <v>7</v>
      </c>
      <c r="B79" s="3921"/>
      <c r="C79" s="3092" t="s">
        <v>2668</v>
      </c>
      <c r="D79" s="3092" t="s">
        <v>2669</v>
      </c>
      <c r="E79" s="3118">
        <v>0.15</v>
      </c>
      <c r="F79" s="3118">
        <v>20</v>
      </c>
    </row>
    <row r="80" spans="1:7" ht="24">
      <c r="A80" s="3118">
        <v>8</v>
      </c>
      <c r="B80" s="3921"/>
      <c r="C80" s="3092" t="s">
        <v>2670</v>
      </c>
      <c r="D80" s="3092" t="s">
        <v>2671</v>
      </c>
      <c r="E80" s="3118">
        <v>0.1</v>
      </c>
      <c r="F80" s="3118">
        <v>15</v>
      </c>
    </row>
    <row r="81" spans="1:6" ht="24">
      <c r="A81" s="3118">
        <v>9</v>
      </c>
      <c r="B81" s="3921"/>
      <c r="C81" s="3092" t="s">
        <v>2672</v>
      </c>
      <c r="D81" s="3092" t="s">
        <v>2673</v>
      </c>
      <c r="E81" s="3118">
        <v>0.1</v>
      </c>
      <c r="F81" s="3118">
        <v>15</v>
      </c>
    </row>
    <row r="82" spans="1:6" ht="24">
      <c r="A82" s="3118">
        <v>10</v>
      </c>
      <c r="B82" s="3921"/>
      <c r="C82" s="3092" t="s">
        <v>2674</v>
      </c>
      <c r="D82" s="3092" t="s">
        <v>2675</v>
      </c>
      <c r="E82" s="3118">
        <v>0.1</v>
      </c>
      <c r="F82" s="3118">
        <v>15</v>
      </c>
    </row>
    <row r="83" spans="1:6" ht="24">
      <c r="A83" s="3118">
        <v>11</v>
      </c>
      <c r="B83" s="3921"/>
      <c r="C83" s="3092" t="s">
        <v>2676</v>
      </c>
      <c r="D83" s="3092" t="s">
        <v>2677</v>
      </c>
      <c r="E83" s="3118">
        <v>0.1</v>
      </c>
      <c r="F83" s="3118">
        <v>15</v>
      </c>
    </row>
    <row r="84" spans="1:6" ht="24">
      <c r="A84" s="3118">
        <v>12</v>
      </c>
      <c r="B84" s="3921"/>
      <c r="C84" s="3092" t="s">
        <v>2678</v>
      </c>
      <c r="D84" s="3092" t="s">
        <v>2679</v>
      </c>
      <c r="E84" s="3118">
        <v>0.1</v>
      </c>
      <c r="F84" s="3118">
        <v>15</v>
      </c>
    </row>
    <row r="85" spans="1:6" ht="13.5">
      <c r="A85" s="3118">
        <v>13</v>
      </c>
      <c r="B85" s="3921"/>
      <c r="C85" s="3092" t="s">
        <v>2680</v>
      </c>
      <c r="D85" s="3092" t="s">
        <v>2681</v>
      </c>
      <c r="E85" s="3118">
        <v>0.1</v>
      </c>
      <c r="F85" s="3118">
        <v>15</v>
      </c>
    </row>
    <row r="86" spans="1:6" ht="13.5">
      <c r="A86" s="3118">
        <v>14</v>
      </c>
      <c r="B86" s="3921"/>
      <c r="C86" s="3092" t="s">
        <v>2682</v>
      </c>
      <c r="D86" s="3092" t="s">
        <v>2683</v>
      </c>
      <c r="E86" s="3118">
        <v>0.1</v>
      </c>
      <c r="F86" s="3118">
        <v>15</v>
      </c>
    </row>
    <row r="87" spans="1:6" ht="13.5">
      <c r="A87" s="3118">
        <v>15</v>
      </c>
      <c r="B87" s="3921"/>
      <c r="C87" s="3092" t="s">
        <v>2684</v>
      </c>
      <c r="D87" s="3092" t="s">
        <v>2685</v>
      </c>
      <c r="E87" s="3118">
        <v>0.1</v>
      </c>
      <c r="F87" s="3118">
        <v>15</v>
      </c>
    </row>
    <row r="88" spans="1:6" ht="24">
      <c r="A88" s="3118">
        <v>16</v>
      </c>
      <c r="B88" s="3921"/>
      <c r="C88" s="3092" t="s">
        <v>2686</v>
      </c>
      <c r="D88" s="3092" t="s">
        <v>2687</v>
      </c>
      <c r="E88" s="3118">
        <v>0.1</v>
      </c>
      <c r="F88" s="3118">
        <v>15</v>
      </c>
    </row>
    <row r="89" spans="1:6" ht="24">
      <c r="A89" s="3118">
        <v>17</v>
      </c>
      <c r="B89" s="3930"/>
      <c r="C89" s="3092" t="s">
        <v>2688</v>
      </c>
      <c r="D89" s="3092" t="s">
        <v>2689</v>
      </c>
      <c r="E89" s="3118">
        <v>0.1</v>
      </c>
      <c r="F89" s="3118">
        <v>15</v>
      </c>
    </row>
    <row r="90" spans="1:6" ht="13.5">
      <c r="A90" s="3118">
        <v>18</v>
      </c>
      <c r="B90" s="3926" t="s">
        <v>2690</v>
      </c>
      <c r="C90" s="3092" t="s">
        <v>2691</v>
      </c>
      <c r="D90" s="3092" t="s">
        <v>2692</v>
      </c>
      <c r="E90" s="3118">
        <v>0.2</v>
      </c>
      <c r="F90" s="3118">
        <v>25</v>
      </c>
    </row>
    <row r="91" spans="1:6" ht="24">
      <c r="A91" s="3118">
        <v>19</v>
      </c>
      <c r="B91" s="3921"/>
      <c r="C91" s="3092" t="s">
        <v>2693</v>
      </c>
      <c r="D91" s="3092" t="s">
        <v>2694</v>
      </c>
      <c r="E91" s="3118">
        <v>0.2</v>
      </c>
      <c r="F91" s="3118">
        <v>25</v>
      </c>
    </row>
    <row r="92" spans="1:6" ht="13.5">
      <c r="A92" s="3118">
        <v>20</v>
      </c>
      <c r="B92" s="3921"/>
      <c r="C92" s="3092" t="s">
        <v>2695</v>
      </c>
      <c r="D92" s="3092" t="s">
        <v>2696</v>
      </c>
      <c r="E92" s="3118">
        <v>0.15</v>
      </c>
      <c r="F92" s="3118">
        <v>20</v>
      </c>
    </row>
    <row r="93" spans="1:6" ht="13.5">
      <c r="A93" s="3118">
        <v>21</v>
      </c>
      <c r="B93" s="3921"/>
      <c r="C93" s="3092" t="s">
        <v>2697</v>
      </c>
      <c r="D93" s="3092" t="s">
        <v>2698</v>
      </c>
      <c r="E93" s="3118">
        <v>0.15</v>
      </c>
      <c r="F93" s="3118">
        <v>20</v>
      </c>
    </row>
    <row r="94" spans="1:6" ht="13.5">
      <c r="A94" s="3118">
        <v>22</v>
      </c>
      <c r="B94" s="3921"/>
      <c r="C94" s="3092" t="s">
        <v>2699</v>
      </c>
      <c r="D94" s="3092" t="s">
        <v>2700</v>
      </c>
      <c r="E94" s="3118">
        <v>0.15</v>
      </c>
      <c r="F94" s="3118">
        <v>20</v>
      </c>
    </row>
    <row r="95" spans="1:6" ht="36">
      <c r="A95" s="3118">
        <v>23</v>
      </c>
      <c r="B95" s="3921"/>
      <c r="C95" s="3092" t="s">
        <v>2701</v>
      </c>
      <c r="D95" s="3092" t="s">
        <v>2702</v>
      </c>
      <c r="E95" s="3118">
        <v>0.15</v>
      </c>
      <c r="F95" s="3118">
        <v>20</v>
      </c>
    </row>
    <row r="96" spans="1:6" ht="13.5">
      <c r="A96" s="3118">
        <v>24</v>
      </c>
      <c r="B96" s="3921"/>
      <c r="C96" s="3092" t="s">
        <v>2703</v>
      </c>
      <c r="D96" s="3092" t="s">
        <v>2704</v>
      </c>
      <c r="E96" s="3118">
        <v>0.1</v>
      </c>
      <c r="F96" s="3118">
        <v>15</v>
      </c>
    </row>
    <row r="97" spans="1:6" ht="13.5">
      <c r="A97" s="3118">
        <v>25</v>
      </c>
      <c r="B97" s="3921"/>
      <c r="C97" s="3092" t="s">
        <v>2705</v>
      </c>
      <c r="D97" s="3092" t="s">
        <v>2706</v>
      </c>
      <c r="E97" s="3118">
        <v>0.1</v>
      </c>
      <c r="F97" s="3118">
        <v>15</v>
      </c>
    </row>
    <row r="98" spans="1:6" ht="24">
      <c r="A98" s="3118">
        <v>26</v>
      </c>
      <c r="B98" s="3921"/>
      <c r="C98" s="3092" t="s">
        <v>2707</v>
      </c>
      <c r="D98" s="3092" t="s">
        <v>2708</v>
      </c>
      <c r="E98" s="3118">
        <v>0.1</v>
      </c>
      <c r="F98" s="3118">
        <v>15</v>
      </c>
    </row>
    <row r="99" spans="1:6" ht="24">
      <c r="A99" s="3118">
        <v>27</v>
      </c>
      <c r="B99" s="3921"/>
      <c r="C99" s="3092" t="s">
        <v>2709</v>
      </c>
      <c r="D99" s="3092" t="s">
        <v>2710</v>
      </c>
      <c r="E99" s="3118">
        <v>0.1</v>
      </c>
      <c r="F99" s="3118">
        <v>15</v>
      </c>
    </row>
    <row r="100" spans="1:6" ht="13.5">
      <c r="A100" s="3118">
        <v>28</v>
      </c>
      <c r="B100" s="3921"/>
      <c r="C100" s="3092" t="s">
        <v>2711</v>
      </c>
      <c r="D100" s="3092" t="s">
        <v>2712</v>
      </c>
      <c r="E100" s="3118">
        <v>0.1</v>
      </c>
      <c r="F100" s="3118">
        <v>15</v>
      </c>
    </row>
    <row r="101" spans="1:6" ht="13.5">
      <c r="A101" s="3118">
        <v>29</v>
      </c>
      <c r="B101" s="3921"/>
      <c r="C101" s="3092" t="s">
        <v>2713</v>
      </c>
      <c r="D101" s="3092" t="s">
        <v>2714</v>
      </c>
      <c r="E101" s="3118">
        <v>0.1</v>
      </c>
      <c r="F101" s="3118">
        <v>15</v>
      </c>
    </row>
    <row r="102" spans="1:6" ht="13.5">
      <c r="A102" s="3118">
        <v>30</v>
      </c>
      <c r="B102" s="3921"/>
      <c r="C102" s="3092" t="s">
        <v>2715</v>
      </c>
      <c r="D102" s="3092" t="s">
        <v>2716</v>
      </c>
      <c r="E102" s="3118">
        <v>0.1</v>
      </c>
      <c r="F102" s="3118">
        <v>15</v>
      </c>
    </row>
    <row r="103" spans="1:6" ht="24">
      <c r="A103" s="3118">
        <v>31</v>
      </c>
      <c r="B103" s="3921"/>
      <c r="C103" s="3092" t="s">
        <v>2717</v>
      </c>
      <c r="D103" s="3092" t="s">
        <v>2718</v>
      </c>
      <c r="E103" s="3118">
        <v>0.1</v>
      </c>
      <c r="F103" s="3118">
        <v>15</v>
      </c>
    </row>
    <row r="104" spans="1:6" ht="24">
      <c r="A104" s="3118">
        <v>32</v>
      </c>
      <c r="B104" s="3921"/>
      <c r="C104" s="3092" t="s">
        <v>2719</v>
      </c>
      <c r="D104" s="3092" t="s">
        <v>2720</v>
      </c>
      <c r="E104" s="3118">
        <v>0.1</v>
      </c>
      <c r="F104" s="3118">
        <v>15</v>
      </c>
    </row>
    <row r="105" spans="1:6" ht="24">
      <c r="A105" s="3118">
        <v>33</v>
      </c>
      <c r="B105" s="3921"/>
      <c r="C105" s="3092" t="s">
        <v>2721</v>
      </c>
      <c r="D105" s="3092" t="s">
        <v>2722</v>
      </c>
      <c r="E105" s="3118">
        <v>0.1</v>
      </c>
      <c r="F105" s="3118">
        <v>15</v>
      </c>
    </row>
    <row r="106" spans="1:6" ht="24">
      <c r="A106" s="3118">
        <v>34</v>
      </c>
      <c r="B106" s="3930"/>
      <c r="C106" s="3092" t="s">
        <v>2723</v>
      </c>
      <c r="D106" s="3092" t="s">
        <v>2724</v>
      </c>
      <c r="E106" s="3118">
        <v>0.1</v>
      </c>
      <c r="F106" s="3118">
        <v>15</v>
      </c>
    </row>
    <row r="107" spans="1:6" ht="24">
      <c r="A107" s="3118">
        <v>35</v>
      </c>
      <c r="B107" s="3926" t="s">
        <v>2725</v>
      </c>
      <c r="C107" s="3118" t="s">
        <v>2726</v>
      </c>
      <c r="D107" s="3092" t="s">
        <v>2727</v>
      </c>
      <c r="E107" s="3118">
        <v>0.15</v>
      </c>
      <c r="F107" s="3118">
        <v>20</v>
      </c>
    </row>
    <row r="108" spans="1:6" ht="13.5">
      <c r="A108" s="3118">
        <v>36</v>
      </c>
      <c r="B108" s="3921"/>
      <c r="C108" s="3118" t="s">
        <v>2728</v>
      </c>
      <c r="D108" s="3092" t="s">
        <v>2729</v>
      </c>
      <c r="E108" s="3118">
        <v>0.15</v>
      </c>
      <c r="F108" s="3118">
        <v>20</v>
      </c>
    </row>
    <row r="109" spans="1:6" ht="13.5">
      <c r="A109" s="3118">
        <v>37</v>
      </c>
      <c r="B109" s="3921"/>
      <c r="C109" s="3118" t="s">
        <v>2730</v>
      </c>
      <c r="D109" s="3092" t="s">
        <v>2731</v>
      </c>
      <c r="E109" s="3118">
        <v>0.15</v>
      </c>
      <c r="F109" s="3118">
        <v>20</v>
      </c>
    </row>
    <row r="110" spans="1:6" ht="13.5">
      <c r="A110" s="3118">
        <v>38</v>
      </c>
      <c r="B110" s="3921"/>
      <c r="C110" s="3118" t="s">
        <v>2732</v>
      </c>
      <c r="D110" s="3092" t="s">
        <v>2733</v>
      </c>
      <c r="E110" s="3118">
        <v>0.1</v>
      </c>
      <c r="F110" s="3118">
        <v>15</v>
      </c>
    </row>
    <row r="111" spans="1:6" ht="24">
      <c r="A111" s="3118">
        <v>39</v>
      </c>
      <c r="B111" s="3921"/>
      <c r="C111" s="3118" t="s">
        <v>2734</v>
      </c>
      <c r="D111" s="3092" t="s">
        <v>2735</v>
      </c>
      <c r="E111" s="3118">
        <v>0.1</v>
      </c>
      <c r="F111" s="3118">
        <v>15</v>
      </c>
    </row>
    <row r="112" spans="1:6" ht="24">
      <c r="A112" s="3118">
        <v>40</v>
      </c>
      <c r="B112" s="3930"/>
      <c r="C112" s="3118" t="s">
        <v>2736</v>
      </c>
      <c r="D112" s="3092" t="s">
        <v>2737</v>
      </c>
      <c r="E112" s="3118">
        <v>0.1</v>
      </c>
      <c r="F112" s="3118">
        <v>15</v>
      </c>
    </row>
    <row r="113" spans="1:6" ht="13.5">
      <c r="A113" s="3118">
        <v>41</v>
      </c>
      <c r="B113" s="3931" t="s">
        <v>2738</v>
      </c>
      <c r="C113" s="3118" t="s">
        <v>2739</v>
      </c>
      <c r="D113" s="3092" t="s">
        <v>2740</v>
      </c>
      <c r="E113" s="3118">
        <v>0.1</v>
      </c>
      <c r="F113" s="3118">
        <v>15</v>
      </c>
    </row>
    <row r="114" spans="1:6" ht="13.5">
      <c r="A114" s="3118">
        <v>42</v>
      </c>
      <c r="B114" s="3931"/>
      <c r="C114" s="3118" t="s">
        <v>2741</v>
      </c>
      <c r="D114" s="3092" t="s">
        <v>2742</v>
      </c>
      <c r="E114" s="3118">
        <v>0.1</v>
      </c>
      <c r="F114" s="3118">
        <v>15</v>
      </c>
    </row>
    <row r="115" spans="1:6" ht="24">
      <c r="A115" s="3118">
        <v>43</v>
      </c>
      <c r="B115" s="3931"/>
      <c r="C115" s="3118" t="s">
        <v>2743</v>
      </c>
      <c r="D115" s="3092" t="s">
        <v>2744</v>
      </c>
      <c r="E115" s="3118">
        <v>0.1</v>
      </c>
      <c r="F115" s="3118">
        <v>15</v>
      </c>
    </row>
    <row r="116" spans="1:6" ht="13.5">
      <c r="A116" s="3118">
        <v>44</v>
      </c>
      <c r="B116" s="3926" t="s">
        <v>2745</v>
      </c>
      <c r="C116" s="3118" t="s">
        <v>2746</v>
      </c>
      <c r="D116" s="3092" t="s">
        <v>2747</v>
      </c>
      <c r="E116" s="3118">
        <v>0.1</v>
      </c>
      <c r="F116" s="3118">
        <v>15</v>
      </c>
    </row>
    <row r="117" spans="1:6" ht="24">
      <c r="A117" s="3118">
        <v>45</v>
      </c>
      <c r="B117" s="3930"/>
      <c r="C117" s="3092" t="s">
        <v>2748</v>
      </c>
      <c r="D117" s="3092" t="s">
        <v>2749</v>
      </c>
      <c r="E117" s="3118">
        <v>0.1</v>
      </c>
      <c r="F117" s="3118">
        <v>15</v>
      </c>
    </row>
    <row r="118" spans="1:6" ht="24">
      <c r="A118" s="3118">
        <v>46</v>
      </c>
      <c r="B118" s="3926" t="s">
        <v>2750</v>
      </c>
      <c r="C118" s="3118" t="s">
        <v>2751</v>
      </c>
      <c r="D118" s="3092" t="s">
        <v>2752</v>
      </c>
      <c r="E118" s="3118">
        <v>0.1</v>
      </c>
      <c r="F118" s="3118">
        <v>15</v>
      </c>
    </row>
    <row r="119" spans="1:6" ht="24">
      <c r="A119" s="3118">
        <v>47</v>
      </c>
      <c r="B119" s="3930"/>
      <c r="C119" s="3118" t="s">
        <v>2753</v>
      </c>
      <c r="D119" s="3092" t="s">
        <v>2754</v>
      </c>
      <c r="E119" s="3118">
        <v>0.1</v>
      </c>
      <c r="F119" s="3118">
        <v>15</v>
      </c>
    </row>
    <row r="120" spans="1:6" ht="13.5">
      <c r="A120" s="3118">
        <v>48</v>
      </c>
      <c r="B120" s="3926" t="s">
        <v>2755</v>
      </c>
      <c r="C120" s="3118" t="s">
        <v>2756</v>
      </c>
      <c r="D120" s="3092" t="s">
        <v>2757</v>
      </c>
      <c r="E120" s="3118">
        <v>0.1</v>
      </c>
      <c r="F120" s="3118">
        <v>15</v>
      </c>
    </row>
    <row r="121" spans="1:6" ht="13.5">
      <c r="A121" s="3118">
        <v>49</v>
      </c>
      <c r="B121" s="3930"/>
      <c r="C121" s="3118" t="s">
        <v>2758</v>
      </c>
      <c r="D121" s="3092" t="s">
        <v>2759</v>
      </c>
      <c r="E121" s="3118">
        <v>0.1</v>
      </c>
      <c r="F121" s="3118">
        <v>15</v>
      </c>
    </row>
    <row r="122" spans="1:6" ht="24">
      <c r="A122" s="3118">
        <v>50</v>
      </c>
      <c r="B122" s="3931" t="s">
        <v>2760</v>
      </c>
      <c r="C122" s="3118" t="s">
        <v>2761</v>
      </c>
      <c r="D122" s="3092" t="s">
        <v>2762</v>
      </c>
      <c r="E122" s="3118">
        <v>0.1</v>
      </c>
      <c r="F122" s="3118">
        <v>15</v>
      </c>
    </row>
    <row r="123" spans="1:6" ht="24">
      <c r="A123" s="3118">
        <v>51</v>
      </c>
      <c r="B123" s="3931"/>
      <c r="C123" s="3118" t="s">
        <v>2763</v>
      </c>
      <c r="D123" s="3092" t="s">
        <v>2764</v>
      </c>
      <c r="E123" s="3118">
        <v>0.1</v>
      </c>
      <c r="F123" s="3118">
        <v>15</v>
      </c>
    </row>
    <row r="124" spans="1:6" ht="24">
      <c r="A124" s="3118">
        <v>52</v>
      </c>
      <c r="B124" s="3931" t="s">
        <v>2765</v>
      </c>
      <c r="C124" s="3118" t="s">
        <v>2766</v>
      </c>
      <c r="D124" s="3092" t="s">
        <v>2767</v>
      </c>
      <c r="E124" s="3118">
        <v>0.1</v>
      </c>
      <c r="F124" s="3118">
        <v>15</v>
      </c>
    </row>
    <row r="125" spans="1:6" ht="24">
      <c r="A125" s="3118">
        <v>53</v>
      </c>
      <c r="B125" s="393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931" t="s">
        <v>2773</v>
      </c>
      <c r="C127" s="3118" t="s">
        <v>2774</v>
      </c>
      <c r="D127" s="3092" t="s">
        <v>2775</v>
      </c>
      <c r="E127" s="3118">
        <v>0.1</v>
      </c>
      <c r="F127" s="3118">
        <v>15</v>
      </c>
    </row>
    <row r="128" spans="1:6" ht="13.5">
      <c r="A128" s="3118">
        <v>56</v>
      </c>
      <c r="B128" s="3931"/>
      <c r="C128" s="3118" t="s">
        <v>2776</v>
      </c>
      <c r="D128" s="3092" t="s">
        <v>2777</v>
      </c>
      <c r="E128" s="3118">
        <v>0.1</v>
      </c>
      <c r="F128" s="3118">
        <v>15</v>
      </c>
    </row>
    <row r="129" spans="1:6" ht="24">
      <c r="A129" s="3118">
        <v>57</v>
      </c>
      <c r="B129" s="3931"/>
      <c r="C129" s="3118" t="s">
        <v>2778</v>
      </c>
      <c r="D129" s="3092" t="s">
        <v>2779</v>
      </c>
      <c r="E129" s="3118">
        <v>0.1</v>
      </c>
      <c r="F129" s="3118">
        <v>15</v>
      </c>
    </row>
    <row r="130" spans="1:6" ht="24">
      <c r="A130" s="3118">
        <v>58</v>
      </c>
      <c r="B130" s="3931" t="s">
        <v>2780</v>
      </c>
      <c r="C130" s="3118" t="s">
        <v>2781</v>
      </c>
      <c r="D130" s="3092" t="s">
        <v>2782</v>
      </c>
      <c r="E130" s="3118">
        <v>0.1</v>
      </c>
      <c r="F130" s="3118">
        <v>15</v>
      </c>
    </row>
    <row r="131" spans="1:6" ht="13.5">
      <c r="A131" s="3118">
        <v>59</v>
      </c>
      <c r="B131" s="3931"/>
      <c r="C131" s="3118" t="s">
        <v>2783</v>
      </c>
      <c r="D131" s="3092" t="s">
        <v>2784</v>
      </c>
      <c r="E131" s="3118">
        <v>0.1</v>
      </c>
      <c r="F131" s="3118">
        <v>15</v>
      </c>
    </row>
    <row r="132" spans="1:6" ht="13.5">
      <c r="A132" s="3118">
        <v>60</v>
      </c>
      <c r="B132" s="3926" t="s">
        <v>2785</v>
      </c>
      <c r="C132" s="3118" t="s">
        <v>2786</v>
      </c>
      <c r="D132" s="3092" t="s">
        <v>2787</v>
      </c>
      <c r="E132" s="3118">
        <v>0.1</v>
      </c>
      <c r="F132" s="3118">
        <v>15</v>
      </c>
    </row>
    <row r="133" spans="1:6" ht="13.5">
      <c r="A133" s="3118">
        <v>61</v>
      </c>
      <c r="B133" s="393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931" t="s">
        <v>2793</v>
      </c>
      <c r="C135" s="3118" t="s">
        <v>2794</v>
      </c>
      <c r="D135" s="3092" t="s">
        <v>2795</v>
      </c>
      <c r="E135" s="3118">
        <v>0.1</v>
      </c>
      <c r="F135" s="3118">
        <v>15</v>
      </c>
    </row>
    <row r="136" spans="1:6" ht="13.5">
      <c r="A136" s="3118">
        <v>64</v>
      </c>
      <c r="B136" s="393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59"/>
      <c r="C2" s="3559"/>
      <c r="D2" s="3559"/>
      <c r="E2" s="3559"/>
    </row>
    <row r="3" spans="1:5" ht="18">
      <c r="A3" s="3560" t="str">
        <f>IF(项目基本情况!B9="房地产市场价值","估价结果一览表（市场价值不需“结果表-1”）","估价结果一览表")</f>
        <v>估价结果一览表</v>
      </c>
      <c r="B3" s="3560"/>
      <c r="C3" s="3560"/>
      <c r="D3" s="3560"/>
      <c r="E3" s="3560"/>
    </row>
    <row r="4" spans="1:5" ht="19.5" thickBot="1">
      <c r="A4" s="1493"/>
      <c r="B4" s="3558" t="s">
        <v>917</v>
      </c>
      <c r="C4" s="3558"/>
      <c r="D4" s="3558"/>
      <c r="E4" s="1493"/>
    </row>
    <row r="5" spans="1:5" ht="16.5" thickTop="1">
      <c r="A5" s="1491"/>
      <c r="B5" s="3556" t="s">
        <v>909</v>
      </c>
      <c r="C5" s="1494" t="s">
        <v>910</v>
      </c>
      <c r="D5" s="850">
        <f ca="1">结果表!H101</f>
        <v>184177</v>
      </c>
      <c r="E5" s="1491"/>
    </row>
    <row r="6" spans="1:5" ht="15.75">
      <c r="A6" s="1491"/>
      <c r="B6" s="3556"/>
      <c r="C6" s="1494" t="s">
        <v>911</v>
      </c>
      <c r="D6" s="850" t="str">
        <f ca="1">NUMBERSTRING(INT(D5*10000),2)&amp;"元整"</f>
        <v>壹拾捌亿肆仟壹佰柒拾柒万元整</v>
      </c>
      <c r="E6" s="1491"/>
    </row>
    <row r="7" spans="1:5" ht="15.75">
      <c r="A7" s="1491"/>
      <c r="B7" s="3561"/>
      <c r="C7" s="1495" t="s">
        <v>912</v>
      </c>
      <c r="D7" s="851">
        <f ca="1">结果表!H102</f>
        <v>16141</v>
      </c>
      <c r="E7" s="1491"/>
    </row>
    <row r="8" spans="1:5" ht="15.75">
      <c r="A8" s="1491"/>
      <c r="B8" s="3562" t="str">
        <f>结果表!E103</f>
        <v>2.估价师知悉的法定优先受偿款</v>
      </c>
      <c r="C8" s="1496" t="s">
        <v>913</v>
      </c>
      <c r="D8" s="851">
        <f>结果表!H103</f>
        <v>0</v>
      </c>
      <c r="E8" s="1491"/>
    </row>
    <row r="9" spans="1:5" ht="15.75">
      <c r="A9" s="1491"/>
      <c r="B9" s="356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55" t="str">
        <f>结果表!E107</f>
        <v>3.房地产抵押价值</v>
      </c>
      <c r="C13" s="1499" t="s">
        <v>910</v>
      </c>
      <c r="D13" s="853">
        <f ca="1">结果表!H107</f>
        <v>184177</v>
      </c>
      <c r="E13" s="1491"/>
    </row>
    <row r="14" spans="1:5" ht="15.75">
      <c r="A14" s="1491"/>
      <c r="B14" s="3556"/>
      <c r="C14" s="1494" t="s">
        <v>911</v>
      </c>
      <c r="D14" s="850" t="str">
        <f ca="1">NUMBERSTRING(INT(D13*10000),2)&amp;"元整"</f>
        <v>壹拾捌亿肆仟壹佰柒拾柒万元整</v>
      </c>
      <c r="E14" s="1491"/>
    </row>
    <row r="15" spans="1:5" ht="15">
      <c r="A15" s="1491"/>
      <c r="B15" s="3561"/>
      <c r="C15" s="1495" t="s">
        <v>921</v>
      </c>
      <c r="D15" s="859">
        <f ca="1">结果表!H108</f>
        <v>16141</v>
      </c>
      <c r="E15" s="1491"/>
    </row>
    <row r="16" spans="1:5" ht="15">
      <c r="A16" s="1491"/>
      <c r="B16" s="3562" t="str">
        <f>结果表!E109</f>
        <v>——</v>
      </c>
      <c r="C16" s="1499" t="s">
        <v>922</v>
      </c>
      <c r="D16" s="1500" t="str">
        <f>结果表!H109</f>
        <v>——</v>
      </c>
      <c r="E16" s="1491"/>
    </row>
    <row r="17" spans="1:5" ht="15.75">
      <c r="A17" s="1491"/>
      <c r="B17" s="3563"/>
      <c r="C17" s="1494" t="s">
        <v>923</v>
      </c>
      <c r="D17" s="850" t="e">
        <f>NUMBERSTRING(INT(D16*10000),2)&amp;"元整"</f>
        <v>#VALUE!</v>
      </c>
      <c r="E17" s="1491"/>
    </row>
    <row r="18" spans="1:5" ht="15">
      <c r="A18" s="1491"/>
      <c r="B18" s="3564"/>
      <c r="C18" s="1495" t="s">
        <v>912</v>
      </c>
      <c r="D18" s="859" t="str">
        <f>结果表!H110</f>
        <v>——</v>
      </c>
      <c r="E18" s="1491"/>
    </row>
    <row r="19" spans="1:5" ht="15.75">
      <c r="A19" s="1491"/>
      <c r="B19" s="3555" t="str">
        <f>结果表!E111</f>
        <v>——</v>
      </c>
      <c r="C19" s="1499" t="s">
        <v>910</v>
      </c>
      <c r="D19" s="851" t="str">
        <f>结果表!H111</f>
        <v>——</v>
      </c>
      <c r="E19" s="1491"/>
    </row>
    <row r="20" spans="1:5" ht="15.75">
      <c r="A20" s="1491"/>
      <c r="B20" s="3556"/>
      <c r="C20" s="1494" t="s">
        <v>923</v>
      </c>
      <c r="D20" s="850" t="e">
        <f>NUMBERSTRING(INT(D19*10000),2)&amp;"元整"</f>
        <v>#VALUE!</v>
      </c>
      <c r="E20" s="1491"/>
    </row>
    <row r="21" spans="1:5" ht="15.75" thickBot="1">
      <c r="A21" s="1491"/>
      <c r="B21" s="355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1.2158</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1.1565000000000001</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78726</v>
      </c>
      <c r="C2" s="2" t="s">
        <v>106</v>
      </c>
      <c r="D2" s="199"/>
      <c r="E2" s="199"/>
      <c r="F2" s="199"/>
      <c r="G2" s="199"/>
    </row>
    <row r="3" spans="1:7" s="200" customFormat="1" ht="18" customHeight="1" thickBot="1">
      <c r="A3" s="203" t="s">
        <v>58</v>
      </c>
      <c r="B3" s="204">
        <f ca="1">ROUND(B2*10000/'数据-汇总表'!E3,0)</f>
        <v>6899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2168</v>
      </c>
      <c r="D10" s="845">
        <f>'数据-汇总表'!E6</f>
        <v>114107.98</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2282</v>
      </c>
      <c r="D19" s="849">
        <f>'数据-汇总表'!E3</f>
        <v>114107.98</v>
      </c>
      <c r="E19" s="211">
        <f>'数据-取费表'!B31</f>
        <v>200</v>
      </c>
      <c r="F19" s="231"/>
      <c r="G19" s="1" t="s">
        <v>436</v>
      </c>
    </row>
    <row r="20" spans="1:7" s="214" customFormat="1" ht="13.5" customHeight="1">
      <c r="A20" s="777" t="s">
        <v>419</v>
      </c>
      <c r="B20" s="210" t="s">
        <v>77</v>
      </c>
      <c r="C20" s="232">
        <f>ROUND((C5+C19)*F20,0)</f>
        <v>458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1623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160</v>
      </c>
      <c r="D24" s="238"/>
      <c r="E24" s="238"/>
      <c r="F24" s="239"/>
      <c r="G24" s="240" t="s">
        <v>82</v>
      </c>
    </row>
    <row r="25" spans="1:7" s="214" customFormat="1" ht="24">
      <c r="A25" s="780" t="s">
        <v>348</v>
      </c>
      <c r="B25" s="215" t="s">
        <v>420</v>
      </c>
      <c r="C25" s="1105">
        <f ca="1">ROUND(IF('数据-取费表'!B22&lt;=1,C20*F22*'数据-取费表'!B23/2,C20*(POWER((1+F22),'数据-取费表'!B23/2)-1)),0)</f>
        <v>16</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4670</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4670</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32119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43795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38797</v>
      </c>
      <c r="D34" s="217"/>
      <c r="E34" s="220"/>
      <c r="F34" s="257">
        <f>IF('数据-取费表'!B24=0,1,'数据-取费表'!N16)</f>
        <v>1</v>
      </c>
      <c r="G34" s="219" t="s">
        <v>89</v>
      </c>
    </row>
    <row r="35" spans="1:7" ht="13.5" customHeight="1">
      <c r="A35" s="780" t="s">
        <v>351</v>
      </c>
      <c r="B35" s="215" t="s">
        <v>33</v>
      </c>
      <c r="C35" s="220">
        <f>ROUND(C34*F35,0)</f>
        <v>1940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2282</v>
      </c>
      <c r="D37" s="217">
        <f>'数据-汇总表'!E3</f>
        <v>114107.98</v>
      </c>
      <c r="E37" s="249">
        <f>'数据-取费表'!B35</f>
        <v>200</v>
      </c>
      <c r="F37" s="259"/>
      <c r="G37" s="261" t="s">
        <v>92</v>
      </c>
    </row>
    <row r="38" spans="1:7" ht="13.5" customHeight="1">
      <c r="A38" s="780" t="s">
        <v>354</v>
      </c>
      <c r="B38" s="215" t="s">
        <v>36</v>
      </c>
      <c r="C38" s="220">
        <f>ROUND(C34*F38,0)</f>
        <v>776</v>
      </c>
      <c r="D38" s="220"/>
      <c r="E38" s="220"/>
      <c r="F38" s="259">
        <f>'数据-取费表'!B36</f>
        <v>0.02</v>
      </c>
      <c r="G38" s="219" t="s">
        <v>90</v>
      </c>
    </row>
    <row r="39" spans="1:7" s="214" customFormat="1" ht="13.5" customHeight="1">
      <c r="A39" s="777" t="s">
        <v>338</v>
      </c>
      <c r="B39" s="210" t="s">
        <v>77</v>
      </c>
      <c r="C39" s="232">
        <f>ROUND(C33*F20,0)</f>
        <v>876</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1541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1511</v>
      </c>
      <c r="D42" s="238"/>
      <c r="E42" s="238"/>
      <c r="F42" s="239"/>
      <c r="G42" s="3796" t="s">
        <v>94</v>
      </c>
    </row>
    <row r="43" spans="1:7" ht="13.5" customHeight="1">
      <c r="A43" s="780" t="s">
        <v>347</v>
      </c>
      <c r="B43" s="215" t="s">
        <v>426</v>
      </c>
      <c r="C43" s="238">
        <f ca="1">ROUND(IF('数据-取费表'!B22&lt;=1,C39*F22*'数据-取费表'!B21/2,C39*(POWER((1+F22),'数据-取费表'!B21/2)-1)),0)</f>
        <v>30</v>
      </c>
      <c r="D43" s="238"/>
      <c r="E43" s="238"/>
      <c r="F43" s="239"/>
      <c r="G43" s="3797"/>
    </row>
    <row r="44" spans="1:7" ht="13.5" customHeight="1">
      <c r="A44" s="780" t="s">
        <v>348</v>
      </c>
      <c r="B44" s="215" t="s">
        <v>428</v>
      </c>
      <c r="C44" s="238">
        <f ca="1">ROUND(IF('数据-取费表'!B22&lt;=1,C40*F22*'数据-取费表'!B21/2,C40*(POWER((1+F22),'数据-取费表'!B21/2)-1)),4)</f>
        <v>6.9999999999999999E-4</v>
      </c>
      <c r="D44" s="238"/>
      <c r="E44" s="238"/>
      <c r="F44" s="239"/>
      <c r="G44" s="3798"/>
    </row>
    <row r="45" spans="1:7" s="214" customFormat="1" ht="13.5" customHeight="1">
      <c r="A45" s="777" t="s">
        <v>341</v>
      </c>
      <c r="B45" s="244" t="s">
        <v>85</v>
      </c>
      <c r="C45" s="245">
        <f>C46</f>
        <v>8934</v>
      </c>
      <c r="D45" s="235">
        <f>C47</f>
        <v>4.0000000000000001E-3</v>
      </c>
      <c r="E45" s="236" t="s">
        <v>102</v>
      </c>
      <c r="F45" s="246"/>
      <c r="G45" s="247" t="s">
        <v>434</v>
      </c>
    </row>
    <row r="46" spans="1:7" s="214" customFormat="1" ht="13.5" customHeight="1">
      <c r="A46" s="780" t="s">
        <v>349</v>
      </c>
      <c r="B46" s="248" t="s">
        <v>427</v>
      </c>
      <c r="C46" s="249">
        <f>ROUND((C33+C39)*F27,0)</f>
        <v>8934</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59752</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 ca="1">ROUND(C49*F50,0)</f>
        <v>46607</v>
      </c>
      <c r="D51" s="232"/>
      <c r="E51" s="232"/>
      <c r="F51" s="264"/>
      <c r="G51" s="234" t="s">
        <v>37</v>
      </c>
    </row>
    <row r="52" spans="1:7" s="208" customFormat="1" ht="16.5" thickBot="1">
      <c r="A52" s="265" t="s">
        <v>38</v>
      </c>
      <c r="B52" s="266"/>
      <c r="C52" s="267">
        <f ca="1">C31+C51</f>
        <v>78726</v>
      </c>
      <c r="D52" s="266"/>
      <c r="E52" s="266"/>
      <c r="F52" s="266"/>
      <c r="G52" s="268"/>
    </row>
    <row r="55" spans="1:7" ht="15">
      <c r="B55" s="270" t="s">
        <v>39</v>
      </c>
      <c r="C55" s="271"/>
    </row>
    <row r="56" spans="1:7">
      <c r="B56" s="273" t="s">
        <v>40</v>
      </c>
      <c r="C56" s="274">
        <f ca="1">ROUND(C51/C52,3)</f>
        <v>0.59199999999999997</v>
      </c>
    </row>
    <row r="57" spans="1:7">
      <c r="B57" s="273" t="s">
        <v>41</v>
      </c>
      <c r="C57" s="275">
        <f ca="1">1-C56</f>
        <v>0.40800000000000003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934" t="s">
        <v>2843</v>
      </c>
      <c r="B1" s="3934"/>
      <c r="C1" s="3934"/>
      <c r="D1" s="3934"/>
      <c r="E1" s="3934"/>
      <c r="F1" s="3934"/>
      <c r="G1" s="3935"/>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932"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933"/>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936" t="s">
        <v>3185</v>
      </c>
      <c r="B1" s="3936"/>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937" t="s">
        <v>3236</v>
      </c>
      <c r="B1" s="3937"/>
      <c r="C1" s="3937"/>
      <c r="D1" s="3937"/>
      <c r="E1" s="3937"/>
      <c r="F1" s="3938"/>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0" sqref="H10"/>
    </sheetView>
  </sheetViews>
  <sheetFormatPr defaultRowHeight="13.5"/>
  <cols>
    <col min="1" max="1" width="13.875" customWidth="1"/>
    <col min="11" max="17" width="0" hidden="1" customWidth="1"/>
    <col min="25" max="30" width="0" hidden="1" customWidth="1"/>
  </cols>
  <sheetData>
    <row r="1" spans="1:30">
      <c r="A1" s="3221">
        <f>基准地价修正!G23</f>
        <v>45301</v>
      </c>
      <c r="B1" s="3210" t="s">
        <v>3376</v>
      </c>
      <c r="C1" s="3211"/>
      <c r="D1" s="3211"/>
      <c r="E1" s="3211"/>
      <c r="F1" s="3211"/>
      <c r="G1" s="3211"/>
      <c r="H1" s="3211"/>
      <c r="I1" s="3211"/>
      <c r="J1" s="3165"/>
      <c r="K1" s="3211" t="s">
        <v>454</v>
      </c>
      <c r="L1" s="3211"/>
      <c r="M1" s="3211"/>
      <c r="N1" s="3211"/>
      <c r="O1" s="3211"/>
      <c r="P1" s="3211"/>
      <c r="Q1" s="3165"/>
      <c r="R1" s="3939" t="s">
        <v>456</v>
      </c>
      <c r="S1" s="3940"/>
      <c r="T1" s="3940"/>
      <c r="U1" s="3940"/>
      <c r="V1" s="3940"/>
      <c r="W1" s="3940"/>
      <c r="X1" s="3165"/>
      <c r="Y1" s="3939" t="s">
        <v>457</v>
      </c>
      <c r="Z1" s="3940"/>
      <c r="AA1" s="3940"/>
      <c r="AB1" s="3940"/>
      <c r="AC1" s="3940"/>
      <c r="AD1" s="394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939" t="s">
        <v>2831</v>
      </c>
      <c r="S23" s="3940"/>
      <c r="T23" s="3940"/>
      <c r="U23" s="3940"/>
      <c r="V23" s="3940"/>
      <c r="W23" s="3940"/>
      <c r="X23" s="3165"/>
      <c r="Y23" s="3939" t="s">
        <v>2832</v>
      </c>
      <c r="Z23" s="3940"/>
      <c r="AA23" s="3940"/>
      <c r="AB23" s="3940"/>
      <c r="AC23" s="3940"/>
      <c r="AD23" s="3940"/>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946" t="s">
        <v>452</v>
      </c>
      <c r="C1" s="3946"/>
      <c r="D1" s="3946"/>
      <c r="E1" s="3946"/>
      <c r="F1" s="3946"/>
      <c r="G1" s="3942" t="s">
        <v>453</v>
      </c>
      <c r="H1" s="3942"/>
      <c r="I1" s="3942"/>
      <c r="J1" s="3942"/>
      <c r="K1" s="3942"/>
      <c r="L1" s="3942"/>
      <c r="N1" s="3942" t="s">
        <v>454</v>
      </c>
      <c r="O1" s="3942"/>
      <c r="P1" s="3942"/>
      <c r="Q1" s="3942"/>
      <c r="S1" s="3942" t="s">
        <v>455</v>
      </c>
      <c r="T1" s="3942"/>
      <c r="U1" s="3942"/>
      <c r="V1" s="3942"/>
      <c r="X1" s="3941" t="s">
        <v>456</v>
      </c>
      <c r="Y1" s="3942"/>
      <c r="Z1" s="3942"/>
      <c r="AA1" s="3942"/>
      <c r="AB1" s="3942"/>
      <c r="AD1" s="3941" t="s">
        <v>457</v>
      </c>
      <c r="AE1" s="3942"/>
      <c r="AF1" s="3942"/>
      <c r="AG1" s="3942"/>
      <c r="AH1" s="394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94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94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94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95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94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94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94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95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94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94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94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94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94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94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94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94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94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94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94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94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94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94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94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95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94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94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94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94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94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94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94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94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94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94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94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94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94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94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94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94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94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94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94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94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94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94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94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94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94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94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94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94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94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94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94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94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94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94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94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94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94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94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94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94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94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94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94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94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45301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65" t="str">
        <f>IF(项目基本情况!B9="房地产市场价值","估价结果一览表","结果表-2")</f>
        <v>结果表-2</v>
      </c>
      <c r="B1" s="3565"/>
      <c r="C1" s="3565"/>
      <c r="D1" s="3565"/>
      <c r="E1" s="3565"/>
      <c r="F1" s="3565"/>
      <c r="G1" s="3565"/>
      <c r="H1" s="3565"/>
      <c r="I1" s="3565"/>
    </row>
    <row r="2" spans="1:9" ht="30" customHeight="1" thickTop="1">
      <c r="A2" s="3566" t="s">
        <v>928</v>
      </c>
      <c r="B2" s="3566" t="s">
        <v>929</v>
      </c>
      <c r="C2" s="3566" t="s">
        <v>930</v>
      </c>
      <c r="D2" s="3566" t="str">
        <f>结果表!D116</f>
        <v>出让国有建设用地使用权价值</v>
      </c>
      <c r="E2" s="3566"/>
      <c r="F2" s="3566" t="str">
        <f>结果表!F116</f>
        <v>在建建筑物价值</v>
      </c>
      <c r="G2" s="3566"/>
      <c r="H2" s="3566" t="str">
        <f>IF(项目基本情况!B9="房地产市场价值","房地产市场价值","房地产价值")</f>
        <v>房地产价值</v>
      </c>
      <c r="I2" s="3566"/>
    </row>
    <row r="3" spans="1:9" ht="15">
      <c r="A3" s="3567"/>
      <c r="B3" s="3567"/>
      <c r="C3" s="3567"/>
      <c r="D3" s="854" t="s">
        <v>925</v>
      </c>
      <c r="E3" s="854" t="s">
        <v>931</v>
      </c>
      <c r="F3" s="854" t="s">
        <v>925</v>
      </c>
      <c r="G3" s="854" t="s">
        <v>926</v>
      </c>
      <c r="H3" s="854" t="s">
        <v>925</v>
      </c>
      <c r="I3" s="854" t="s">
        <v>926</v>
      </c>
    </row>
    <row r="4" spans="1:9" ht="15">
      <c r="A4" s="1505" t="str">
        <f>项目基本情况!S2</f>
        <v>北京市房地产</v>
      </c>
      <c r="B4" s="854">
        <f>项目基本情况!C17</f>
        <v>114107.98</v>
      </c>
      <c r="C4" s="854">
        <f>项目基本情况!C18</f>
        <v>236852.67</v>
      </c>
      <c r="D4" s="854">
        <f ca="1">结果表!D118</f>
        <v>132423</v>
      </c>
      <c r="E4" s="854">
        <f ca="1">结果表!E118</f>
        <v>11605</v>
      </c>
      <c r="F4" s="854">
        <f ca="1">结果表!F118</f>
        <v>51754</v>
      </c>
      <c r="G4" s="854">
        <f ca="1">结果表!G118</f>
        <v>4536</v>
      </c>
      <c r="H4" s="854">
        <f ca="1">结果表!H118</f>
        <v>184177</v>
      </c>
      <c r="I4" s="854">
        <f ca="1">结果表!I118</f>
        <v>16141</v>
      </c>
    </row>
    <row r="5" spans="1:9" ht="30" customHeight="1">
      <c r="A5" s="3567" t="s">
        <v>927</v>
      </c>
      <c r="B5" s="3567"/>
      <c r="C5" s="3567"/>
      <c r="D5" s="3567" t="str">
        <f ca="1">结果表!D119</f>
        <v>壹拾叁亿贰仟肆佰贰拾叁万元整</v>
      </c>
      <c r="E5" s="3567"/>
      <c r="F5" s="3567" t="str">
        <f ca="1">结果表!F119</f>
        <v>伍亿壹仟柒佰伍拾肆万元整</v>
      </c>
      <c r="G5" s="3567"/>
      <c r="H5" s="3567" t="str">
        <f ca="1">结果表!H119</f>
        <v>壹拾捌亿肆仟壹佰柒拾柒万元整</v>
      </c>
      <c r="I5" s="3567"/>
    </row>
    <row r="6" spans="1:9" ht="15.75">
      <c r="A6" s="3568" t="str">
        <f>结果表!A120</f>
        <v>估价师知悉的法定优先受偿款</v>
      </c>
      <c r="B6" s="3568"/>
      <c r="C6" s="3568"/>
      <c r="D6" s="3568">
        <f>结果表!D120</f>
        <v>0</v>
      </c>
      <c r="E6" s="3568"/>
      <c r="F6" s="3568"/>
      <c r="G6" s="3568"/>
      <c r="H6" s="3568"/>
      <c r="I6" s="3568"/>
    </row>
    <row r="7" spans="1:9" ht="15">
      <c r="A7" s="3567" t="s">
        <v>927</v>
      </c>
      <c r="B7" s="3567"/>
      <c r="C7" s="3567"/>
      <c r="D7" s="3569" t="str">
        <f>结果表!D121</f>
        <v>零元整</v>
      </c>
      <c r="E7" s="3570"/>
      <c r="F7" s="3570"/>
      <c r="G7" s="3570"/>
      <c r="H7" s="3570"/>
      <c r="I7" s="3571"/>
    </row>
    <row r="8" spans="1:9" ht="15.75">
      <c r="A8" s="3568" t="str">
        <f>结果表!A122</f>
        <v>房地产抵押价值</v>
      </c>
      <c r="B8" s="3568"/>
      <c r="C8" s="3568"/>
      <c r="D8" s="3568">
        <f ca="1">结果表!D122</f>
        <v>184177</v>
      </c>
      <c r="E8" s="3568"/>
      <c r="F8" s="3568"/>
      <c r="G8" s="3568"/>
      <c r="H8" s="3568"/>
      <c r="I8" s="3568"/>
    </row>
    <row r="9" spans="1:9" ht="15">
      <c r="A9" s="3567" t="s">
        <v>927</v>
      </c>
      <c r="B9" s="3567"/>
      <c r="C9" s="3567"/>
      <c r="D9" s="3567" t="str">
        <f ca="1">结果表!D123</f>
        <v>壹拾捌亿肆仟壹佰柒拾柒万元整</v>
      </c>
      <c r="E9" s="3567"/>
      <c r="F9" s="3567"/>
      <c r="G9" s="3567"/>
      <c r="H9" s="3567"/>
      <c r="I9" s="3567"/>
    </row>
    <row r="10" spans="1:9" ht="15.75">
      <c r="A10" s="3568" t="str">
        <f>结果表!A124</f>
        <v/>
      </c>
      <c r="B10" s="3568"/>
      <c r="C10" s="3568"/>
      <c r="D10" s="3568" t="str">
        <f>结果表!D124</f>
        <v>——</v>
      </c>
      <c r="E10" s="3568"/>
      <c r="F10" s="3568"/>
      <c r="G10" s="3568"/>
      <c r="H10" s="3568"/>
      <c r="I10" s="3568"/>
    </row>
    <row r="11" spans="1:9" ht="15">
      <c r="A11" s="3567" t="s">
        <v>927</v>
      </c>
      <c r="B11" s="3567"/>
      <c r="C11" s="3567"/>
      <c r="D11" s="3567" t="e">
        <f>结果表!D125</f>
        <v>#VALUE!</v>
      </c>
      <c r="E11" s="3567"/>
      <c r="F11" s="3567"/>
      <c r="G11" s="3567"/>
      <c r="H11" s="3567"/>
      <c r="I11" s="3567"/>
    </row>
    <row r="12" spans="1:9" ht="15.75">
      <c r="A12" s="3568" t="str">
        <f>结果表!A126</f>
        <v/>
      </c>
      <c r="B12" s="3568"/>
      <c r="C12" s="3568"/>
      <c r="D12" s="3568" t="str">
        <f>结果表!D126</f>
        <v>——</v>
      </c>
      <c r="E12" s="3568"/>
      <c r="F12" s="3568"/>
      <c r="G12" s="3568"/>
      <c r="H12" s="3568"/>
      <c r="I12" s="3568"/>
    </row>
    <row r="13" spans="1:9" ht="15.75" thickBot="1">
      <c r="A13" s="3572" t="s">
        <v>927</v>
      </c>
      <c r="B13" s="3572"/>
      <c r="C13" s="3572"/>
      <c r="D13" s="3572" t="e">
        <f>结果表!D127</f>
        <v>#VALUE!</v>
      </c>
      <c r="E13" s="3572"/>
      <c r="F13" s="3572"/>
      <c r="G13" s="3572"/>
      <c r="H13" s="3572"/>
      <c r="I13" s="3572"/>
    </row>
    <row r="14" spans="1:9" ht="15" thickTop="1">
      <c r="A14" s="3573" t="s">
        <v>932</v>
      </c>
      <c r="B14" s="3573"/>
      <c r="C14" s="3573"/>
      <c r="D14" s="3573"/>
      <c r="E14" s="3573"/>
      <c r="F14" s="3573"/>
      <c r="G14" s="3573"/>
      <c r="H14" s="3573"/>
      <c r="I14" s="35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74" t="s">
        <v>949</v>
      </c>
      <c r="B1" s="3574"/>
      <c r="C1" s="3574"/>
      <c r="D1" s="3574"/>
    </row>
    <row r="2" spans="1:4" ht="18">
      <c r="A2" s="3575" t="s">
        <v>933</v>
      </c>
      <c r="B2" s="3575"/>
      <c r="C2" s="3575"/>
      <c r="D2" s="357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75" t="s">
        <v>939</v>
      </c>
      <c r="B6" s="3575"/>
      <c r="C6" s="3575"/>
      <c r="D6" s="357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76" t="s">
        <v>942</v>
      </c>
      <c r="B11" s="3577"/>
      <c r="C11" s="3577"/>
      <c r="D11" s="3577"/>
    </row>
    <row r="12" spans="1:4" ht="15.75">
      <c r="A12" s="35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8"/>
      <c r="C12" s="3578"/>
      <c r="D12" s="3578"/>
    </row>
    <row r="13" spans="1:4" ht="30" customHeight="1">
      <c r="A13" s="35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8"/>
      <c r="C13" s="3578"/>
      <c r="D13" s="3578"/>
    </row>
    <row r="14" spans="1:4" ht="15.75" customHeight="1">
      <c r="A14" s="3577" t="str">
        <f>IF(项目基本情况!B8="抵押","4.本次评估估价师所知悉的法定优先受偿款情况说明如下：","——")</f>
        <v>4.本次评估估价师所知悉的法定优先受偿款情况说明如下：</v>
      </c>
      <c r="B14" s="3578"/>
      <c r="C14" s="3578"/>
      <c r="D14" s="3578"/>
    </row>
    <row r="15" spans="1:4" ht="42" customHeight="1">
      <c r="A15" s="35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77"/>
      <c r="C15" s="3577"/>
      <c r="D15" s="3577"/>
    </row>
    <row r="16" spans="1:4" ht="30" customHeight="1">
      <c r="A16" s="3580" t="s">
        <v>943</v>
      </c>
      <c r="B16" s="3580"/>
      <c r="C16" s="3580"/>
      <c r="D16" s="3580"/>
    </row>
    <row r="17" spans="1:4" ht="144" customHeight="1">
      <c r="A17" s="3580" t="s">
        <v>944</v>
      </c>
      <c r="B17" s="3580"/>
      <c r="C17" s="3580"/>
      <c r="D17" s="3580"/>
    </row>
    <row r="18" spans="1:4" ht="15.75" customHeight="1">
      <c r="A18" s="3577" t="str">
        <f>IF(项目基本情况!B8="抵押",结果表!K120,"——")</f>
        <v>故，本次评估不存在估价师知悉的法定优先受偿款</v>
      </c>
      <c r="B18" s="3577"/>
      <c r="C18" s="3577"/>
      <c r="D18" s="3577"/>
    </row>
    <row r="19" spans="1:4" ht="46.5" customHeight="1">
      <c r="A19" s="35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77"/>
      <c r="C19" s="3577"/>
      <c r="D19" s="3577"/>
    </row>
    <row r="20" spans="1:4" ht="57.75" customHeight="1">
      <c r="A20" s="35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77"/>
      <c r="C20" s="3577"/>
      <c r="D20" s="3577"/>
    </row>
    <row r="21" spans="1:4" ht="57.75" customHeight="1">
      <c r="A21" s="35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1"/>
      <c r="C21" s="3581"/>
      <c r="D21" s="3581"/>
    </row>
    <row r="22" spans="1:4" ht="18.75" customHeight="1">
      <c r="A22" s="3582" t="s">
        <v>945</v>
      </c>
      <c r="B22" s="3582"/>
      <c r="C22" s="3582"/>
      <c r="D22" s="35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79">
        <v>42551</v>
      </c>
      <c r="D31" s="35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88" t="s">
        <v>956</v>
      </c>
      <c r="B15" s="3583" t="s">
        <v>109</v>
      </c>
      <c r="C15" s="3584"/>
    </row>
    <row r="16" spans="1:7" ht="13.5">
      <c r="A16" s="3589"/>
      <c r="B16" s="3583" t="s">
        <v>42</v>
      </c>
      <c r="C16" s="3584"/>
    </row>
    <row r="17" spans="1:3" ht="13.5">
      <c r="A17" s="3589"/>
      <c r="B17" s="3586" t="s">
        <v>957</v>
      </c>
      <c r="C17" s="1532" t="s">
        <v>956</v>
      </c>
    </row>
    <row r="18" spans="1:3" ht="13.5">
      <c r="A18" s="3589"/>
      <c r="B18" s="3586"/>
      <c r="C18" s="1532" t="s">
        <v>958</v>
      </c>
    </row>
    <row r="19" spans="1:3" ht="13.5">
      <c r="A19" s="3589"/>
      <c r="B19" s="3586"/>
      <c r="C19" s="1532" t="s">
        <v>959</v>
      </c>
    </row>
    <row r="20" spans="1:3" ht="13.5">
      <c r="A20" s="3590"/>
      <c r="B20" s="3585" t="s">
        <v>960</v>
      </c>
      <c r="C20" s="3584"/>
    </row>
    <row r="21" spans="1:3" ht="13.5">
      <c r="A21" s="1533" t="s">
        <v>961</v>
      </c>
      <c r="B21" s="1534"/>
      <c r="C21" s="1535"/>
    </row>
    <row r="22" spans="1:3" ht="13.5">
      <c r="A22" s="3587" t="s">
        <v>962</v>
      </c>
      <c r="B22" s="3585" t="s">
        <v>963</v>
      </c>
      <c r="C22" s="3584"/>
    </row>
    <row r="23" spans="1:3" ht="13.5">
      <c r="A23" s="3587"/>
      <c r="B23" s="3585" t="s">
        <v>964</v>
      </c>
      <c r="C23" s="3584"/>
    </row>
    <row r="24" spans="1:3" ht="13.5">
      <c r="A24" s="3587"/>
      <c r="B24" s="3585" t="s">
        <v>965</v>
      </c>
      <c r="C24" s="3584"/>
    </row>
    <row r="25" spans="1:3" ht="13.5">
      <c r="A25" s="3587"/>
      <c r="B25" s="3586" t="s">
        <v>966</v>
      </c>
      <c r="C25" s="1532" t="s">
        <v>967</v>
      </c>
    </row>
    <row r="26" spans="1:3" ht="13.5">
      <c r="A26" s="3587"/>
      <c r="B26" s="3586"/>
      <c r="C26" s="1532" t="s">
        <v>968</v>
      </c>
    </row>
    <row r="27" spans="1:3" ht="13.5">
      <c r="A27" s="3587"/>
      <c r="B27" s="3586"/>
      <c r="C27" s="1532" t="s">
        <v>969</v>
      </c>
    </row>
    <row r="28" spans="1:3" ht="13.5">
      <c r="A28" s="3587"/>
      <c r="B28" s="3586"/>
      <c r="C28" s="1532" t="s">
        <v>970</v>
      </c>
    </row>
    <row r="29" spans="1:3" ht="13.5">
      <c r="A29" s="3587"/>
      <c r="B29" s="3586"/>
      <c r="C29" s="1532" t="s">
        <v>971</v>
      </c>
    </row>
    <row r="30" spans="1:3" ht="13.5">
      <c r="A30" s="3587"/>
      <c r="B30" s="3586"/>
      <c r="C30" s="1532" t="s">
        <v>972</v>
      </c>
    </row>
    <row r="31" spans="1:3" ht="13.5">
      <c r="A31" s="3587"/>
      <c r="B31" s="3586"/>
      <c r="C31" s="1532" t="s">
        <v>973</v>
      </c>
    </row>
    <row r="32" spans="1:3" ht="13.5">
      <c r="A32" s="3587"/>
      <c r="B32" s="3586"/>
      <c r="C32" s="1532" t="s">
        <v>974</v>
      </c>
    </row>
    <row r="33" spans="1:3" ht="13.5">
      <c r="A33" s="3587"/>
      <c r="B33" s="358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45307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91" t="s">
        <v>2160</v>
      </c>
      <c r="B17" s="3591"/>
      <c r="C17" s="3591"/>
      <c r="D17" s="3591"/>
      <c r="E17" s="3591"/>
      <c r="F17" s="3591"/>
      <c r="G17" s="3591"/>
      <c r="H17" s="3591"/>
    </row>
    <row r="18" spans="1:8" ht="24" customHeight="1">
      <c r="A18" s="3592" t="s">
        <v>2161</v>
      </c>
      <c r="B18" s="3592"/>
      <c r="C18" s="3592"/>
      <c r="D18" s="2343"/>
      <c r="E18" s="3593" t="s">
        <v>2162</v>
      </c>
      <c r="F18" s="3592"/>
      <c r="G18" s="359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指标表</vt:lpstr>
      <vt:lpstr>企业提供的分摊土地数据</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2024-01-10T02:49:51Z</cp:lastPrinted>
  <dcterms:created xsi:type="dcterms:W3CDTF">2015-07-13T07:17:23Z</dcterms:created>
  <dcterms:modified xsi:type="dcterms:W3CDTF">2024-01-16T03:04:36Z</dcterms:modified>
</cp:coreProperties>
</file>