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state="hidden" r:id="rId23"/>
    <sheet name="收益法 (元)" sheetId="67" state="hidden" r:id="rId24"/>
    <sheet name="比较法-住宅" sheetId="21" r:id="rId25"/>
    <sheet name="成本法车库" sheetId="77" r:id="rId26"/>
    <sheet name="成本法仓储" sheetId="78"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78" l="1"/>
  <c r="C10" i="78"/>
  <c r="H9" i="78"/>
  <c r="C8" i="78"/>
  <c r="D99" i="39"/>
  <c r="E99" i="39"/>
  <c r="F99" i="39"/>
  <c r="F25" i="39"/>
  <c r="AA25" i="39"/>
  <c r="R47" i="39"/>
  <c r="H25" i="39"/>
  <c r="AB25" i="39"/>
  <c r="T47" i="39"/>
  <c r="J25" i="39"/>
  <c r="AC25" i="39"/>
  <c r="V47" i="39"/>
  <c r="R48" i="39"/>
  <c r="C48" i="39"/>
  <c r="B62" i="39"/>
  <c r="F62" i="39"/>
  <c r="C6" i="78"/>
  <c r="C7" i="78"/>
  <c r="C5" i="78"/>
  <c r="C20" i="78"/>
  <c r="D5" i="73"/>
  <c r="G1" i="73"/>
  <c r="B40" i="1"/>
  <c r="F22" i="78"/>
  <c r="C23" i="78"/>
  <c r="C24" i="78"/>
  <c r="C25" i="78"/>
  <c r="C22" i="78"/>
  <c r="F27" i="78"/>
  <c r="C28" i="78"/>
  <c r="C27" i="78"/>
  <c r="C26" i="78"/>
  <c r="D22" i="78"/>
  <c r="C29" i="78"/>
  <c r="D27" i="78"/>
  <c r="C31" i="78"/>
  <c r="F34" i="78"/>
  <c r="C34" i="78"/>
  <c r="C35" i="78"/>
  <c r="C36" i="78"/>
  <c r="D9" i="78"/>
  <c r="D19" i="78"/>
  <c r="D37" i="78"/>
  <c r="C37" i="78"/>
  <c r="C38" i="78"/>
  <c r="C33" i="78"/>
  <c r="C39" i="78"/>
  <c r="C42" i="78"/>
  <c r="C43" i="78"/>
  <c r="C41" i="78"/>
  <c r="C46" i="78"/>
  <c r="C45" i="78"/>
  <c r="C44" i="78"/>
  <c r="D41" i="78"/>
  <c r="C47" i="78"/>
  <c r="D45" i="78"/>
  <c r="C49" i="78"/>
  <c r="C51" i="78"/>
  <c r="C52" i="78"/>
  <c r="B2" i="78"/>
  <c r="B3" i="78"/>
  <c r="C57" i="78"/>
  <c r="C56" i="78"/>
  <c r="E56" i="78"/>
  <c r="E57" i="78"/>
  <c r="D10" i="77"/>
  <c r="C10" i="77"/>
  <c r="H9" i="77"/>
  <c r="C8" i="77"/>
  <c r="B63" i="39"/>
  <c r="F63" i="39"/>
  <c r="C6" i="77"/>
  <c r="C7" i="77"/>
  <c r="C5" i="77"/>
  <c r="C20" i="77"/>
  <c r="F22" i="77"/>
  <c r="C23" i="77"/>
  <c r="C24" i="77"/>
  <c r="C25" i="77"/>
  <c r="C22" i="77"/>
  <c r="F27" i="77"/>
  <c r="C28" i="77"/>
  <c r="C27" i="77"/>
  <c r="C26" i="77"/>
  <c r="D22" i="77"/>
  <c r="C29" i="77"/>
  <c r="D27" i="77"/>
  <c r="C31" i="77"/>
  <c r="F34" i="77"/>
  <c r="C34" i="77"/>
  <c r="C35" i="77"/>
  <c r="C36" i="77"/>
  <c r="D9" i="77"/>
  <c r="D19" i="77"/>
  <c r="D37" i="77"/>
  <c r="C37" i="77"/>
  <c r="C38" i="77"/>
  <c r="C33" i="77"/>
  <c r="C39" i="77"/>
  <c r="C42" i="77"/>
  <c r="C43" i="77"/>
  <c r="C41" i="77"/>
  <c r="C46" i="77"/>
  <c r="C45" i="77"/>
  <c r="C44" i="77"/>
  <c r="D41" i="77"/>
  <c r="C47" i="77"/>
  <c r="D45" i="77"/>
  <c r="C49" i="77"/>
  <c r="C51" i="77"/>
  <c r="C52" i="77"/>
  <c r="B2" i="77"/>
  <c r="B3" i="77"/>
  <c r="C57" i="77"/>
  <c r="C56" i="77"/>
  <c r="E56" i="77"/>
  <c r="E57" i="77"/>
  <c r="E118" i="39"/>
  <c r="F118" i="39"/>
  <c r="G118" i="39"/>
  <c r="D118" i="39"/>
  <c r="D9" i="68"/>
  <c r="C9" i="68"/>
  <c r="E71" i="39"/>
  <c r="F71" i="39"/>
  <c r="G71" i="39"/>
  <c r="H71" i="39"/>
  <c r="I71" i="39"/>
  <c r="D71" i="39"/>
  <c r="I7" i="6"/>
  <c r="B21" i="1"/>
  <c r="D3" i="39"/>
  <c r="F7" i="39"/>
  <c r="AA7" i="39"/>
  <c r="D81" i="39"/>
  <c r="E81" i="39"/>
  <c r="F11" i="39"/>
  <c r="AA11" i="39"/>
  <c r="D89" i="39"/>
  <c r="E89" i="39"/>
  <c r="F89" i="39"/>
  <c r="F15" i="39"/>
  <c r="AA15" i="39"/>
  <c r="D95" i="39"/>
  <c r="E95" i="39"/>
  <c r="F95" i="39"/>
  <c r="F21" i="39"/>
  <c r="AA21" i="39"/>
  <c r="D124" i="39"/>
  <c r="F41" i="39"/>
  <c r="AA41" i="39"/>
  <c r="F38" i="39"/>
  <c r="AA38" i="39"/>
  <c r="H7" i="39"/>
  <c r="AB7" i="39"/>
  <c r="H11" i="39"/>
  <c r="AB11" i="39"/>
  <c r="H27" i="39"/>
  <c r="AB27" i="39"/>
  <c r="H15" i="39"/>
  <c r="AB15" i="39"/>
  <c r="H21" i="39"/>
  <c r="AB21" i="39"/>
  <c r="E124" i="39"/>
  <c r="F124" i="39"/>
  <c r="G124" i="39"/>
  <c r="H41" i="39"/>
  <c r="AB41" i="39"/>
  <c r="H38" i="39"/>
  <c r="AB38" i="39"/>
  <c r="J7" i="39"/>
  <c r="AC7" i="39"/>
  <c r="J11" i="39"/>
  <c r="AC11" i="39"/>
  <c r="J27" i="39"/>
  <c r="AC27" i="39"/>
  <c r="J15" i="39"/>
  <c r="AC15" i="39"/>
  <c r="J21" i="39"/>
  <c r="AC21" i="39"/>
  <c r="J41" i="39"/>
  <c r="AC41" i="39"/>
  <c r="J38" i="39"/>
  <c r="AC38" i="39"/>
  <c r="D14" i="9"/>
  <c r="F12" i="39"/>
  <c r="AA12" i="39"/>
  <c r="H12" i="39"/>
  <c r="AB12" i="39"/>
  <c r="J12" i="39"/>
  <c r="AC12" i="39"/>
  <c r="B56" i="39"/>
  <c r="F56" i="39"/>
  <c r="C6" i="68"/>
  <c r="I46" i="39"/>
  <c r="G46" i="39"/>
  <c r="E46" i="39"/>
  <c r="K23" i="21"/>
  <c r="K19" i="21"/>
  <c r="K17" i="21"/>
  <c r="K15" i="21"/>
  <c r="I38" i="39"/>
  <c r="G38" i="39"/>
  <c r="E38" i="39"/>
  <c r="C38" i="39"/>
  <c r="I11" i="39"/>
  <c r="G11" i="39"/>
  <c r="E11" i="39"/>
  <c r="C11" i="39"/>
  <c r="B35" i="1"/>
  <c r="N8" i="1"/>
  <c r="N7" i="1"/>
  <c r="I7" i="39"/>
  <c r="G7" i="39"/>
  <c r="E7" i="39"/>
  <c r="I5" i="39"/>
  <c r="G5" i="39"/>
  <c r="E5" i="39"/>
  <c r="I7" i="21"/>
  <c r="G7" i="21"/>
  <c r="I11" i="21"/>
  <c r="E11" i="21"/>
  <c r="G11" i="21"/>
  <c r="C11" i="21"/>
  <c r="B24" i="1"/>
  <c r="M6" i="1"/>
  <c r="M7" i="1"/>
  <c r="M8" i="1"/>
  <c r="M16" i="1"/>
  <c r="G1" i="78"/>
  <c r="F35" i="78"/>
  <c r="F36" i="78"/>
  <c r="E37" i="78"/>
  <c r="F38" i="78"/>
  <c r="F20" i="78"/>
  <c r="D3" i="73"/>
  <c r="B22" i="1"/>
  <c r="E1" i="73"/>
  <c r="K1" i="73"/>
  <c r="Q16" i="1"/>
  <c r="F21" i="78"/>
  <c r="C40" i="78"/>
  <c r="B43" i="1"/>
  <c r="B41" i="1"/>
  <c r="F30" i="78"/>
  <c r="C42" i="1"/>
  <c r="C48" i="78"/>
  <c r="N16" i="1"/>
  <c r="F50" i="78"/>
  <c r="F7" i="78"/>
  <c r="B31" i="1"/>
  <c r="E19" i="78"/>
  <c r="C19" i="78"/>
  <c r="B23" i="1"/>
  <c r="C21" i="78"/>
  <c r="C30" i="78"/>
  <c r="G41" i="78"/>
  <c r="G22" i="78"/>
  <c r="E10" i="78"/>
  <c r="E9" i="78"/>
  <c r="C9" i="78"/>
  <c r="E2" i="78"/>
  <c r="G1" i="77"/>
  <c r="F35" i="77"/>
  <c r="F36" i="77"/>
  <c r="E37" i="77"/>
  <c r="F38" i="77"/>
  <c r="F20" i="77"/>
  <c r="F21" i="77"/>
  <c r="C40" i="77"/>
  <c r="F30" i="77"/>
  <c r="C48" i="77"/>
  <c r="F50" i="77"/>
  <c r="F7" i="77"/>
  <c r="E19" i="77"/>
  <c r="C19" i="77"/>
  <c r="C21" i="77"/>
  <c r="C30" i="77"/>
  <c r="G41" i="77"/>
  <c r="G22" i="77"/>
  <c r="E10" i="77"/>
  <c r="E9" i="77"/>
  <c r="C9" i="77"/>
  <c r="E2" i="77"/>
  <c r="G21" i="6"/>
  <c r="G20" i="6"/>
  <c r="F19" i="6"/>
  <c r="K16" i="3"/>
  <c r="I22" i="3"/>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J53" i="15"/>
  <c r="I5" i="3"/>
  <c r="O5" i="3"/>
  <c r="AD5" i="3"/>
  <c r="AL5" i="3"/>
  <c r="I4" i="6"/>
  <c r="G3" i="43"/>
  <c r="F33" i="43"/>
  <c r="C33" i="43"/>
  <c r="G33" i="43"/>
  <c r="I33" i="43"/>
  <c r="E33" i="43"/>
  <c r="E7" i="76"/>
  <c r="E8" i="76"/>
  <c r="E9" i="76"/>
  <c r="E10" i="76"/>
  <c r="E11" i="76"/>
  <c r="E12" i="76"/>
  <c r="E13"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AZ5" i="3"/>
  <c r="H13" i="3"/>
  <c r="G13" i="3"/>
  <c r="H16" i="3"/>
  <c r="G16" i="3"/>
  <c r="H17" i="3"/>
  <c r="G17" i="3"/>
  <c r="H14" i="3"/>
  <c r="AC14" i="3"/>
  <c r="G14" i="3"/>
  <c r="H15" i="3"/>
  <c r="AC15" i="3"/>
  <c r="G15" i="3"/>
  <c r="AC18" i="3"/>
  <c r="G18" i="3"/>
  <c r="AC19" i="3"/>
  <c r="G19" i="3"/>
  <c r="AC20" i="3"/>
  <c r="G20" i="3"/>
  <c r="AC21" i="3"/>
  <c r="G21" i="3"/>
  <c r="H22" i="3"/>
  <c r="G22" i="3"/>
  <c r="G5" i="3"/>
  <c r="AT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AX22" i="3"/>
  <c r="AW22" i="3"/>
  <c r="AV22" i="3"/>
  <c r="AC22" i="3"/>
  <c r="AX21" i="3"/>
  <c r="AW21" i="3"/>
  <c r="AV21" i="3"/>
  <c r="H21" i="3"/>
  <c r="AX20" i="3"/>
  <c r="AW20" i="3"/>
  <c r="AV20" i="3"/>
  <c r="H20" i="3"/>
  <c r="AX19" i="3"/>
  <c r="AW19" i="3"/>
  <c r="AV19" i="3"/>
  <c r="H19" i="3"/>
  <c r="AX18" i="3"/>
  <c r="AW18" i="3"/>
  <c r="AV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D78" i="9"/>
  <c r="E19" i="6"/>
  <c r="E20" i="6"/>
  <c r="E21" i="6"/>
  <c r="K8" i="1"/>
  <c r="F23" i="15"/>
  <c r="D24" i="15"/>
  <c r="O8" i="1"/>
  <c r="P8" i="1"/>
  <c r="M13" i="1"/>
  <c r="O13" i="1"/>
  <c r="P13" i="1"/>
  <c r="E22" i="6"/>
  <c r="E23" i="6"/>
  <c r="E24" i="6"/>
  <c r="E25" i="6"/>
  <c r="E26" i="6"/>
  <c r="BC10" i="3"/>
  <c r="BD10" i="3"/>
  <c r="BB10" i="3"/>
  <c r="AC13" i="3"/>
  <c r="AC16" i="3"/>
  <c r="AC17"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D91" i="39"/>
  <c r="E91" i="39"/>
  <c r="F91" i="39"/>
  <c r="G91"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U27" i="39"/>
  <c r="J19" i="39"/>
  <c r="AC19" i="39"/>
  <c r="J1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U31" i="39"/>
  <c r="S25" i="39"/>
  <c r="G95"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61" i="39"/>
  <c r="F61" i="39"/>
  <c r="B60" i="39"/>
  <c r="F60" i="39"/>
  <c r="B58" i="39"/>
  <c r="F58" i="39"/>
  <c r="B59" i="39"/>
  <c r="F59" i="39"/>
  <c r="B64" i="39"/>
  <c r="F64" i="39"/>
  <c r="B65" i="39"/>
  <c r="F65" i="39"/>
  <c r="B57" i="39"/>
  <c r="F57"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<sst xmlns="http://schemas.openxmlformats.org/spreadsheetml/2006/main" count="7892" uniqueCount="3243">
  <si>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</si>
  <si>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</si>
  <si>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</si>
  <si>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</si>
  <si>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</si>
  <si>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</si>
  <si>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</si>
  <si>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</si>
  <si>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</si>
  <si>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</si>
  <si>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</si>
  <si>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</si>
  <si>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</si>
  <si>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</si>
  <si>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</si>
  <si>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</si>
  <si>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</si>
  <si>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</si>
  <si>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</si>
  <si>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</si>
  <si>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</si>
  <si>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</si>
  <si>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</si>
  <si>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</si>
  <si>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</si>
  <si>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</si>
  <si>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</si>
  <si>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</si>
  <si>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</si>
  <si>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</si>
  <si>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</si>
  <si>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</si>
  <si>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</si>
  <si>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</si>
  <si>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</si>
  <si>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</si>
  <si>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</si>
  <si>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</si>
  <si>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</si>
  <si>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</si>
  <si>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</si>
  <si>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</si>
  <si>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</si>
  <si>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</si>
  <si>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</si>
  <si>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</si>
  <si>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</si>
  <si>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</si>
  <si>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</si>
  <si>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</si>
  <si>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</si>
  <si>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</si>
  <si>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</si>
  <si>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</si>
  <si>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</si>
  <si>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</si>
  <si>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</si>
  <si>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</si>
  <si>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</si>
  <si>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</si>
  <si>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</si>
  <si>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</si>
  <si>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</si>
  <si>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</si>
  <si>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</si>
  <si>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</si>
  <si>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</si>
  <si>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</si>
  <si>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</si>
  <si>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</si>
  <si>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</si>
  <si>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</si>
  <si>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</si>
  <si>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</si>
  <si>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</si>
  <si>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</si>
  <si>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</si>
  <si>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</si>
  <si>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</si>
  <si>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</si>
  <si>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</si>
  <si>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</si>
  <si>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</si>
  <si>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</si>
  <si>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</si>
  <si>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</si>
  <si>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</si>
  <si>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</si>
  <si>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</si>
  <si>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</si>
  <si>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</si>
  <si>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</si>
  <si>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</si>
  <si>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</si>
  <si>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</si>
  <si>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</si>
  <si>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</si>
  <si>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</si>
  <si>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</si>
  <si>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</si>
  <si>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</si>
  <si>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</si>
  <si>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</si>
  <si>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</si>
  <si>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</si>
  <si>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</si>
  <si>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</si>
  <si>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</si>
  <si>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</si>
  <si>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</si>
  <si>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</si>
  <si>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</si>
  <si>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</si>
  <si>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</si>
  <si>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</si>
  <si>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</si>
  <si>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</si>
  <si>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</si>
  <si>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</si>
  <si>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</si>
  <si>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</si>
  <si>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</si>
  <si>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</si>
  <si>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</si>
  <si>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</si>
  <si>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</si>
  <si>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</si>
  <si>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</si>
  <si>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</si>
  <si>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</si>
  <si>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</si>
  <si>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</si>
  <si>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</si>
  <si>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</si>
  <si>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</si>
  <si>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</si>
  <si>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</si>
  <si>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</si>
  <si>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</si>
  <si>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</si>
  <si>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</si>
  <si>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</si>
  <si>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</si>
  <si>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</si>
  <si>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</si>
  <si>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</si>
  <si>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</si>
  <si>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</si>
  <si>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</si>
  <si>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</si>
  <si>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</si>
  <si>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</si>
  <si>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</si>
  <si>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</si>
  <si>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</si>
  <si>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</si>
  <si>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</si>
  <si>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</si>
  <si>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</si>
  <si>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</si>
  <si>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</si>
  <si>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</si>
  <si>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</si>
  <si>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</si>
  <si>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</si>
  <si>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</si>
  <si>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</si>
  <si>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</si>
  <si>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</si>
  <si>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</si>
  <si>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</si>
  <si>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</si>
  <si>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</si>
  <si>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</si>
  <si>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</si>
  <si>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</si>
  <si>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</si>
  <si>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</si>
  <si>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</si>
  <si>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</si>
  <si>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</si>
  <si>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</si>
  <si>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</si>
  <si>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</si>
  <si>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</si>
  <si>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</si>
  <si>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</si>
  <si>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</si>
  <si>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</si>
  <si>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</si>
  <si>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</si>
  <si>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</si>
  <si>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</si>
  <si>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</si>
  <si>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</si>
  <si>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</si>
  <si>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</si>
  <si>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</si>
  <si>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</si>
  <si>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</si>
  <si>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</si>
  <si>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</si>
  <si>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</si>
  <si>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</si>
  <si>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</si>
  <si>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</si>
  <si>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</si>
  <si>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</si>
  <si>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</si>
  <si>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</si>
  <si>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</si>
  <si>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</si>
  <si>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</si>
  <si>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</si>
  <si>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</si>
  <si>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</si>
  <si>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</si>
  <si>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</si>
  <si>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</si>
  <si>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</si>
  <si>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</si>
  <si>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</si>
  <si>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</si>
  <si>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</si>
  <si>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</si>
  <si>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</si>
  <si>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</si>
  <si>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</si>
  <si>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</si>
  <si>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</si>
  <si>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</si>
  <si>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</si>
  <si>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</si>
  <si>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</si>
  <si>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</si>
  <si>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</si>
  <si>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</si>
  <si>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</si>
  <si>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</si>
  <si>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</si>
  <si>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</si>
  <si>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</si>
  <si>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</si>
  <si>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</si>
  <si>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</si>
  <si>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</si>
  <si>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</si>
  <si>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</si>
  <si>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</si>
  <si>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</si>
  <si>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</si>
  <si>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</si>
  <si>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</si>
  <si>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</si>
  <si>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</si>
  <si>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</si>
  <si>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</si>
  <si>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</si>
  <si>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</si>
  <si>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</si>
  <si>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</si>
  <si>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</si>
  <si>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</si>
  <si>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</si>
  <si>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</si>
  <si>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</si>
  <si>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</si>
  <si>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</si>
  <si>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</si>
  <si>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</si>
  <si>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</si>
  <si>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</si>
  <si>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</si>
  <si>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</si>
  <si>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</si>
  <si>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</si>
  <si>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</si>
  <si>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</si>
  <si>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</si>
  <si>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</si>
  <si>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</si>
  <si>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</si>
  <si>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</si>
  <si>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</si>
  <si>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</si>
  <si>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</si>
  <si>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</si>
  <si>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</si>
  <si>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</si>
  <si>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</si>
  <si>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</si>
  <si>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</si>
  <si>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</si>
  <si>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</si>
  <si>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</si>
  <si>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</si>
  <si>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</si>
  <si>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</si>
  <si>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</si>
  <si>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</si>
  <si>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</si>
  <si>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</si>
  <si>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</si>
  <si>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</si>
  <si>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</si>
  <si>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</si>
  <si>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</si>
  <si>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</si>
  <si>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</si>
  <si>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</si>
  <si>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</si>
  <si>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</si>
  <si>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</si>
  <si>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</si>
  <si>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</si>
  <si>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</si>
  <si>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</si>
  <si>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</si>
  <si>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</si>
  <si>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</si>
  <si>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</si>
  <si>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</si>
  <si>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</si>
  <si>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</si>
  <si>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</si>
  <si>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</si>
  <si>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</si>
  <si>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</si>
  <si>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</si>
  <si>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</si>
  <si>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</si>
  <si>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</si>
  <si>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</si>
  <si>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</si>
  <si>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</si>
  <si>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</si>
  <si>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</si>
  <si>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</si>
  <si>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</si>
  <si>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</si>
  <si>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</si>
  <si>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</si>
  <si>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</si>
  <si>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</si>
  <si>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</si>
  <si>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</si>
  <si>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</si>
  <si>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</si>
  <si>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</si>
  <si>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</si>
  <si>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</si>
  <si>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</si>
  <si>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</si>
  <si>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</si>
  <si>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</si>
  <si>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</si>
  <si>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</si>
  <si>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</si>
  <si>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</si>
  <si>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</si>
  <si>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</si>
  <si>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</si>
  <si>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</si>
  <si>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</si>
  <si>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</si>
  <si>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</si>
  <si>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</si>
  <si>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</si>
  <si>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</si>
  <si>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</si>
  <si>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</si>
  <si>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</si>
  <si>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</si>
  <si>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</si>
  <si>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</si>
  <si>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</si>
  <si>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</si>
  <si>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</si>
  <si>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</si>
  <si>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</si>
  <si>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</si>
  <si>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</si>
  <si>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</si>
  <si>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</si>
  <si>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</si>
  <si>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</si>
  <si>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</si>
  <si>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</si>
  <si>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</si>
  <si>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</si>
  <si>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</si>
  <si>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</si>
  <si>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</si>
  <si>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</si>
  <si>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</si>
  <si>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</si>
  <si>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</si>
  <si>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</si>
  <si>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</si>
  <si>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</si>
  <si>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</si>
  <si>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</si>
  <si>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</si>
  <si>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</si>
  <si>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</si>
  <si>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</si>
  <si>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</si>
  <si>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</si>
  <si>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</si>
  <si>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</si>
  <si>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</si>
  <si>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</si>
  <si>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</si>
  <si>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</si>
  <si>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</si>
  <si>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</si>
  <si>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</si>
  <si>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</si>
  <si>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</si>
  <si>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</si>
  <si>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</si>
  <si>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</si>
  <si>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</si>
  <si>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</si>
  <si>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</si>
  <si>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</si>
  <si>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</si>
  <si>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</si>
  <si>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</si>
  <si>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</si>
  <si>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</si>
  <si>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</si>
  <si>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</si>
  <si>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</si>
  <si>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</si>
  <si>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</si>
  <si>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</si>
  <si>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</si>
  <si>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</si>
  <si>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</si>
  <si>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</si>
  <si>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</si>
  <si>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</si>
  <si>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</si>
  <si>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</si>
  <si>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</si>
  <si>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</si>
  <si>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</si>
  <si>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</si>
  <si>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</si>
  <si>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</si>
  <si>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</si>
  <si>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</si>
  <si>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</si>
  <si>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</si>
  <si>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</si>
  <si>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</si>
  <si>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</si>
  <si>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</si>
  <si>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</si>
  <si>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</si>
  <si>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</si>
  <si>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</si>
  <si>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</si>
  <si>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</si>
  <si>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</si>
  <si>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</si>
  <si>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</si>
  <si>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</si>
  <si>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</si>
  <si>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</si>
  <si>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</si>
  <si>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</si>
  <si>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</si>
  <si>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</si>
  <si>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</si>
  <si>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</si>
  <si>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</si>
  <si>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</si>
  <si>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</si>
  <si>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</si>
  <si>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</si>
  <si>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</si>
  <si>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</si>
  <si>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</si>
  <si>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</si>
  <si>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</si>
  <si>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</si>
  <si>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</si>
  <si>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</si>
  <si>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</si>
  <si>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</si>
  <si>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</si>
  <si>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</si>
  <si>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</si>
  <si>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</si>
  <si>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</si>
  <si>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</si>
  <si>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</si>
  <si>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</si>
  <si>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</si>
  <si>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</si>
  <si>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</si>
  <si>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</si>
  <si>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</si>
  <si>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</si>
  <si>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</si>
  <si>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</si>
  <si>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</si>
  <si>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</si>
  <si>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</si>
  <si>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</si>
  <si>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</si>
  <si>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</si>
  <si>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</si>
  <si>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</si>
  <si>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</si>
  <si>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</si>
  <si>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</si>
  <si>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</si>
  <si>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</si>
  <si>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</si>
  <si>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</si>
  <si>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</si>
  <si>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</si>
  <si>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</si>
  <si>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</si>
  <si>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</si>
  <si>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</si>
  <si>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</si>
  <si>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</si>
  <si>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</si>
  <si>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</si>
  <si>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</si>
  <si>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</si>
  <si>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</si>
  <si>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</si>
  <si>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</si>
  <si>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</si>
  <si>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</si>
  <si>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</si>
  <si>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</si>
  <si>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</si>
  <si>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</si>
  <si>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</si>
  <si>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</si>
  <si>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</si>
  <si>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</si>
  <si>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</si>
  <si>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</si>
  <si>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</si>
  <si>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</si>
  <si>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</si>
  <si>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</si>
  <si>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</si>
  <si>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</si>
  <si>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</si>
  <si>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</si>
  <si>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</si>
  <si>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</si>
  <si>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</si>
  <si>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</si>
  <si>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</si>
  <si>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</si>
  <si>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</si>
  <si>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</si>
  <si>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</si>
  <si>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</si>
  <si>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</si>
  <si>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</si>
  <si>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</si>
  <si>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</si>
  <si>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</si>
  <si>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</si>
  <si>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</si>
  <si>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</si>
  <si>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</si>
  <si>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</si>
  <si>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</si>
  <si>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</si>
  <si>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</si>
  <si>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</si>
  <si>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</si>
  <si>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</si>
  <si>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</si>
  <si>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</si>
  <si>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</si>
  <si>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</si>
  <si>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</si>
  <si>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</si>
  <si>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</si>
  <si>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</si>
  <si>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</si>
  <si>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</si>
  <si>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</si>
  <si>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</si>
  <si>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</si>
  <si>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</si>
  <si>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</si>
  <si>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</si>
  <si>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</si>
  <si>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</si>
  <si>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</si>
  <si>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</si>
  <si>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</si>
  <si>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</si>
  <si>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</si>
  <si>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</si>
  <si>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</si>
  <si>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</si>
  <si>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</si>
  <si>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</si>
  <si>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</si>
  <si>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</si>
  <si>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</si>
  <si>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</si>
  <si>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</si>
  <si>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</si>
  <si>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</si>
  <si>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</si>
  <si>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</si>
  <si>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</si>
  <si>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</si>
  <si>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</si>
  <si>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</si>
  <si>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</si>
  <si>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</si>
  <si>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</si>
  <si>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</si>
  <si>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</si>
  <si>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</si>
  <si>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</si>
  <si>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</si>
  <si>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</si>
  <si>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</si>
  <si>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</si>
  <si>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</si>
  <si>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</si>
  <si>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</si>
  <si>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</si>
  <si>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</si>
  <si>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</si>
  <si>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</si>
  <si>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</si>
  <si>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</si>
  <si>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</si>
  <si>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</si>
  <si>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</si>
  <si>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</si>
  <si>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</si>
  <si>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</si>
  <si>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</si>
  <si>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</si>
  <si>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</si>
  <si>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</si>
  <si>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</si>
  <si>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</si>
  <si>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</si>
  <si>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</si>
  <si>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</si>
  <si>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</si>
  <si>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</si>
  <si>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</si>
  <si>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</si>
  <si>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</si>
  <si>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</si>
  <si>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</si>
  <si>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</si>
  <si>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</si>
  <si>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</si>
  <si>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</si>
  <si>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</si>
  <si>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</si>
  <si>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</si>
  <si>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</si>
  <si>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</si>
  <si>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</si>
  <si>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</si>
  <si>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</si>
  <si>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</si>
  <si>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</si>
  <si>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</si>
  <si>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</si>
  <si>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</si>
  <si>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</si>
  <si>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</si>
  <si>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</si>
  <si>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</si>
  <si>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</si>
  <si>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</si>
  <si>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</si>
  <si>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</si>
  <si>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</si>
  <si>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</si>
  <si>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</si>
  <si>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</si>
  <si>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</si>
  <si>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</si>
  <si>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</si>
  <si>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</si>
  <si>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</si>
  <si>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</si>
  <si>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</si>
  <si>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</si>
  <si>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</si>
  <si>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</si>
  <si>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</si>
  <si>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</si>
  <si>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</si>
  <si>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</si>
  <si>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</si>
  <si>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</si>
  <si>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</si>
  <si>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</si>
  <si>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</si>
  <si>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</si>
  <si>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</si>
  <si>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</si>
  <si>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</si>
  <si>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</si>
  <si>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</si>
  <si>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</si>
  <si>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</si>
  <si>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</si>
  <si>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</si>
  <si>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</si>
  <si>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</si>
  <si>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</si>
  <si>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</si>
  <si>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</si>
  <si>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</si>
  <si>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</si>
  <si>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</si>
  <si>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</si>
  <si>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</si>
  <si>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</si>
  <si>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</si>
  <si>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</si>
  <si>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</si>
  <si>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</si>
  <si>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</si>
  <si>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</si>
  <si>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</si>
  <si>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</si>
  <si>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</si>
  <si>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</si>
  <si>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</si>
  <si>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</si>
  <si>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</si>
  <si>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</si>
  <si>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</si>
  <si>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</si>
  <si>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</si>
  <si>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</si>
  <si>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</si>
  <si>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</si>
  <si>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</si>
  <si>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</si>
  <si>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</si>
  <si>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</si>
  <si>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</si>
  <si>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</si>
  <si>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</si>
  <si>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</si>
  <si>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</si>
  <si>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</si>
  <si>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</si>
  <si>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</si>
  <si>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</si>
  <si>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</si>
  <si>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</si>
  <si>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</si>
  <si>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</si>
  <si>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</si>
  <si>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</si>
  <si>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</si>
  <si>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</si>
  <si>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</si>
  <si>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</si>
  <si>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</si>
  <si>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</si>
  <si>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</si>
  <si>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</si>
  <si>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</si>
  <si>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</si>
  <si>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</si>
  <si>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</si>
  <si>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</si>
  <si>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</si>
  <si>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</si>
  <si>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</si>
  <si>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</si>
  <si>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</si>
  <si>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</si>
  <si>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</si>
  <si>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</si>
  <si>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</si>
  <si>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</si>
  <si>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</si>
  <si>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</si>
  <si>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</si>
  <si>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</si>
  <si>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</si>
  <si>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</si>
  <si>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</si>
  <si>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</si>
  <si>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</si>
  <si>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</si>
  <si>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</si>
  <si>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</si>
  <si>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</si>
  <si>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</si>
  <si>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</si>
  <si>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</si>
  <si>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</si>
  <si>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</si>
  <si>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</si>
  <si>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</si>
  <si>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</si>
  <si>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</si>
  <si>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</si>
  <si>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</si>
  <si>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</si>
  <si>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</si>
  <si>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</si>
  <si>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</si>
  <si>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</si>
  <si>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</si>
  <si>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</si>
  <si>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</si>
  <si>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</si>
  <si>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</si>
  <si>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</si>
  <si>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</si>
  <si>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</si>
  <si>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</si>
  <si>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</si>
  <si>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</si>
  <si>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</si>
  <si>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</si>
  <si>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</si>
  <si>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</si>
  <si>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</si>
  <si>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</si>
  <si>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</si>
  <si>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</si>
  <si>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</si>
  <si>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</si>
  <si>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</si>
  <si>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</si>
  <si>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</si>
  <si>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</si>
  <si>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</si>
  <si>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</si>
  <si>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</si>
  <si>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</si>
  <si>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</si>
  <si>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</si>
  <si>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</si>
  <si>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</si>
  <si>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</si>
  <si>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</si>
  <si>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</si>
  <si>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</si>
  <si>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</si>
  <si>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</si>
  <si>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</si>
  <si>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</si>
  <si>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</si>
  <si>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</si>
  <si>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</si>
  <si>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</si>
  <si>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</si>
  <si>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</si>
  <si>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</si>
  <si>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</si>
  <si>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</si>
  <si>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</si>
  <si>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</si>
  <si>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</si>
  <si>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</si>
  <si>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</si>
  <si>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</si>
  <si>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</si>
  <si>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</si>
  <si>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</si>
  <si>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</si>
  <si>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</si>
  <si>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</si>
  <si>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</si>
  <si>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</si>
  <si>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</si>
  <si>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</si>
  <si>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</si>
  <si>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</si>
  <si>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</si>
  <si>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</si>
  <si>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</si>
  <si>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</si>
  <si>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</si>
  <si>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</si>
  <si>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</si>
  <si>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</si>
  <si>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</si>
  <si>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</si>
  <si>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</si>
  <si>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</si>
  <si>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</si>
  <si>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</si>
  <si>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</si>
  <si>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</si>
  <si>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</si>
  <si>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</si>
  <si>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</si>
  <si>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</si>
  <si>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</si>
  <si>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</si>
  <si>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</si>
  <si>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</si>
  <si>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</si>
  <si>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</si>
  <si>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</si>
  <si>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</si>
  <si>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</si>
  <si>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</si>
  <si>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</si>
  <si>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</si>
  <si>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</si>
  <si>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</si>
  <si>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</si>
  <si>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</si>
  <si>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</si>
  <si>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</si>
  <si>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</si>
  <si>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</si>
  <si>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</si>
  <si>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</si>
  <si>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</si>
  <si>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</si>
  <si>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</si>
  <si>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</si>
  <si>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</si>
  <si>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</si>
  <si>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</si>
  <si>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</si>
  <si>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</si>
  <si>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</si>
  <si>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</si>
  <si>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</si>
  <si>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</si>
  <si>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</si>
  <si>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</si>
  <si>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</si>
  <si>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</si>
  <si>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</si>
  <si>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</si>
  <si>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</si>
  <si>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</si>
  <si>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</si>
  <si>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</si>
  <si>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</si>
  <si>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</si>
  <si>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</si>
  <si>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</si>
  <si>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</si>
  <si>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</si>
  <si>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</si>
  <si>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</si>
  <si>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</si>
  <si>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</si>
  <si>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</si>
  <si>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</si>
  <si>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</si>
  <si>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</si>
  <si>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</si>
  <si>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</si>
  <si>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</si>
  <si>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</si>
  <si>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</si>
  <si>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</si>
  <si>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</si>
  <si>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</si>
  <si>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</si>
  <si>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</si>
  <si>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</si>
  <si>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</si>
  <si>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</si>
  <si>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</si>
  <si>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</si>
  <si>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</si>
  <si>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</si>
  <si>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</si>
  <si>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</si>
  <si>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</si>
  <si>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</si>
  <si>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</si>
  <si>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</si>
  <si>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</si>
  <si>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</si>
  <si>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</si>
  <si>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</si>
  <si>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</si>
  <si>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</si>
  <si>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</si>
  <si>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</si>
  <si>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</si>
  <si>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</si>
  <si>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</si>
  <si>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</si>
  <si>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</si>
  <si>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</si>
  <si>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</si>
  <si>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</si>
  <si>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</si>
  <si>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</si>
  <si>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</si>
  <si>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</si>
  <si>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</si>
  <si>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</si>
  <si>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</si>
  <si>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</si>
  <si>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</si>
  <si>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</si>
  <si>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</si>
  <si>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</si>
  <si>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</si>
  <si>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</si>
  <si>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</si>
  <si>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</si>
  <si>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</si>
  <si>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</si>
  <si>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</si>
  <si>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</si>
  <si>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</si>
  <si>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</si>
  <si>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</si>
  <si>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</si>
  <si>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</si>
  <si>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</si>
  <si>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</si>
  <si>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</si>
  <si>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</si>
  <si>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</si>
  <si>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</si>
  <si>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</si>
  <si>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</si>
  <si>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</si>
  <si>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</si>
  <si>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</si>
  <si>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</si>
  <si>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</si>
  <si>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</si>
  <si>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</si>
  <si>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</si>
  <si>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</si>
  <si>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</si>
  <si>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</si>
  <si>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</si>
  <si>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</si>
  <si>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</si>
  <si>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</si>
  <si>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</si>
  <si>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</si>
  <si>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</si>
  <si>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</si>
  <si>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</si>
  <si>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</si>
  <si>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</si>
  <si>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</si>
  <si>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</si>
  <si>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</si>
  <si>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</si>
  <si>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</si>
  <si>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</si>
  <si>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</si>
  <si>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</si>
  <si>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</si>
  <si>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</si>
  <si>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</si>
  <si>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</si>
  <si>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</si>
  <si>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</si>
  <si>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</si>
  <si>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</si>
  <si>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</si>
  <si>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</si>
  <si>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</si>
  <si>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</si>
  <si>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</si>
  <si>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</si>
  <si>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</si>
  <si>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</si>
  <si>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</si>
  <si>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</si>
  <si>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</si>
  <si>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</si>
  <si>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</si>
  <si>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</si>
  <si>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</si>
  <si>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</si>
  <si>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</si>
  <si>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</si>
  <si>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</si>
  <si>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</si>
  <si>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</si>
  <si>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</si>
  <si>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</si>
  <si>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</si>
  <si>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</si>
  <si>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</si>
  <si>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</si>
  <si>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</si>
  <si>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</si>
  <si>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</si>
  <si>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</si>
  <si>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</si>
  <si>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</si>
  <si>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</si>
  <si>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</si>
  <si>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</si>
  <si>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</si>
  <si>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</si>
  <si>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</si>
  <si>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</si>
  <si>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</si>
  <si>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</si>
  <si>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</si>
  <si>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</si>
  <si>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</si>
  <si>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</si>
  <si>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</si>
  <si>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</si>
  <si>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</si>
  <si>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</si>
  <si>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</si>
  <si>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</si>
  <si>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</si>
  <si>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</si>
  <si>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</si>
  <si>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</si>
  <si>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</si>
  <si>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</si>
  <si>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</si>
  <si>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</si>
  <si>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</si>
  <si>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</si>
  <si>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</si>
  <si>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</si>
  <si>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</si>
  <si>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</si>
  <si>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</si>
  <si>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</si>
  <si>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</si>
  <si>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</si>
  <si>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</si>
  <si>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</si>
  <si>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</si>
  <si>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</si>
  <si>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</si>
  <si>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</si>
  <si>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</si>
  <si>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</si>
  <si>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</si>
  <si>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</si>
  <si>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</si>
  <si>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</si>
  <si>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</si>
  <si>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</si>
  <si>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</si>
  <si>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</si>
  <si>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</si>
  <si>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</si>
  <si>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</si>
  <si>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</si>
  <si>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</si>
  <si>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</si>
  <si>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</si>
  <si>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</si>
  <si>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</si>
  <si>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</si>
  <si>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</si>
  <si>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</si>
  <si>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</si>
  <si>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</si>
  <si>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</si>
  <si>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</si>
  <si>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</si>
  <si>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</si>
  <si>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</si>
  <si>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</si>
  <si>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</si>
  <si>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</si>
  <si>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</si>
  <si>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</si>
  <si>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</si>
  <si>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</si>
  <si>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</si>
  <si>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</si>
  <si>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</si>
  <si>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</si>
  <si>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</si>
  <si>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</si>
  <si>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</si>
  <si>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</si>
  <si>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</si>
  <si>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</si>
  <si>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</si>
  <si>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</si>
  <si>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</si>
  <si>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</si>
  <si>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</si>
  <si>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</si>
  <si>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</si>
  <si>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</si>
  <si>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</si>
  <si>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</si>
  <si>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</si>
  <si>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</si>
  <si>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</si>
  <si>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</si>
  <si>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</si>
  <si>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</si>
  <si>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</si>
  <si>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</si>
  <si>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</si>
  <si>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</si>
  <si>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</si>
  <si>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</si>
  <si>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</si>
  <si>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</si>
  <si>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</si>
  <si>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</si>
  <si>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</si>
  <si>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</si>
  <si>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</si>
  <si>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</si>
  <si>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</si>
  <si>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</si>
  <si>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</si>
  <si>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</si>
  <si>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</si>
  <si>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</si>
  <si>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</si>
  <si>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</si>
  <si>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</si>
  <si>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</si>
  <si>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</si>
  <si>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</si>
  <si>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</si>
  <si>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</si>
  <si>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</si>
  <si>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</si>
  <si>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</si>
  <si>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</si>
  <si>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</si>
  <si>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</si>
  <si>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</si>
  <si>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</si>
  <si>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</si>
  <si>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</si>
  <si>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</si>
  <si>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</si>
  <si>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</si>
  <si>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</si>
  <si>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</si>
  <si>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</si>
  <si>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</si>
  <si>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</si>
  <si>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</si>
  <si>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</si>
  <si>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</si>
  <si>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</si>
  <si>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</si>
  <si>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</si>
  <si>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</si>
  <si>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</si>
  <si>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</si>
  <si>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</si>
  <si>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</si>
  <si>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</si>
  <si>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</si>
  <si>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</si>
  <si>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</si>
  <si>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</si>
  <si>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</si>
  <si>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</si>
  <si>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</si>
  <si>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</si>
  <si>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</si>
  <si>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</si>
  <si>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</si>
  <si>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</si>
  <si>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</si>
  <si>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</si>
  <si>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</si>
  <si>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</si>
  <si>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</si>
  <si>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</si>
  <si>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</si>
  <si>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</si>
  <si>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</si>
  <si>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</si>
  <si>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</si>
  <si>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</si>
  <si>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</si>
  <si>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</si>
  <si>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</si>
  <si>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</si>
  <si>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</si>
  <si>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</si>
  <si>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</si>
  <si>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</si>
  <si>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</si>
  <si>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</si>
  <si>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</si>
  <si>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</si>
  <si>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</si>
  <si>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</si>
  <si>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</si>
  <si>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</si>
  <si>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</si>
  <si>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</si>
  <si>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</si>
  <si>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</si>
  <si>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</si>
  <si>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</si>
  <si>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</si>
  <si>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</si>
  <si>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</si>
  <si>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</si>
  <si>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</si>
  <si>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</si>
  <si>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</si>
  <si>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</si>
  <si>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</si>
  <si>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</si>
  <si>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</si>
  <si>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</si>
  <si>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</si>
  <si>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</si>
  <si>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</si>
  <si>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</si>
  <si>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</si>
  <si>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</si>
  <si>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</si>
  <si>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</si>
  <si>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</si>
  <si>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</si>
  <si>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</si>
  <si>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</si>
  <si>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</si>
  <si>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</si>
  <si>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</si>
  <si>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</si>
  <si>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</si>
  <si>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</si>
  <si>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</si>
  <si>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</si>
  <si>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</si>
  <si>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</si>
  <si>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</si>
  <si>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</si>
  <si>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</si>
  <si>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</si>
  <si>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</si>
  <si>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</si>
  <si>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</si>
  <si>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</si>
  <si>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</si>
  <si>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</si>
  <si>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</si>
  <si>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</si>
  <si>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</si>
  <si>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</si>
  <si>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</si>
  <si>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</si>
  <si>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</si>
  <si>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</si>
  <si>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</si>
  <si>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</si>
  <si>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</si>
  <si>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</si>
  <si>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</si>
  <si>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</si>
  <si>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</si>
  <si>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</si>
  <si>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</si>
  <si>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</si>
  <si>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</si>
  <si>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</si>
  <si>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</si>
  <si>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</si>
  <si>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</si>
  <si>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</si>
  <si>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</si>
  <si>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</si>
  <si>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</si>
  <si>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</si>
  <si>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</si>
  <si>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</si>
  <si>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</si>
  <si>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</si>
  <si>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</si>
  <si>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</si>
  <si>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</si>
  <si>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</si>
  <si>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</si>
  <si>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</si>
  <si>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</si>
  <si>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</si>
  <si>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</si>
  <si>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</si>
  <si>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</si>
  <si>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</si>
  <si>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</si>
  <si>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</si>
  <si>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</si>
  <si>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</si>
  <si>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</si>
  <si>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</si>
  <si>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</si>
  <si>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</si>
  <si>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</si>
  <si>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</si>
  <si>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</si>
  <si>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</si>
  <si>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</si>
  <si>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</si>
  <si>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</si>
  <si>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</si>
  <si>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</si>
  <si>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</si>
  <si>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</si>
  <si>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</si>
  <si>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</si>
  <si>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</si>
  <si>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</si>
  <si>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</si>
  <si>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</si>
  <si>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</si>
  <si>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</si>
  <si>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</si>
  <si>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</si>
  <si>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</si>
  <si>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</si>
  <si>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</si>
  <si>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</si>
  <si>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</si>
  <si>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</si>
  <si>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</si>
  <si>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</si>
  <si>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</si>
  <si>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</si>
  <si>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</si>
  <si>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</si>
  <si>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</si>
  <si>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</si>
  <si>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</si>
  <si>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</si>
  <si>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</si>
  <si>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</si>
  <si>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</si>
  <si>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</si>
  <si>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</si>
  <si>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</si>
  <si>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</si>
  <si>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</si>
  <si>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</si>
  <si>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</si>
  <si>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</si>
  <si>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</si>
  <si>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</si>
  <si>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</si>
  <si>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</si>
  <si>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</si>
  <si>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</si>
  <si>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</si>
  <si>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</si>
  <si>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</si>
  <si>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</si>
  <si>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</si>
  <si>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</si>
  <si>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</si>
  <si>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</si>
  <si>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</si>
  <si>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</si>
  <si>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</si>
  <si>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</si>
  <si>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</si>
  <si>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</si>
  <si>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</si>
  <si>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</si>
  <si>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</si>
  <si>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</si>
  <si>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</si>
  <si>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</si>
  <si>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</si>
  <si>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</si>
  <si>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</si>
  <si>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</si>
  <si>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</si>
  <si>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</si>
  <si>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</si>
  <si>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</si>
  <si>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</si>
  <si>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</si>
  <si>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</si>
  <si>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</si>
  <si>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</si>
  <si>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</si>
  <si>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</si>
  <si>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</si>
  <si>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</si>
  <si>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</si>
  <si>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</si>
  <si>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</si>
  <si>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</si>
  <si>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</si>
  <si>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</si>
  <si>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</si>
  <si>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</si>
  <si>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</si>
  <si>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</si>
  <si>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</si>
  <si>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</si>
  <si>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</si>
  <si>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</si>
  <si>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</si>
  <si>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</si>
  <si>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</si>
  <si>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</si>
  <si>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</si>
  <si>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</si>
  <si>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</si>
  <si>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</si>
  <si>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</si>
  <si>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</si>
  <si>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</si>
  <si>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</si>
  <si>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</si>
  <si>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</si>
  <si>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</si>
  <si>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</si>
  <si>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</si>
  <si>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</si>
  <si>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</si>
  <si>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</si>
  <si>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</si>
  <si>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</si>
  <si>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</si>
  <si>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</si>
  <si>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</si>
  <si>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</si>
  <si>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</si>
  <si>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</si>
  <si>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</si>
  <si>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</si>
  <si>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</si>
  <si>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</si>
  <si>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</si>
  <si>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</si>
  <si>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</si>
  <si>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</si>
  <si>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</si>
  <si>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</si>
  <si>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</si>
  <si>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</si>
  <si>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</si>
  <si>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</si>
  <si>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</si>
  <si>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</si>
  <si>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</si>
  <si>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</si>
  <si>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</si>
  <si>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</si>
  <si>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</si>
  <si>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</si>
  <si>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</si>
  <si>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</si>
  <si>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</si>
  <si>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</si>
  <si>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</si>
  <si>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</si>
  <si>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</si>
  <si>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</si>
  <si>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</si>
  <si>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</si>
  <si>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</si>
  <si>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</si>
  <si>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</si>
  <si>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</si>
  <si>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</si>
  <si>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</si>
  <si>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</si>
  <si>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</si>
  <si>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</si>
  <si>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</si>
  <si>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</si>
  <si>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</si>
  <si>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</si>
  <si>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</si>
  <si>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</si>
  <si>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</si>
  <si>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</si>
  <si>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</si>
  <si>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</si>
  <si>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</si>
  <si>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</si>
  <si>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</si>
  <si>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</si>
  <si>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</si>
  <si>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</si>
  <si>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</si>
  <si>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</si>
  <si>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</si>
  <si>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</si>
  <si>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</si>
  <si>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</si>
  <si>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</si>
  <si>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</si>
  <si>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</si>
  <si>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</si>
  <si>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</si>
  <si>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</si>
  <si>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</si>
  <si>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</si>
  <si>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</si>
  <si>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</si>
  <si>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</si>
  <si>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</si>
  <si>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</si>
  <si>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</si>
  <si>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</si>
  <si>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</si>
  <si>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</si>
  <si>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</si>
  <si>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</si>
  <si>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</si>
  <si>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</si>
  <si>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</si>
  <si>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</si>
  <si>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</si>
  <si>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</si>
  <si>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</si>
  <si>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</si>
  <si>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</si>
  <si>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</si>
  <si>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</si>
  <si>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</si>
  <si>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</si>
  <si>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</si>
  <si>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</si>
  <si>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</si>
  <si>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</si>
  <si>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</si>
  <si>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</si>
  <si>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</si>
  <si>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</si>
  <si>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</si>
  <si>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</si>
  <si>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</si>
  <si>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</si>
  <si>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</si>
  <si>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</si>
  <si>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</si>
  <si>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</si>
  <si>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</si>
  <si>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</si>
  <si>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</si>
  <si>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</si>
  <si>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</si>
  <si>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</si>
  <si>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</si>
  <si>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</si>
  <si>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</si>
  <si>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</si>
  <si>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</si>
  <si>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</si>
  <si>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</si>
  <si>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</si>
  <si>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</si>
  <si>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</si>
  <si>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</si>
  <si>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</si>
  <si>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</si>
  <si>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</si>
  <si>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</si>
  <si>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</si>
  <si>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</si>
  <si>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</si>
  <si>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</si>
  <si>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</si>
  <si>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</si>
  <si>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</si>
  <si>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</si>
  <si>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</si>
  <si>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</si>
  <si>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</si>
  <si>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</si>
  <si>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</si>
  <si>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</si>
  <si>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</si>
  <si>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</si>
  <si>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</si>
  <si>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</si>
  <si>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</si>
  <si>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</si>
  <si>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</si>
  <si>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</si>
  <si>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</si>
  <si>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</si>
  <si>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</si>
  <si>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</si>
  <si>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</si>
  <si>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</si>
  <si>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</si>
  <si>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</si>
  <si>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</si>
  <si>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</si>
  <si>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</si>
  <si>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</si>
  <si>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</si>
  <si>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</si>
  <si>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</si>
  <si>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</si>
  <si>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</si>
  <si>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</si>
  <si>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</si>
  <si>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</si>
  <si>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</si>
  <si>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</si>
  <si>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</si>
  <si>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</si>
  <si>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</si>
  <si>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</si>
  <si>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</si>
  <si>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</si>
  <si>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</si>
  <si>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</si>
  <si>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</si>
  <si>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</si>
  <si>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</si>
  <si>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</si>
  <si>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</si>
  <si>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</si>
  <si>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</si>
  <si>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</si>
  <si>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</si>
  <si>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</si>
  <si>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</si>
  <si>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</si>
  <si>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</si>
  <si>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</si>
  <si>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</si>
  <si>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</si>
  <si>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</si>
  <si>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</si>
  <si>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</si>
  <si>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</si>
  <si>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</si>
  <si>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</si>
  <si>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</si>
  <si>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</si>
  <si>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</si>
  <si>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</si>
  <si>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</si>
  <si>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</si>
  <si>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</si>
  <si>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</si>
  <si>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</si>
  <si>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</si>
  <si>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</si>
  <si>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</si>
  <si>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</si>
  <si>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</si>
  <si>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</si>
  <si>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</si>
  <si>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</si>
  <si>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</si>
  <si>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</si>
  <si>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</si>
  <si>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</si>
  <si>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</si>
  <si>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</si>
  <si>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</si>
  <si>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</si>
  <si>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</si>
  <si>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</si>
  <si>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</si>
  <si>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</si>
  <si>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</si>
  <si>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</si>
  <si>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</si>
  <si>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</si>
  <si>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</si>
  <si>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</si>
  <si>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</si>
  <si>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</si>
  <si>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</si>
  <si>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</si>
  <si>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</si>
  <si>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</si>
  <si>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</si>
  <si>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</si>
  <si>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</si>
  <si>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</si>
  <si>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</si>
  <si>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</si>
  <si>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</si>
  <si>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</si>
  <si>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</si>
  <si>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</si>
  <si>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</si>
  <si>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</si>
  <si>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</si>
  <si>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</si>
  <si>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</si>
  <si>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</si>
  <si>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</si>
  <si>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</si>
  <si>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</si>
  <si>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</si>
  <si>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</si>
  <si>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</si>
  <si>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</si>
  <si>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</si>
  <si>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</si>
  <si>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</si>
  <si>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</si>
  <si>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</si>
  <si>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</si>
  <si>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</si>
  <si>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</si>
  <si>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</si>
  <si>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</si>
  <si>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</si>
  <si>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</si>
  <si>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</si>
  <si>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</si>
  <si>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</si>
  <si>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</si>
  <si>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</si>
  <si>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</si>
  <si>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</si>
  <si>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</si>
  <si>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</si>
  <si>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</si>
  <si>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</si>
  <si>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</si>
  <si>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</si>
  <si>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</si>
  <si>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</si>
  <si>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</si>
  <si>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</si>
  <si>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</si>
  <si>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</si>
  <si>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</si>
  <si>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</si>
  <si>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</si>
  <si>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</si>
  <si>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</si>
  <si>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</si>
  <si>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</si>
  <si>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</si>
  <si>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</si>
  <si>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</si>
  <si>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</si>
  <si>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</si>
  <si>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</si>
  <si>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</si>
  <si>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</si>
  <si>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</si>
  <si>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</si>
  <si>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</si>
  <si>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</si>
  <si>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</si>
  <si>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</si>
  <si>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</si>
  <si>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</si>
  <si>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</si>
  <si>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</si>
  <si>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</si>
  <si>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</si>
  <si>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</si>
  <si>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</si>
  <si>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</si>
  <si>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</si>
  <si>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</si>
  <si>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</si>
  <si>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</si>
  <si>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</si>
  <si>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</si>
  <si>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</si>
  <si>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</si>
  <si>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</si>
  <si>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</si>
  <si>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</si>
  <si>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</si>
  <si>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</si>
  <si>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</si>
  <si>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</si>
  <si>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</si>
  <si>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</si>
  <si>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</si>
  <si>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</si>
  <si>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</si>
  <si>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</si>
  <si>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</si>
  <si>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</si>
  <si>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</si>
  <si>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</si>
  <si>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</si>
  <si>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</si>
  <si>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</si>
  <si>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</si>
  <si>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</si>
  <si>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</si>
  <si>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</si>
  <si>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</si>
  <si>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</si>
  <si>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</si>
  <si>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</si>
  <si>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</si>
  <si>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</si>
  <si>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</si>
  <si>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</si>
  <si>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</si>
  <si>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</si>
  <si>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</si>
  <si>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</si>
  <si>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</si>
  <si>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</si>
  <si>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</si>
  <si>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</si>
  <si>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</si>
  <si>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</si>
  <si>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</si>
  <si>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</si>
  <si>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</si>
  <si>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</si>
  <si>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</si>
  <si>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</si>
  <si>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</si>
  <si>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</si>
  <si>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</si>
  <si>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</si>
  <si>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</si>
  <si>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</si>
  <si>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</si>
  <si>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</si>
  <si>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</si>
  <si>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</si>
  <si>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</si>
  <si>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</si>
  <si>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</si>
  <si>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</si>
  <si>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</si>
  <si>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</si>
  <si>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</si>
  <si>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</si>
  <si>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</si>
  <si>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</si>
  <si>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</si>
  <si>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</si>
  <si>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</si>
  <si>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</si>
  <si>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</si>
  <si>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</si>
  <si>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</si>
  <si>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</si>
  <si>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</si>
  <si>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</si>
  <si>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</si>
  <si>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</si>
  <si>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</si>
  <si>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</si>
  <si>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</si>
  <si>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</si>
  <si>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</si>
  <si>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</si>
  <si>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</si>
  <si>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</si>
  <si>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</si>
  <si>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</si>
  <si>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</si>
  <si>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</si>
  <si>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</si>
  <si>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</si>
  <si>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</si>
  <si>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</si>
  <si>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</si>
  <si>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</si>
  <si>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</si>
  <si>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</si>
  <si>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</si>
  <si>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</si>
  <si>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</si>
  <si>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</si>
  <si>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</si>
  <si>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</si>
  <si>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</si>
  <si>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</si>
  <si>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</si>
  <si>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</si>
  <si>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</si>
  <si>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</si>
  <si>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</si>
  <si>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</si>
  <si>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</si>
  <si>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</si>
  <si>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</si>
  <si>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</si>
  <si>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</si>
  <si>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</si>
  <si>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</si>
  <si>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</si>
  <si>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</si>
  <si>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</si>
  <si>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</si>
  <si>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</si>
  <si>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</si>
  <si>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</si>
  <si>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</si>
  <si>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</si>
  <si>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</si>
  <si>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</si>
  <si>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</si>
  <si>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</si>
  <si>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</si>
  <si>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</si>
  <si>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</si>
  <si>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</si>
  <si>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</si>
  <si>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</si>
  <si>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</si>
  <si>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</si>
  <si>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</si>
  <si>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</si>
  <si>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</si>
  <si>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</si>
  <si>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</si>
  <si>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</si>
  <si>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</si>
  <si>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</si>
  <si>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</si>
  <si>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</si>
  <si>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</si>
  <si>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</si>
  <si>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</si>
  <si>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</si>
  <si>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</si>
  <si>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</si>
  <si>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</si>
  <si>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</si>
  <si>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</si>
  <si>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</si>
  <si>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</si>
  <si>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</si>
  <si>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</si>
  <si>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</si>
  <si>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</si>
  <si>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</si>
  <si>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</si>
  <si>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</si>
  <si>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</si>
  <si>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</si>
  <si>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</si>
  <si>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</si>
  <si>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</si>
  <si>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</si>
  <si>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</si>
  <si>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</si>
  <si>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</si>
  <si>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</si>
  <si>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</si>
  <si>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</si>
  <si>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</si>
  <si>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</si>
  <si>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</si>
  <si>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</si>
  <si>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</si>
  <si>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</si>
  <si>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</si>
  <si>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</si>
  <si>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</si>
  <si>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</si>
  <si>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</si>
  <si>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</si>
  <si>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</si>
  <si>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</si>
  <si>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</si>
  <si>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</si>
  <si>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</si>
  <si>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</si>
  <si>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</si>
  <si>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</si>
  <si>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</si>
  <si>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</si>
  <si>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</si>
  <si>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</si>
  <si>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</si>
  <si>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</si>
  <si>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</si>
  <si>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</si>
  <si>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</si>
  <si>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</si>
  <si>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</si>
  <si>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</si>
  <si>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</si>
  <si>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</si>
  <si>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</si>
  <si>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</si>
  <si>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</si>
  <si>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</si>
  <si>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</si>
  <si>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</si>
  <si>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</si>
  <si>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</si>
  <si>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</si>
  <si>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</si>
  <si>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</si>
  <si>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</si>
  <si>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</si>
  <si>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</si>
  <si>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</si>
  <si>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</si>
  <si>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</si>
  <si>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</si>
  <si>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</si>
  <si>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</si>
  <si>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</si>
  <si>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</si>
  <si>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</si>
  <si>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</si>
  <si>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</si>
  <si>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</si>
  <si>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</si>
  <si>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</si>
  <si>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</si>
  <si>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</si>
  <si>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</si>
  <si>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</si>
  <si>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</si>
  <si>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</si>
  <si>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</si>
  <si>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</si>
  <si>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</si>
  <si>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</si>
  <si>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</si>
  <si>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</si>
  <si>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</si>
  <si>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</si>
  <si>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</si>
  <si>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</si>
  <si>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</si>
  <si>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</si>
  <si>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</si>
  <si>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</si>
  <si>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</si>
  <si>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</si>
  <si>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</si>
  <si>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</si>
  <si>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</si>
  <si>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</si>
  <si>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</si>
  <si>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</si>
  <si>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</si>
  <si>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</si>
  <si>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</si>
  <si>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</si>
  <si>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</si>
  <si>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</si>
  <si>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</si>
  <si>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</si>
  <si>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</si>
  <si>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</si>
  <si>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</si>
  <si>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</si>
  <si>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</si>
  <si>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</si>
  <si>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</si>
  <si>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</si>
  <si>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</si>
  <si>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</si>
  <si>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</si>
  <si>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</si>
  <si>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</si>
  <si>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</si>
  <si>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</si>
  <si>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</si>
  <si>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</si>
  <si>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</si>
  <si>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</si>
  <si>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</si>
  <si>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</si>
  <si>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</si>
  <si>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</si>
  <si>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</si>
  <si>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</si>
  <si>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</si>
  <si>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</si>
  <si>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</si>
  <si>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</si>
  <si>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</si>
  <si>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</si>
  <si>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</si>
  <si>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</si>
  <si>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</si>
  <si>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</si>
  <si>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</si>
  <si>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</si>
  <si>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</si>
  <si>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</si>
  <si>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</si>
  <si>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</si>
  <si>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</si>
  <si>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</si>
  <si>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</si>
  <si>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</si>
  <si>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</si>
  <si>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</si>
  <si>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</si>
  <si>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</si>
  <si>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</si>
  <si>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</si>
  <si>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</si>
  <si>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</si>
  <si>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</si>
  <si>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</si>
  <si>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</si>
  <si>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</si>
  <si>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</si>
  <si>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</si>
  <si>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</si>
  <si>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</si>
  <si>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</si>
  <si>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</si>
  <si>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</si>
  <si>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</si>
  <si>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</si>
  <si>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</si>
  <si>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</si>
  <si>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</si>
  <si>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</si>
  <si>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</si>
  <si>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</si>
  <si>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</si>
  <si>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</si>
  <si>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</si>
  <si>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</si>
  <si>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</si>
  <si>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</si>
  <si>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</si>
  <si>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</si>
  <si>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</si>
  <si>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</si>
  <si>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</si>
  <si>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</si>
  <si>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</si>
  <si>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</si>
  <si>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</si>
  <si>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</si>
  <si>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</si>
  <si>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</si>
  <si>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</si>
  <si>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</si>
  <si>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</si>
  <si>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</si>
  <si>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</si>
  <si>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</si>
  <si>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</si>
  <si>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</si>
  <si>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</si>
  <si>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</si>
  <si>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</si>
  <si>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</si>
  <si>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</si>
  <si>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</si>
  <si>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</si>
  <si>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</si>
  <si>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</si>
  <si>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</si>
  <si>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</si>
  <si>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</si>
  <si>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</si>
  <si>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</si>
  <si>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</si>
  <si>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</si>
  <si>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</si>
  <si>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</si>
  <si>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</si>
  <si>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</si>
  <si>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</si>
  <si>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</si>
  <si>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</si>
  <si>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</si>
  <si>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</si>
  <si>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</si>
  <si>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</si>
  <si>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</si>
  <si>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</si>
  <si>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</si>
  <si>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</si>
  <si>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</si>
  <si>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</si>
  <si>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</si>
  <si>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</si>
  <si>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</si>
  <si>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</si>
  <si>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</si>
  <si>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</si>
  <si>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</si>
  <si>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</si>
  <si>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</si>
  <si>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</si>
  <si>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</si>
  <si>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</si>
  <si>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</si>
  <si>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</si>
  <si>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</si>
  <si>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</si>
  <si>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</si>
  <si>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</si>
  <si>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</si>
  <si>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</si>
  <si>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</si>
  <si>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</si>
  <si>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</si>
  <si>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</si>
  <si>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</si>
  <si>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</si>
  <si>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</si>
  <si>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</si>
  <si>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</si>
  <si>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</si>
  <si>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</si>
  <si>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</si>
  <si>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</si>
  <si>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</si>
  <si>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</si>
  <si>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</si>
  <si>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</si>
  <si>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</si>
  <si>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</si>
  <si>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</si>
  <si>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</si>
  <si>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</si>
  <si>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</si>
  <si>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</si>
  <si>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</si>
  <si>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</si>
  <si>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</si>
  <si>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</si>
  <si>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</si>
  <si>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</si>
  <si>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</si>
  <si>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</si>
  <si>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</si>
  <si>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</si>
  <si>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</si>
  <si>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</si>
  <si>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</si>
  <si>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</si>
  <si>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</si>
  <si>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</si>
  <si>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</si>
  <si>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</si>
  <si>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</si>
  <si>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</si>
  <si>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</si>
  <si>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</si>
  <si>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</si>
  <si>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</si>
  <si>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</si>
  <si>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</si>
  <si>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</si>
  <si>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</si>
  <si>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</si>
  <si>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</si>
  <si>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</si>
  <si>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</si>
  <si>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</si>
  <si>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</si>
  <si>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</si>
  <si>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</si>
  <si>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</si>
  <si>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</si>
  <si>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</si>
  <si>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</si>
  <si>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</si>
  <si>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</si>
  <si>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</si>
  <si>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</si>
  <si>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</si>
  <si>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</si>
  <si>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</si>
  <si>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</si>
  <si>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</si>
  <si>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</si>
  <si>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</si>
  <si>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</si>
  <si>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</si>
  <si>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</si>
  <si>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</si>
  <si>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</si>
  <si>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</si>
  <si>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</si>
  <si>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</si>
  <si>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</si>
  <si>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</si>
  <si>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</si>
  <si>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</si>
  <si>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</si>
  <si>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</si>
  <si>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</si>
  <si>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</si>
  <si>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</si>
  <si>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</si>
  <si>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</si>
  <si>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</si>
  <si>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</si>
  <si>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</si>
  <si>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</si>
  <si>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</si>
  <si>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</si>
  <si>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</si>
  <si>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</si>
  <si>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</si>
  <si>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</si>
  <si>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</si>
  <si>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</si>
  <si>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</si>
  <si>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</si>
  <si>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</si>
  <si>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</si>
  <si>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</si>
  <si>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</si>
  <si>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</si>
  <si>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</si>
  <si>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</si>
  <si>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</si>
  <si>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</si>
  <si>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</si>
  <si>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</si>
  <si>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</si>
  <si>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</si>
  <si>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</si>
  <si>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</si>
  <si>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</si>
  <si>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</si>
  <si>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</si>
  <si>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</si>
  <si>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</si>
  <si>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</si>
  <si>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</si>
  <si>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</si>
  <si>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</si>
  <si>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</si>
  <si>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</si>
  <si>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</si>
  <si>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</si>
  <si>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</si>
  <si>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</si>
  <si>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</si>
  <si>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</si>
  <si>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</si>
  <si>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</si>
  <si>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</si>
  <si>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</si>
  <si>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</si>
  <si>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</si>
  <si>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</si>
  <si>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</si>
  <si>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</si>
  <si>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</si>
  <si>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</si>
  <si>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</si>
  <si>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</si>
  <si>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</si>
  <si>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</si>
  <si>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</si>
  <si>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</si>
  <si>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</si>
  <si>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</si>
  <si>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</si>
  <si>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</si>
  <si>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</si>
  <si>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</si>
  <si>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</si>
  <si>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</si>
  <si>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</si>
  <si>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</si>
  <si>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</si>
  <si>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</si>
  <si>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</si>
  <si>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</si>
  <si>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</si>
  <si>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</si>
  <si>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</si>
  <si>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</si>
  <si>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</si>
  <si>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</si>
  <si>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</si>
  <si>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</si>
  <si>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</si>
  <si>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</si>
  <si>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</si>
  <si>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</si>
  <si>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</si>
  <si>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</si>
  <si>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</si>
  <si>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</si>
  <si>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</si>
  <si>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</si>
  <si>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</si>
  <si>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</si>
  <si>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</si>
  <si>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</si>
  <si>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</si>
  <si>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</si>
  <si>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</si>
  <si>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</si>
  <si>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</si>
  <si>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</si>
  <si>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</si>
  <si>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</si>
  <si>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</si>
  <si>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</si>
  <si>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</si>
  <si>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</si>
  <si>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</si>
  <si>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</si>
  <si>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</si>
  <si>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</si>
  <si>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</si>
  <si>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</si>
  <si>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</si>
  <si>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</si>
  <si>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</si>
  <si>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</si>
  <si>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</si>
  <si>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</si>
  <si>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</si>
  <si>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</si>
  <si>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</si>
  <si>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</si>
  <si>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</si>
  <si>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</si>
  <si>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</si>
  <si>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</si>
  <si>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</si>
  <si>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</si>
  <si>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</si>
  <si>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</si>
  <si>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</si>
  <si>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</si>
  <si>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</si>
  <si>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</si>
  <si>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</si>
  <si>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</si>
  <si>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</si>
  <si>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</si>
  <si>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</si>
  <si>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</si>
  <si>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</si>
  <si>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</si>
  <si>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</si>
  <si>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</si>
  <si>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</si>
  <si>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</si>
  <si>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</si>
  <si>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</si>
  <si>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</si>
  <si>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</si>
  <si>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</si>
  <si>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</si>
  <si>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</si>
  <si>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</si>
  <si>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</si>
  <si>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</si>
  <si>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</si>
  <si>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</si>
  <si>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</si>
  <si>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</si>
  <si>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</si>
  <si>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</si>
  <si>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</si>
  <si>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</si>
  <si>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</si>
  <si>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</si>
  <si>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</si>
  <si>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</si>
  <si>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</si>
  <si>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</si>
  <si>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</si>
  <si>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</si>
  <si>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</si>
  <si>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</si>
  <si>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</si>
  <si>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</si>
  <si>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</si>
  <si>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</si>
  <si>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</si>
  <si>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</si>
  <si>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</si>
  <si>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</si>
  <si>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</si>
  <si>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</si>
  <si>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</si>
  <si>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</si>
  <si>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</si>
  <si>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</si>
  <si>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</si>
  <si>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</si>
  <si>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</si>
  <si>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</si>
  <si>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</si>
  <si>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</si>
  <si>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</si>
  <si>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</si>
  <si>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</si>
  <si>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</si>
  <si>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</si>
  <si>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</si>
  <si>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</si>
  <si>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</si>
  <si>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</si>
  <si>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</si>
  <si>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</si>
  <si>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</si>
  <si>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</si>
  <si>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</si>
  <si>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</si>
  <si>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</si>
  <si>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</si>
  <si>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</si>
  <si>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</si>
  <si>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</si>
  <si>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</si>
  <si>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</si>
  <si>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</si>
  <si>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</si>
  <si>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</si>
  <si>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</si>
  <si>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</si>
  <si>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</si>
  <si>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</si>
  <si>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</si>
  <si>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</si>
  <si>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</si>
  <si>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</si>
  <si>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</si>
  <si>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</si>
  <si>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</si>
  <si>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</si>
  <si>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</si>
  <si>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</si>
  <si>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</si>
  <si>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</si>
  <si>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</si>
  <si>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</si>
  <si>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</si>
  <si>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</si>
  <si>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</si>
  <si>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</si>
  <si>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</si>
  <si>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</si>
  <si>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</si>
  <si>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</si>
  <si>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</si>
  <si>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</si>
  <si>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</si>
  <si>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</si>
  <si>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</si>
  <si>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</si>
  <si>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</si>
  <si>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</si>
  <si>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</si>
  <si>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</si>
  <si>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</si>
  <si>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</si>
  <si>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</si>
  <si>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</si>
  <si>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</si>
  <si>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</si>
  <si>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</si>
  <si>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</si>
  <si>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</si>
  <si>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</si>
  <si>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</si>
  <si>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</si>
  <si>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</si>
  <si>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</si>
  <si>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</si>
  <si>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</si>
  <si>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</si>
  <si>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</si>
  <si>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</si>
  <si>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</si>
  <si>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</si>
  <si>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</si>
  <si>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</si>
  <si>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</si>
  <si>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</si>
  <si>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</si>
  <si>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</si>
  <si>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</si>
  <si>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</si>
  <si>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</si>
  <si>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</si>
  <si>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</si>
  <si>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</si>
  <si>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</si>
  <si>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</si>
  <si>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</si>
  <si>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</si>
  <si>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</si>
  <si>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</si>
  <si>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</si>
  <si>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</si>
  <si>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</si>
  <si>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</si>
  <si>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</si>
  <si>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</si>
  <si>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</si>
  <si>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</si>
  <si>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</si>
  <si>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</si>
  <si>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</si>
  <si>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</si>
  <si>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</si>
  <si>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</si>
  <si>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</si>
  <si>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</si>
  <si>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</si>
  <si>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</si>
  <si>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</si>
  <si>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</si>
  <si>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</si>
  <si>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</si>
  <si>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</si>
  <si>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</si>
  <si>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</si>
  <si>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</si>
  <si>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</si>
  <si>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</si>
  <si>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</si>
  <si>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</si>
  <si>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</si>
  <si>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</si>
  <si>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</si>
  <si>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</si>
  <si>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</si>
  <si>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</si>
  <si>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</si>
  <si>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</si>
  <si>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</si>
  <si>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</si>
  <si>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</si>
  <si>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</si>
  <si>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</si>
  <si>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</si>
  <si>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</si>
  <si>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</si>
  <si>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</si>
  <si>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</si>
  <si>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</si>
  <si>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</si>
  <si>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</si>
  <si>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</si>
  <si>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</si>
  <si>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</si>
  <si>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</si>
  <si>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</si>
  <si>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</si>
  <si>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</si>
  <si>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</si>
  <si>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</si>
  <si>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</si>
  <si>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</si>
  <si>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</si>
  <si>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</si>
  <si>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</si>
  <si>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</si>
  <si>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</si>
  <si>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</si>
  <si>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</si>
  <si>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</si>
  <si>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</si>
  <si>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</si>
  <si>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</si>
  <si>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</si>
  <si>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</si>
  <si>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</si>
  <si>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</si>
  <si>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</si>
  <si>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</si>
  <si>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</si>
  <si>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</si>
  <si>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</si>
  <si>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</si>
  <si>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</si>
  <si>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</si>
  <si>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</si>
  <si>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</si>
  <si>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</si>
  <si>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</si>
  <si>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</si>
  <si>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</si>
  <si>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</si>
  <si>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</si>
  <si>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</si>
  <si>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</si>
  <si>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</si>
  <si>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</si>
  <si>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</si>
  <si>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</si>
  <si>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</si>
  <si>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</si>
  <si>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</si>
  <si>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</si>
  <si>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</si>
  <si>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</si>
  <si>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</si>
  <si>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</si>
  <si>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</si>
  <si>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</si>
  <si>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</si>
  <si>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</si>
  <si>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</si>
  <si>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</si>
  <si>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</si>
  <si>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</si>
  <si>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</si>
  <si>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</si>
  <si>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</si>
  <si>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</si>
  <si>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</si>
  <si>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</si>
  <si>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</si>
  <si>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</si>
  <si>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</si>
  <si>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</si>
  <si>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</si>
  <si>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</si>
  <si>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</si>
  <si>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</si>
  <si>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</si>
  <si>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</si>
  <si>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</si>
  <si>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</si>
  <si>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</si>
  <si>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</si>
  <si>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</si>
  <si>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</si>
  <si>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</si>
  <si>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</si>
  <si>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</si>
  <si>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</si>
  <si>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</si>
  <si>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</si>
  <si>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</si>
  <si>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</si>
  <si>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</si>
  <si>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</si>
  <si>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</si>
  <si>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</si>
  <si>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</si>
  <si>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</si>
  <si>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</si>
  <si>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</si>
  <si>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</si>
  <si>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</si>
  <si>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</si>
  <si>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</si>
  <si>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</si>
  <si>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</si>
  <si>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</si>
  <si>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</si>
  <si>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</si>
  <si>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</si>
  <si>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</si>
  <si>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</si>
  <si>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</si>
  <si>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</si>
  <si>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</si>
  <si>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</si>
  <si>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</si>
  <si>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</si>
  <si>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</si>
  <si>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</si>
  <si>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</si>
  <si>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</si>
  <si>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</si>
  <si>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</si>
  <si>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</si>
  <si>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</si>
  <si>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</si>
  <si>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</si>
  <si>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</si>
  <si>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</si>
  <si>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</si>
  <si>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</si>
  <si>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</si>
  <si>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</si>
  <si>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</si>
  <si>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</si>
  <si>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</si>
  <si>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</si>
  <si>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</si>
  <si>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</si>
  <si>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</si>
  <si>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</si>
  <si>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</si>
  <si>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</si>
  <si>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</si>
  <si>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</si>
  <si>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</si>
  <si>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</si>
  <si>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</si>
  <si>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</si>
  <si>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</si>
  <si>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</si>
  <si>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</si>
  <si>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</si>
  <si>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</si>
  <si>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</si>
  <si>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</si>
  <si>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</si>
  <si>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</si>
  <si>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</si>
  <si>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</si>
  <si>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</si>
  <si>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</si>
  <si>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</si>
  <si>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</si>
  <si>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</si>
  <si>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</si>
  <si>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</si>
  <si>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</si>
  <si>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</si>
  <si>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</si>
  <si>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</si>
  <si>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</si>
  <si>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</si>
  <si>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</si>
  <si>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</si>
  <si>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</si>
  <si>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</si>
  <si>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</si>
  <si>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</si>
  <si>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</si>
  <si>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</si>
  <si>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</si>
  <si>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</si>
  <si>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</si>
  <si>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</si>
  <si>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</si>
  <si>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</si>
  <si>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</si>
  <si>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</si>
  <si>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</si>
  <si>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</si>
  <si>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</si>
  <si>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</si>
  <si>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</si>
  <si>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</si>
  <si>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</si>
  <si>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</si>
  <si>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</si>
  <si>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</si>
  <si>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</si>
  <si>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</si>
  <si>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</si>
  <si>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</si>
  <si>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</si>
  <si>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</si>
  <si>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</si>
  <si>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</si>
  <si>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</si>
  <si>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</si>
  <si>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</si>
  <si>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</si>
  <si>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</si>
  <si>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</si>
  <si>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</si>
  <si>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</si>
  <si>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</si>
  <si>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</si>
  <si>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</si>
  <si>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</si>
  <si>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</si>
  <si>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</si>
  <si>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</si>
  <si>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</si>
  <si>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</si>
  <si>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</si>
  <si>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</si>
  <si>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</si>
  <si>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</si>
  <si>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</si>
  <si>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</si>
  <si>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</si>
  <si>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</si>
  <si>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</si>
  <si>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</si>
  <si>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</si>
  <si>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</si>
  <si>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</si>
  <si>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</si>
  <si>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</si>
  <si>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</si>
  <si>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</si>
  <si>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</si>
  <si>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</si>
  <si>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</si>
  <si>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</si>
  <si>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</si>
  <si>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</si>
  <si>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</si>
  <si>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</si>
  <si>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</si>
  <si>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</si>
  <si>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</si>
  <si>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</si>
  <si>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</si>
  <si>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</si>
  <si>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</si>
  <si>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</si>
  <si>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</si>
  <si>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</si>
  <si>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</si>
  <si>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</si>
  <si>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</si>
  <si>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</si>
  <si>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</si>
  <si>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</si>
  <si>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</si>
  <si>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</si>
  <si>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</si>
  <si>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</si>
  <si>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</si>
  <si>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</si>
  <si>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</si>
  <si>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</si>
  <si>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</si>
  <si>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</si>
  <si>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</si>
  <si>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</si>
  <si>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崔锴</t>
  </si>
  <si>
    <t>北京市</t>
  </si>
  <si>
    <t>通州区潞河镇（武夷花园东区）限价住宅及地下车库用房房地产市场价值</t>
    <phoneticPr fontId="6" type="noConversion"/>
  </si>
  <si>
    <t>出让</t>
  </si>
  <si>
    <t>企业</t>
  </si>
  <si>
    <t>北京武夷房地产开发有限公司</t>
    <phoneticPr fontId="6" type="noConversion"/>
  </si>
  <si>
    <t>核定资产</t>
  </si>
  <si>
    <t>房地产市场价值</t>
  </si>
  <si>
    <t>北京武夷房地产开发有限公司</t>
    <phoneticPr fontId="6" type="noConversion"/>
  </si>
  <si>
    <t>住宅</t>
  </si>
  <si>
    <t>住宅、地下车库、地下仓储</t>
    <phoneticPr fontId="6" type="noConversion"/>
  </si>
  <si>
    <t>《北京市规划和国土资源管理委员会关于同意北京武夷房地产开发有限公司建设武夷花园南区项目有关规划情况的函[2016规（通）复函字0056号]</t>
    <phoneticPr fontId="6" type="noConversion"/>
  </si>
  <si>
    <t>《国有土地使用证》[京通国用（2015出）第00018号]、《北京市规划和国土资源管理委员会关于同意北京武夷房地产开发有限公司建设武夷花园南区项目有关规划情况的函[2016规（通）复函字0056号]</t>
    <phoneticPr fontId="6" type="noConversion"/>
  </si>
  <si>
    <t>复印件</t>
  </si>
  <si>
    <t>居住项目</t>
  </si>
  <si>
    <t>其他特殊：</t>
  </si>
  <si>
    <t>全部为保障性住房</t>
  </si>
  <si>
    <t>通路</t>
  </si>
  <si>
    <t>通电</t>
  </si>
  <si>
    <t>通讯</t>
  </si>
  <si>
    <t>通上水</t>
  </si>
  <si>
    <t>通下水</t>
  </si>
  <si>
    <t>通热</t>
  </si>
  <si>
    <t>燃气</t>
  </si>
  <si>
    <t>在建</t>
  </si>
  <si>
    <t>两限房</t>
  </si>
  <si>
    <t>配套公建</t>
    <phoneticPr fontId="3" type="noConversion"/>
  </si>
  <si>
    <t>人防车库入口</t>
    <phoneticPr fontId="3" type="noConversion"/>
  </si>
  <si>
    <t>地下车库</t>
    <phoneticPr fontId="3" type="noConversion"/>
  </si>
  <si>
    <t>地下仓储</t>
    <phoneticPr fontId="3" type="noConversion"/>
  </si>
  <si>
    <t>两限房</t>
    <phoneticPr fontId="3" type="noConversion"/>
  </si>
  <si>
    <t>人防车库</t>
    <phoneticPr fontId="3" type="noConversion"/>
  </si>
  <si>
    <t>自行车库及机电用房</t>
    <phoneticPr fontId="3" type="noConversion"/>
  </si>
  <si>
    <t>非人防建筑面积</t>
    <phoneticPr fontId="3" type="noConversion"/>
  </si>
  <si>
    <t>其他</t>
    <phoneticPr fontId="3" type="noConversion"/>
  </si>
  <si>
    <t>是</t>
  </si>
  <si>
    <t>否</t>
  </si>
  <si>
    <t>地上</t>
  </si>
  <si>
    <t>平层住宅</t>
  </si>
  <si>
    <t>地下</t>
  </si>
  <si>
    <t>车库</t>
  </si>
  <si>
    <t>仓储</t>
  </si>
  <si>
    <t>戊类库房</t>
  </si>
  <si>
    <t>普通住宅</t>
    <phoneticPr fontId="3" type="noConversion"/>
  </si>
  <si>
    <t>两限房</t>
    <phoneticPr fontId="7" type="noConversion"/>
  </si>
  <si>
    <t>地下车库</t>
    <phoneticPr fontId="7" type="noConversion"/>
  </si>
  <si>
    <t>地下仓储</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</si>
  <si>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</si>
  <si>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</si>
  <si>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</si>
  <si>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</si>
  <si>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</si>
  <si>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</si>
  <si>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</si>
  <si>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</si>
  <si>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</si>
  <si>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</si>
  <si>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</si>
  <si>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</si>
  <si>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</si>
  <si>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</si>
  <si>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</si>
  <si>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</si>
  <si>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</si>
  <si>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</si>
  <si>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</si>
  <si>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</si>
  <si>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</si>
  <si>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</si>
  <si>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</si>
  <si>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</si>
  <si>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</si>
  <si>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</si>
  <si>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成交每亩价(万元/亩)</t>
  </si>
  <si>
    <t>成交楼面价(元/㎡)</t>
  </si>
  <si>
    <t>成交楼面价(除保障房)(元/㎡)</t>
  </si>
  <si>
    <t>溢价率</t>
  </si>
  <si>
    <t>北京市通州区西集镇西集村TZ07-0103-0019、0029地块R2二类居住用地、TZ07-0103-0020地块B1商业用地</t>
  </si>
  <si>
    <t>综合用地(含住宅)</t>
  </si>
  <si>
    <t>通州区</t>
  </si>
  <si>
    <t>通州区西集镇西集村</t>
  </si>
  <si>
    <t>挂牌</t>
  </si>
  <si>
    <t>京土整储挂(通)[2017]068号</t>
  </si>
  <si>
    <t>R2二类居住用地、B1商业用地</t>
  </si>
  <si>
    <t>R2≤30%;B1≤40%</t>
  </si>
  <si>
    <t>≤30(36)</t>
  </si>
  <si>
    <t>出让宗地居住建筑规模全部建设“自住型商品住房”,销售价格20000元/平方米(含全装修费用)</t>
  </si>
  <si>
    <t>限房价,含自住房/共有产权住房</t>
  </si>
  <si>
    <t>开工中</t>
  </si>
  <si>
    <t>2017-10-11</t>
  </si>
  <si>
    <t>北京德俊置业有限公司、北京房地置业发展有限公司、北京新奥集团有限公司和北京首都开发股份有限公司联合体</t>
  </si>
  <si>
    <t>北京市通州区通州新城0204街区TZ00-0024-0006、0007地块R2二类居住用地</t>
  </si>
  <si>
    <t>住宅用地</t>
  </si>
  <si>
    <t>通州区宋庄镇疃里村</t>
  </si>
  <si>
    <t>京土整储挂(通)[2017]066号</t>
  </si>
  <si>
    <t>R2二类居住用地</t>
  </si>
  <si>
    <t>≤30%</t>
  </si>
  <si>
    <t>≤60</t>
  </si>
  <si>
    <t>出让宗地居住建筑规模全部建设“自住型商品住房”,销售价格21000元/平方米(含全装修费用)</t>
  </si>
  <si>
    <t>2017-09-21</t>
  </si>
  <si>
    <t>北京首都开发股份有限公司和北京新奥集团有限公司联合体</t>
  </si>
  <si>
    <t>武夷花园</t>
    <phoneticPr fontId="3" type="noConversion"/>
  </si>
  <si>
    <t>首开保利锦都家园（和锦园）</t>
    <phoneticPr fontId="3" type="noConversion"/>
  </si>
  <si>
    <t>朝阳区常营乡</t>
    <phoneticPr fontId="3" type="noConversion"/>
  </si>
  <si>
    <t>住宅</t>
    <phoneticPr fontId="25" type="noConversion"/>
  </si>
  <si>
    <t>50-60（含）</t>
  </si>
  <si>
    <t>60-70（含）</t>
  </si>
  <si>
    <t>估价对象周边居住用地比例较高、居住小区规模较大、社区发展完善程度较好，有月季园、荔景园等多个住宅项目，综合评价居住社区成熟度较好</t>
    <phoneticPr fontId="41" type="noConversion"/>
  </si>
  <si>
    <t>估价对象周边道路状况较好、公共交通通达情况较好、有322、342、442等多路公交车，距6号线北运河西站约1.5公里，停车便捷程度较好，综合评价交通便捷度较好</t>
    <phoneticPr fontId="41" type="noConversion"/>
  </si>
  <si>
    <t>估价对象所在区域公共配套设施齐备情况一般</t>
    <phoneticPr fontId="41" type="noConversion"/>
  </si>
  <si>
    <t>七通</t>
  </si>
  <si>
    <t>七通</t>
    <phoneticPr fontId="25" type="noConversion"/>
  </si>
  <si>
    <t>区域自然环境：减河公园、运河奥体公园、潞河中学公园；人文环境：大运河美术馆；综合评价环境状况较好</t>
    <phoneticPr fontId="41" type="noConversion"/>
  </si>
  <si>
    <t>较好</t>
  </si>
  <si>
    <t>一般</t>
  </si>
  <si>
    <t>钢混</t>
  </si>
  <si>
    <t>钢混</t>
    <phoneticPr fontId="25" type="noConversion"/>
  </si>
  <si>
    <t>中档</t>
  </si>
  <si>
    <t>中档</t>
    <phoneticPr fontId="25" type="noConversion"/>
  </si>
  <si>
    <t>普通</t>
  </si>
  <si>
    <t>普通</t>
    <phoneticPr fontId="25" type="noConversion"/>
  </si>
  <si>
    <t>专业</t>
  </si>
  <si>
    <t>专业</t>
    <phoneticPr fontId="25" type="noConversion"/>
  </si>
  <si>
    <t>六通</t>
  </si>
  <si>
    <t>五通</t>
  </si>
  <si>
    <t>四通</t>
  </si>
  <si>
    <t>三通</t>
  </si>
  <si>
    <t>平层</t>
  </si>
  <si>
    <t>平层</t>
    <phoneticPr fontId="25" type="noConversion"/>
  </si>
  <si>
    <t>精</t>
    <phoneticPr fontId="25" type="noConversion"/>
  </si>
  <si>
    <t>简单</t>
    <phoneticPr fontId="25" type="noConversion"/>
  </si>
  <si>
    <t>毛坯</t>
    <phoneticPr fontId="25" type="noConversion"/>
  </si>
  <si>
    <t>有泰福苑、定福家园南里等多个住宅项目</t>
    <phoneticPr fontId="25" type="noConversion"/>
  </si>
  <si>
    <r>
      <rPr>
        <sz val="11"/>
        <rFont val="宋体"/>
        <family val="3"/>
        <charset val="134"/>
      </rPr>
      <t>有</t>
    </r>
    <r>
      <rPr>
        <sz val="11"/>
        <rFont val="Arial"/>
        <family val="2"/>
      </rPr>
      <t>499</t>
    </r>
    <r>
      <rPr>
        <sz val="11"/>
        <rFont val="宋体"/>
        <family val="3"/>
        <charset val="134"/>
      </rPr>
      <t>、</t>
    </r>
    <r>
      <rPr>
        <sz val="11"/>
        <rFont val="Arial"/>
        <family val="2"/>
      </rPr>
      <t>583</t>
    </r>
    <r>
      <rPr>
        <sz val="11"/>
        <rFont val="宋体"/>
        <family val="3"/>
        <charset val="134"/>
      </rPr>
      <t>公交及地铁</t>
    </r>
    <r>
      <rPr>
        <sz val="11"/>
        <rFont val="Arial"/>
        <family val="2"/>
      </rPr>
      <t>6</t>
    </r>
    <r>
      <rPr>
        <sz val="11"/>
        <rFont val="宋体"/>
        <family val="3"/>
        <charset val="134"/>
      </rPr>
      <t>号线经过</t>
    </r>
    <phoneticPr fontId="25" type="noConversion"/>
  </si>
  <si>
    <t>有黄渠公园、常营公园</t>
    <phoneticPr fontId="25" type="noConversion"/>
  </si>
  <si>
    <t>晟品景园</t>
    <phoneticPr fontId="3" type="noConversion"/>
  </si>
  <si>
    <t>顺义区仁和镇</t>
    <phoneticPr fontId="3" type="noConversion"/>
  </si>
  <si>
    <r>
      <rPr>
        <sz val="11"/>
        <rFont val="宋体"/>
        <family val="3"/>
        <charset val="134"/>
      </rPr>
      <t>有</t>
    </r>
    <r>
      <rPr>
        <sz val="11"/>
        <rFont val="Arial"/>
        <family val="2"/>
      </rPr>
      <t>915</t>
    </r>
    <r>
      <rPr>
        <sz val="11"/>
        <rFont val="宋体"/>
        <family val="3"/>
        <charset val="134"/>
      </rPr>
      <t>、</t>
    </r>
    <r>
      <rPr>
        <sz val="11"/>
        <rFont val="Arial"/>
        <family val="2"/>
      </rPr>
      <t>918</t>
    </r>
    <r>
      <rPr>
        <sz val="11"/>
        <rFont val="宋体"/>
        <family val="3"/>
        <charset val="134"/>
      </rPr>
      <t>等公交，较差</t>
    </r>
    <phoneticPr fontId="25" type="noConversion"/>
  </si>
  <si>
    <t>较差</t>
  </si>
  <si>
    <t>有仁和、公园、新城滨河森林公园</t>
    <phoneticPr fontId="25" type="noConversion"/>
  </si>
  <si>
    <t>有滨河小区、波特兰花园等多个住宅项目</t>
    <phoneticPr fontId="25" type="noConversion"/>
  </si>
  <si>
    <t>通州区台湖镇</t>
  </si>
  <si>
    <t>京土整储挂(通)[2017]118号</t>
  </si>
  <si>
    <t>≤80</t>
  </si>
  <si>
    <t>出让宗地居住建筑规模全部用于建设“共有产权住房”,销售价格23000元/平方米(含全装修费用)</t>
  </si>
  <si>
    <t>未开工</t>
  </si>
  <si>
    <t>2018-02-06</t>
  </si>
  <si>
    <t>北京住总置业有限公司和北京住总房地产开发有限责任公司联合体</t>
  </si>
  <si>
    <t>住宅</t>
    <phoneticPr fontId="31" type="noConversion"/>
  </si>
  <si>
    <t>成新度</t>
  </si>
  <si>
    <t>两限房</t>
    <phoneticPr fontId="31" type="noConversion"/>
  </si>
  <si>
    <t>共有产权房</t>
    <phoneticPr fontId="31" type="noConversion"/>
  </si>
  <si>
    <t>多面临街</t>
  </si>
  <si>
    <t>高速</t>
    <phoneticPr fontId="31" type="noConversion"/>
  </si>
  <si>
    <t>快速路</t>
    <phoneticPr fontId="31" type="noConversion"/>
  </si>
  <si>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</si>
  <si>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</si>
  <si>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</si>
  <si>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</si>
  <si>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</si>
  <si>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</si>
  <si>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</si>
  <si>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</si>
  <si>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</si>
  <si>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</si>
  <si>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</si>
  <si>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</si>
  <si>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</si>
  <si>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</si>
  <si>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好</t>
  </si>
  <si>
    <t>差</t>
  </si>
  <si>
    <t>北京市通州区台湖镇YZ00-0405-0078、0079、0081地块R2二类居住用地</t>
    <phoneticPr fontId="143" type="noConversion"/>
  </si>
  <si>
    <t>住宅、商业、办公</t>
  </si>
  <si>
    <t>住宅、商业、办公</t>
    <phoneticPr fontId="31" type="noConversion"/>
  </si>
  <si>
    <t>住宅、商业</t>
    <phoneticPr fontId="31" type="noConversion"/>
  </si>
  <si>
    <t>单面临街</t>
  </si>
  <si>
    <t>有通瑞嘉苑、上潞园等多个住宅</t>
    <phoneticPr fontId="31" type="noConversion"/>
  </si>
  <si>
    <r>
      <rPr>
        <sz val="11"/>
        <rFont val="宋体"/>
        <family val="3"/>
        <charset val="134"/>
      </rPr>
      <t>有</t>
    </r>
    <r>
      <rPr>
        <sz val="11"/>
        <rFont val="Arial"/>
        <family val="2"/>
      </rPr>
      <t>316</t>
    </r>
    <r>
      <rPr>
        <sz val="11"/>
        <rFont val="宋体"/>
        <family val="3"/>
        <charset val="134"/>
      </rPr>
      <t>、</t>
    </r>
    <r>
      <rPr>
        <sz val="11"/>
        <rFont val="Arial"/>
        <family val="2"/>
      </rPr>
      <t>388</t>
    </r>
    <r>
      <rPr>
        <sz val="11"/>
        <rFont val="宋体"/>
        <family val="3"/>
        <charset val="134"/>
      </rPr>
      <t>等公交车</t>
    </r>
    <phoneticPr fontId="31" type="noConversion"/>
  </si>
  <si>
    <t>无</t>
    <phoneticPr fontId="31" type="noConversion"/>
  </si>
  <si>
    <t>两限房</t>
    <phoneticPr fontId="25" type="noConversion"/>
  </si>
  <si>
    <t>有西集逸山水</t>
    <phoneticPr fontId="31" type="noConversion"/>
  </si>
  <si>
    <t>有810、通13等公交车</t>
    <phoneticPr fontId="31" type="noConversion"/>
  </si>
  <si>
    <t>有次渠家园</t>
    <phoneticPr fontId="31" type="noConversion"/>
  </si>
  <si>
    <t>有820、986等公交车</t>
    <phoneticPr fontId="31" type="noConversion"/>
  </si>
  <si>
    <t>成本法</t>
  </si>
  <si>
    <t>比较法-住宅</t>
  </si>
  <si>
    <t>地下仓储</t>
  </si>
  <si>
    <t>现房</t>
  </si>
  <si>
    <t>北京市保障性住房建设投资中心</t>
    <phoneticPr fontId="6" type="noConversion"/>
  </si>
  <si>
    <t>未包含在土地购买价格中</t>
  </si>
  <si>
    <t>部分缴纳</t>
  </si>
  <si>
    <t>已包含在土地取得成本中</t>
  </si>
  <si>
    <t>顺义区仁和镇</t>
    <phoneticPr fontId="3" type="noConversion"/>
  </si>
  <si>
    <t>裕龙花园</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</si>
</sst>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Fill="1" applyAlignment="1"/>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9" fillId="0" borderId="0" xfId="0" applyFont="1" applyFill="1" applyAlignment="1"/>
    <xf numFmtId="0" fontId="190" fillId="7" borderId="151" xfId="0" applyFont="1" applyFill="1" applyBorder="1" applyAlignment="1" applyProtection="1">
      <alignment vertical="center" wrapText="1"/>
      <protection locked="0"/>
    </xf>
    <xf numFmtId="184" fontId="106" fillId="0" borderId="70" xfId="0" applyNumberFormat="1" applyFont="1" applyFill="1" applyBorder="1" applyAlignment="1" applyProtection="1">
      <alignment horizontal="center" vertical="center" wrapText="1"/>
      <protection locked="0"/>
    </xf>
    <xf numFmtId="0" fontId="106" fillId="6" borderId="34" xfId="0" applyNumberFormat="1" applyFont="1" applyFill="1" applyBorder="1" applyAlignment="1" applyProtection="1">
      <alignment horizontal="center" vertical="center" wrapText="1"/>
    </xf>
    <xf numFmtId="184" fontId="106" fillId="0" borderId="26" xfId="0" applyNumberFormat="1" applyFont="1" applyFill="1" applyBorder="1" applyAlignment="1" applyProtection="1">
      <alignment horizontal="center" vertical="center" wrapText="1"/>
      <protection locked="0"/>
    </xf>
    <xf numFmtId="0" fontId="106" fillId="6" borderId="67" xfId="0" applyNumberFormat="1" applyFont="1" applyFill="1" applyBorder="1" applyAlignment="1" applyProtection="1">
      <alignment horizontal="center" vertical="center" wrapText="1"/>
    </xf>
    <xf numFmtId="177" fontId="148" fillId="3" borderId="3" xfId="0" applyNumberFormat="1" applyFont="1" applyFill="1" applyBorder="1" applyAlignment="1" applyProtection="1">
      <alignment vertical="center"/>
      <protection locked="0"/>
    </xf>
    <xf numFmtId="197" fontId="56" fillId="3" borderId="0" xfId="0" applyNumberFormat="1" applyFont="1" applyFill="1" applyAlignment="1" applyProtection="1">
      <alignment horizontal="center" vertical="center"/>
      <protection locked="0"/>
    </xf>
    <xf numFmtId="1" fontId="56" fillId="3"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北京市通州区潞河镇（武夷花园东区）限价住宅及地下车库用房房地产市场价值房地产市场价值预评估</v>
      </c>
    </row>
    <row r="3" spans="1:2" s="1596" customFormat="1">
      <c r="A3" s="1594" t="s">
        <v>1221</v>
      </c>
      <c r="B3" s="1595" t="str">
        <f>'预评函-封皮'!B40</f>
        <v>北京市保障性住房建设投资中心</v>
      </c>
    </row>
    <row r="4" spans="1:2" s="1596" customFormat="1">
      <c r="A4" s="1594" t="s">
        <v>1222</v>
      </c>
      <c r="B4" s="1595" t="str">
        <f ca="1">'预评函-封皮'!B46</f>
        <v>吴薇（注册号：1419970001)、崔锴（注册号：1120100036)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受贵公司委托，我公司对北京市通州区潞河镇（武夷花园东区）限价住宅及地下车库用房房地产市场价值房地产市场价值进行了预评估。</v>
      </c>
    </row>
    <row r="7" spans="1:2" s="1596" customFormat="1">
      <c r="A7" s="1594" t="s">
        <v>1264</v>
      </c>
      <c r="B7" s="1595" t="str">
        <f>'预评函-1'!A7</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2018年8月29日（评估专业人员实地查勘之日）</v>
      </c>
    </row>
    <row r="13" spans="1:2" s="1596" customFormat="1">
      <c r="A13" s="1594" t="s">
        <v>1227</v>
      </c>
      <c r="B13" s="1595" t="str">
        <f>'预评函-1'!A18</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本次评估采用的主估价方法为成本法和比较法。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99991</v>
      </c>
    </row>
    <row r="21" spans="1:2" s="1596" customFormat="1">
      <c r="A21" s="1594" t="s">
        <v>1235</v>
      </c>
      <c r="B21" s="1595">
        <f ca="1">'预评函-2'!D7</f>
        <v>14936</v>
      </c>
    </row>
    <row r="22" spans="1:2" s="1596" customFormat="1">
      <c r="A22" s="1594" t="s">
        <v>1236</v>
      </c>
      <c r="B22" s="1595" t="str">
        <f ca="1">'预评函-2'!D6</f>
        <v>玖亿玖仟玖佰玖拾壹万元整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99991</v>
      </c>
    </row>
    <row r="31" spans="1:2" s="1596" customFormat="1">
      <c r="A31" s="1594" t="s">
        <v>1274</v>
      </c>
      <c r="B31" s="1595">
        <f ca="1">'预评函-2'!D15</f>
        <v>9285</v>
      </c>
    </row>
    <row r="32" spans="1:2" s="1596" customFormat="1">
      <c r="A32" s="1594" t="s">
        <v>1241</v>
      </c>
      <c r="B32" s="1595" t="str">
        <f ca="1">'预评函-2'!D14</f>
        <v>玖亿玖仟玖佰玖拾壹万元整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北京市通州区潞河镇（武夷花园东区）限价住宅及地下车库用房房地产市场价值房地产</v>
      </c>
    </row>
    <row r="42" spans="1:2" s="1596" customFormat="1">
      <c r="A42" s="1594" t="s">
        <v>1288</v>
      </c>
      <c r="B42" s="1595" t="str">
        <f>'预评函-3'!B2</f>
        <v>建筑面积</v>
      </c>
    </row>
    <row r="43" spans="1:2" s="1596" customFormat="1">
      <c r="A43" s="1594" t="s">
        <v>1289</v>
      </c>
      <c r="B43" s="1595">
        <f>'预评函-3'!B4</f>
        <v>107692.8</v>
      </c>
    </row>
    <row r="44" spans="1:2" s="1596" customFormat="1">
      <c r="A44" s="1594" t="s">
        <v>1273</v>
      </c>
      <c r="B44" s="1595" t="str">
        <f>'预评函-3'!C2</f>
        <v>(分摊)土地面积</v>
      </c>
    </row>
    <row r="45" spans="1:2" s="1596" customFormat="1">
      <c r="A45" s="1594" t="s">
        <v>1245</v>
      </c>
      <c r="B45" s="1595">
        <f>'预评函-3'!C4</f>
        <v>24664.240000000002</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4" sqref="Y1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武夷房地产开发有限公司拟使用北京市通州区潞河镇（武夷花园东区）限价住宅及地下车库用房房地产市场价值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XX年(多用途剩余年限尾数不同时，可只体现小数点后一位)，假定未设立法定优先受偿款下的房地产市场价值。</v>
      </c>
    </row>
    <row r="54" spans="1:4">
      <c r="A54" s="3012"/>
      <c r="B54" s="2025" t="s">
        <v>864</v>
      </c>
      <c r="C54" s="2022" t="s">
        <v>1281</v>
      </c>
    </row>
    <row r="55" spans="1:4">
      <c r="A55" s="3012"/>
      <c r="B55" s="2025" t="s">
        <v>865</v>
      </c>
      <c r="C55" s="2022" t="s">
        <v>1282</v>
      </c>
    </row>
    <row r="56" spans="1:4">
      <c r="A56" s="3012"/>
      <c r="B56" s="2025" t="s">
        <v>866</v>
      </c>
      <c r="C56" s="2022" t="s">
        <v>1286</v>
      </c>
    </row>
    <row r="57" spans="1:4">
      <c r="A57" s="301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3" sqref="H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13" t="str">
        <f>IF(B10="北京市","北京市",C10)&amp;F10&amp;IF(结果表!G1="在建","出让国有建设用地使用权及在建建筑物",IF(结果表!G1="土地","出让国有建设用地使用权",))&amp;B9&amp;"预评估"</f>
        <v>北京市通州区潞河镇（武夷花园东区）限价住宅及地下车库用房房地产市场价值房地产市场价值预评估</v>
      </c>
      <c r="C1" s="3014"/>
      <c r="D1" s="3014"/>
      <c r="E1" s="3014"/>
      <c r="F1" s="3014"/>
      <c r="G1" s="3014"/>
      <c r="H1" s="3014"/>
      <c r="I1" s="301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北京市通州区潞河镇（武夷花园东区）限价住宅及地下车库用房房地产市场价值房地产市场价值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北京市通州区潞河镇（武夷花园东区）限价住宅及地下车库用房房地产市场价值房地产</v>
      </c>
    </row>
    <row r="3" spans="1:19" ht="18" customHeight="1">
      <c r="A3" s="2038" t="s">
        <v>1778</v>
      </c>
      <c r="B3" s="2039">
        <v>43341</v>
      </c>
      <c r="C3" s="2040" t="s">
        <v>1779</v>
      </c>
      <c r="D3" s="2039">
        <f>B3</f>
        <v>43341</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1419970001</v>
      </c>
      <c r="D4" s="2042" t="s">
        <v>3049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1781</v>
      </c>
      <c r="B5" s="2961" t="s">
        <v>3237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941" t="s">
        <v>3054</v>
      </c>
      <c r="C7" s="2052"/>
      <c r="D7" s="2053"/>
      <c r="E7" s="2037"/>
      <c r="F7" s="2045"/>
      <c r="G7" s="2045"/>
      <c r="H7" s="2045"/>
      <c r="I7" s="2045"/>
      <c r="J7" s="2045"/>
      <c r="K7" s="2055"/>
      <c r="L7" s="2031"/>
      <c r="M7" s="2031"/>
      <c r="N7" s="2032"/>
      <c r="O7" s="2033"/>
      <c r="P7" s="2032"/>
      <c r="Q7" s="2032"/>
      <c r="R7" s="2032"/>
    </row>
    <row r="8" spans="1:19" ht="18" customHeight="1">
      <c r="A8" s="2050" t="s">
        <v>1784</v>
      </c>
      <c r="B8" s="2056" t="s">
        <v>3055</v>
      </c>
      <c r="C8" s="2057"/>
      <c r="D8" s="3016" t="s">
        <v>1785</v>
      </c>
      <c r="E8" s="2058"/>
      <c r="F8" s="2059"/>
      <c r="G8" s="2029"/>
      <c r="H8" s="2029"/>
      <c r="I8" s="2029"/>
      <c r="J8" s="2045"/>
      <c r="K8" s="2046"/>
      <c r="L8" s="2031"/>
      <c r="M8" s="2031"/>
      <c r="N8" s="2032"/>
      <c r="O8" s="2033"/>
      <c r="P8" s="2032"/>
      <c r="Q8" s="2032"/>
      <c r="R8" s="2032"/>
    </row>
    <row r="9" spans="1:19" ht="18" customHeight="1" thickBot="1">
      <c r="A9" s="2043" t="s">
        <v>1786</v>
      </c>
      <c r="B9" s="2060" t="s">
        <v>3056</v>
      </c>
      <c r="C9" s="2061"/>
      <c r="D9" s="3017"/>
      <c r="E9" s="2060"/>
      <c r="F9" s="2062"/>
      <c r="G9" s="2063"/>
      <c r="H9" s="2063"/>
      <c r="I9" s="2063"/>
      <c r="J9" s="2045"/>
      <c r="K9" s="2055"/>
      <c r="L9" s="2031"/>
      <c r="M9" s="2031"/>
      <c r="N9" s="2032"/>
      <c r="O9" s="2033"/>
      <c r="P9" s="2032"/>
      <c r="Q9" s="2032"/>
      <c r="R9" s="2032"/>
    </row>
    <row r="10" spans="1:19" ht="18" customHeight="1" thickTop="1">
      <c r="A10" s="2064" t="s">
        <v>1787</v>
      </c>
      <c r="B10" s="2065" t="s">
        <v>3050</v>
      </c>
      <c r="C10" s="2066"/>
      <c r="D10" s="2049"/>
      <c r="E10" s="2067" t="s">
        <v>1788</v>
      </c>
      <c r="F10" s="2940" t="s">
        <v>3051</v>
      </c>
      <c r="G10" s="2068"/>
      <c r="H10" s="2069"/>
      <c r="I10" s="2049"/>
      <c r="J10" s="2045"/>
      <c r="K10" s="2055"/>
      <c r="L10" s="2031"/>
      <c r="M10" s="2031"/>
      <c r="N10" s="2032"/>
      <c r="O10" s="2033"/>
      <c r="P10" s="2032"/>
      <c r="Q10" s="2032"/>
      <c r="R10" s="2032"/>
    </row>
    <row r="11" spans="1:19" ht="18" customHeight="1">
      <c r="A11" s="2070" t="s">
        <v>1789</v>
      </c>
      <c r="B11" s="2071" t="s">
        <v>3053</v>
      </c>
      <c r="C11" s="2942" t="s">
        <v>3057</v>
      </c>
      <c r="D11" s="2072"/>
      <c r="E11" s="2045"/>
      <c r="F11" s="2045"/>
      <c r="G11" s="2045"/>
      <c r="H11" s="2045"/>
      <c r="I11" s="2045"/>
      <c r="J11" s="2045"/>
      <c r="K11" s="2055"/>
      <c r="L11" s="2031"/>
      <c r="M11" s="2031"/>
      <c r="N11" s="2032"/>
      <c r="O11" s="2033"/>
      <c r="P11" s="2032"/>
      <c r="Q11" s="2032"/>
      <c r="R11" s="2032"/>
    </row>
    <row r="12" spans="1:19" ht="18" customHeight="1">
      <c r="A12" s="2073" t="s">
        <v>1790</v>
      </c>
      <c r="B12" s="2071" t="s">
        <v>3052</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v>63198</v>
      </c>
      <c r="E13" s="2079"/>
      <c r="F13" s="2079"/>
      <c r="G13" s="2079">
        <v>55893</v>
      </c>
      <c r="H13" s="2079">
        <v>55893</v>
      </c>
      <c r="I13" s="1050"/>
      <c r="J13" s="2045"/>
      <c r="K13" s="2055"/>
      <c r="L13" s="2031"/>
      <c r="M13" s="2031"/>
      <c r="N13" s="2032"/>
      <c r="O13" s="2033"/>
      <c r="P13" s="2032"/>
      <c r="Q13" s="2032"/>
      <c r="R13" s="2032"/>
    </row>
    <row r="14" spans="1:19" ht="18" customHeight="1">
      <c r="A14" s="2076"/>
      <c r="B14" s="2077"/>
      <c r="C14" s="2078" t="s">
        <v>1799</v>
      </c>
      <c r="D14" s="1053">
        <v>70</v>
      </c>
      <c r="E14" s="1053"/>
      <c r="F14" s="1053"/>
      <c r="G14" s="1053">
        <v>50</v>
      </c>
      <c r="H14" s="1053">
        <v>50</v>
      </c>
      <c r="I14" s="1053"/>
      <c r="J14" s="2045"/>
      <c r="K14" s="2080"/>
      <c r="L14" s="2031"/>
      <c r="M14" s="2031"/>
      <c r="N14" s="2032"/>
      <c r="O14" s="2033"/>
      <c r="P14" s="2032"/>
      <c r="Q14" s="2032"/>
      <c r="R14" s="2032"/>
    </row>
    <row r="15" spans="1:19" ht="18" customHeight="1">
      <c r="A15" s="2064"/>
      <c r="B15" s="2081"/>
      <c r="C15" s="2078" t="s">
        <v>1800</v>
      </c>
      <c r="D15" s="1052">
        <f>IF(B12="出让",IF(D13="","",ROUNDDOWN(MIN((D13-$D$3)/365,D14),2)),D14)</f>
        <v>54.4</v>
      </c>
      <c r="E15" s="1052" t="str">
        <f>IF(B12="出让",IF(E13="","",ROUNDDOWN(MIN((E13-$D$3)/365,E14),2)),E14)</f>
        <v/>
      </c>
      <c r="F15" s="1052" t="str">
        <f>IF(B12="出让",IF(F13="","",ROUNDDOWN(MIN((F13-$D$3)/365,F14),2)),F14)</f>
        <v/>
      </c>
      <c r="G15" s="1052">
        <f>IF(B12="出让",IF(G13="","",ROUNDDOWN(MIN((G13-$D$3)/365,G14),2)),G14)</f>
        <v>34.380000000000003</v>
      </c>
      <c r="H15" s="1052">
        <f>IF(B12="出让",IF(H13="","",ROUNDDOWN(MIN((H13-$D$3)/365,H14),2)),H14)</f>
        <v>34.380000000000003</v>
      </c>
      <c r="I15" s="1052" t="str">
        <f>IF(B12="出让",IF(I13="","",ROUNDDOWN(MIN((I13-$D$3)/365,I14),2)),I14)</f>
        <v/>
      </c>
      <c r="J15" s="2045"/>
      <c r="K15" s="2082"/>
      <c r="L15" s="2083"/>
      <c r="M15" s="2083"/>
      <c r="N15" s="2084"/>
      <c r="O15" s="2083"/>
      <c r="P15" s="2084"/>
      <c r="Q15" s="2032"/>
      <c r="R15" s="2032"/>
    </row>
    <row r="16" spans="1:19" ht="30.75" customHeight="1">
      <c r="A16" s="2067" t="s">
        <v>1801</v>
      </c>
      <c r="B16" s="3023" t="s">
        <v>3059</v>
      </c>
      <c r="C16" s="3024"/>
      <c r="D16" s="3025"/>
      <c r="E16" s="2085" t="s">
        <v>1802</v>
      </c>
      <c r="F16" s="3026"/>
      <c r="G16" s="3027"/>
      <c r="H16" s="3027"/>
      <c r="I16" s="3028"/>
      <c r="J16" s="2032"/>
      <c r="K16" s="2082"/>
      <c r="L16" s="2083"/>
      <c r="M16" s="2083"/>
      <c r="N16" s="2084"/>
      <c r="O16" s="2083"/>
      <c r="P16" s="2084"/>
      <c r="Q16" s="2032"/>
      <c r="R16" s="2032"/>
    </row>
    <row r="17" spans="1:22" ht="18" customHeight="1">
      <c r="A17" s="2086" t="s">
        <v>1803</v>
      </c>
      <c r="B17" s="2038" t="s">
        <v>1804</v>
      </c>
      <c r="C17" s="1057">
        <f>'数据-汇总表'!E3</f>
        <v>107692.8</v>
      </c>
      <c r="D17" s="2087" t="s">
        <v>1805</v>
      </c>
      <c r="E17" s="3029" t="s">
        <v>3060</v>
      </c>
      <c r="F17" s="3030"/>
      <c r="G17" s="3030"/>
      <c r="H17" s="3030"/>
      <c r="I17" s="3031"/>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24664.240000000002</v>
      </c>
      <c r="D18" s="2090" t="s">
        <v>1805</v>
      </c>
      <c r="E18" s="3032" t="s">
        <v>3061</v>
      </c>
      <c r="F18" s="3033"/>
      <c r="G18" s="3033"/>
      <c r="H18" s="3033"/>
      <c r="I18" s="3034"/>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c r="D19" s="2092" t="s">
        <v>1810</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1811</v>
      </c>
      <c r="B20" s="3019" t="s">
        <v>1812</v>
      </c>
      <c r="C20" s="3020"/>
      <c r="D20" s="3021" t="s">
        <v>1813</v>
      </c>
      <c r="E20" s="3022"/>
      <c r="F20" s="2097" t="s">
        <v>1814</v>
      </c>
      <c r="G20" s="2045"/>
      <c r="H20" s="2045"/>
      <c r="I20" s="2045"/>
      <c r="J20" s="2045"/>
      <c r="K20" s="3018"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3062</v>
      </c>
      <c r="D21" s="2100" t="s">
        <v>1818</v>
      </c>
      <c r="E21" s="2101" t="s">
        <v>1817</v>
      </c>
      <c r="F21" s="2102"/>
      <c r="G21" s="2045"/>
      <c r="H21" s="2045"/>
      <c r="I21" s="2045"/>
      <c r="J21" s="2045"/>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3" t="s">
        <v>1822</v>
      </c>
      <c r="C23" s="2106"/>
      <c r="D23" s="2107" t="s">
        <v>1822</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1823</v>
      </c>
      <c r="C24" s="2111"/>
      <c r="D24" s="2105" t="s">
        <v>1823</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1824</v>
      </c>
      <c r="C25" s="2111"/>
      <c r="D25" s="2105" t="s">
        <v>1824</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36" t="s">
        <v>1827</v>
      </c>
      <c r="B27" s="2064" t="s">
        <v>1828</v>
      </c>
      <c r="C27" s="2119" t="s">
        <v>3063</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6"/>
      <c r="B28" s="2038" t="s">
        <v>1829</v>
      </c>
      <c r="C28" s="2121" t="s">
        <v>3064</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36"/>
      <c r="B29" s="2038" t="s">
        <v>1830</v>
      </c>
      <c r="C29" s="2124" t="s">
        <v>3065</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7"/>
      <c r="B30" s="2038" t="s">
        <v>1831</v>
      </c>
      <c r="C30" s="3038"/>
      <c r="D30" s="3039"/>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40" t="s">
        <v>1832</v>
      </c>
      <c r="B31" s="2126" t="s">
        <v>3073</v>
      </c>
      <c r="C31" s="2127" t="str">
        <f>IF(B31="现房","成新及维护状况正常否",IF(B31="在建","工程状态是否正常",IF(B31="土地","是否闲置","-")))</f>
        <v>工程状态是否正常</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41"/>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41"/>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1833</v>
      </c>
      <c r="B34" s="2133" t="s">
        <v>3066</v>
      </c>
      <c r="C34" s="2133" t="s">
        <v>3067</v>
      </c>
      <c r="D34" s="2133" t="s">
        <v>3068</v>
      </c>
      <c r="E34" s="2133" t="s">
        <v>3069</v>
      </c>
      <c r="F34" s="2133" t="s">
        <v>3070</v>
      </c>
      <c r="G34" s="2133" t="s">
        <v>3071</v>
      </c>
      <c r="H34" s="2133" t="s">
        <v>3072</v>
      </c>
      <c r="I34" s="2045"/>
      <c r="J34" s="2045"/>
      <c r="K34" s="1798">
        <f>COUNTIF(B34:H34,"——")</f>
        <v>0</v>
      </c>
      <c r="L34" s="2074" t="s">
        <v>1834</v>
      </c>
      <c r="M34" s="2074" t="s">
        <v>1835</v>
      </c>
      <c r="N34" s="2074" t="s">
        <v>1836</v>
      </c>
      <c r="O34" s="2074" t="s">
        <v>1837</v>
      </c>
      <c r="P34" s="2074" t="s">
        <v>1838</v>
      </c>
      <c r="Q34" s="2074" t="s">
        <v>1839</v>
      </c>
      <c r="R34" s="2074" t="s">
        <v>1840</v>
      </c>
      <c r="S34" s="3035" t="s">
        <v>1841</v>
      </c>
      <c r="T34" s="2134" t="str">
        <f>NUMBERSTRING(7-K34,1)&amp;"通"</f>
        <v>七通</v>
      </c>
      <c r="U34" s="2032"/>
      <c r="V34" s="2032"/>
    </row>
    <row r="35" spans="1:22" ht="18" customHeight="1">
      <c r="A35" s="2135"/>
      <c r="B35" s="3042" t="s">
        <v>1842</v>
      </c>
      <c r="C35" s="3042"/>
      <c r="D35" s="3042"/>
      <c r="E35" s="3042"/>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5"/>
      <c r="T35" s="48" t="str">
        <f>IF(T34="一通",L35,IF(T34="二通",M35,IF(T34="三通",N35,IF(T34="四通",O35,IF(T34="五通",P35,IF(T34="六通",Q35,R35))))))</f>
        <v>通路、通电、通讯、通上水、通下水、通热、燃气</v>
      </c>
      <c r="U35" s="2032"/>
      <c r="V35" s="2032"/>
    </row>
    <row r="36" spans="1:22" ht="18" customHeight="1">
      <c r="A36" s="2137"/>
      <c r="B36" s="2136" t="s">
        <v>1843</v>
      </c>
      <c r="C36" s="2136" t="s">
        <v>1844</v>
      </c>
      <c r="D36" s="2136" t="s">
        <v>1845</v>
      </c>
      <c r="E36" s="2136" t="s">
        <v>1846</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1847</v>
      </c>
      <c r="B37" s="2140"/>
      <c r="C37" s="2140"/>
      <c r="D37" s="2140" t="s">
        <v>56</v>
      </c>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1848</v>
      </c>
      <c r="B38" s="2142"/>
      <c r="C38" s="2142"/>
      <c r="D38" s="2142" t="s">
        <v>438</v>
      </c>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2159" customWidth="1"/>
    <col min="2" max="2" width="11" style="2159" customWidth="1"/>
    <col min="3" max="3" width="16.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46270.8</v>
      </c>
      <c r="B3" s="14">
        <f>IF(C3="否",G5-AT5,G5)</f>
        <v>202034.69999999998</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202034.69999999998</v>
      </c>
      <c r="H5" s="16">
        <f t="shared" ref="H5:AT5" si="0">SUM(H13:H656)</f>
        <v>164878.09999999998</v>
      </c>
      <c r="I5" s="16">
        <f t="shared" si="0"/>
        <v>124131.4</v>
      </c>
      <c r="J5" s="16">
        <f t="shared" si="0"/>
        <v>0</v>
      </c>
      <c r="K5" s="16">
        <f t="shared" si="0"/>
        <v>29858.400000000001</v>
      </c>
      <c r="L5" s="16">
        <f t="shared" si="0"/>
        <v>0</v>
      </c>
      <c r="M5" s="16">
        <f t="shared" si="0"/>
        <v>10888.3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37156.6</v>
      </c>
      <c r="AD5" s="16">
        <f t="shared" si="0"/>
        <v>4713.2</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10792.4</v>
      </c>
      <c r="AO5" s="16">
        <f t="shared" si="0"/>
        <v>0</v>
      </c>
      <c r="AP5" s="16">
        <f t="shared" si="0"/>
        <v>0</v>
      </c>
      <c r="AQ5" s="16">
        <f t="shared" si="0"/>
        <v>0</v>
      </c>
      <c r="AR5" s="16">
        <f t="shared" si="0"/>
        <v>20999</v>
      </c>
      <c r="AS5" s="16">
        <f t="shared" si="0"/>
        <v>0</v>
      </c>
      <c r="AT5" s="16">
        <f t="shared" si="0"/>
        <v>0</v>
      </c>
      <c r="AU5" s="1805"/>
      <c r="AV5" s="15" t="s">
        <v>1878</v>
      </c>
      <c r="AW5" s="1806"/>
      <c r="AX5" s="1806"/>
      <c r="AY5" s="17" t="s">
        <v>3</v>
      </c>
      <c r="AZ5" s="18">
        <f t="shared" ref="AZ5:BT5" si="1">SUM(AZ13:AZ656)</f>
        <v>107692.8</v>
      </c>
      <c r="BA5" s="18">
        <f t="shared" si="1"/>
        <v>107692.8</v>
      </c>
      <c r="BB5" s="18">
        <f t="shared" si="1"/>
        <v>66946.100000000006</v>
      </c>
      <c r="BC5" s="18">
        <f t="shared" si="1"/>
        <v>29858.400000000001</v>
      </c>
      <c r="BD5" s="18">
        <f t="shared" si="1"/>
        <v>10888.3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46270.8</v>
      </c>
      <c r="F6" s="16" t="s">
        <v>1</v>
      </c>
      <c r="G6" s="16" t="s">
        <v>2</v>
      </c>
      <c r="H6" s="20">
        <f>SUMIF(I$12:AB$12,"总值",I6:AB6)</f>
        <v>37761.040000000001</v>
      </c>
      <c r="I6" s="16">
        <f t="shared" ref="I6:AB6" si="2">ROUND($A$3*I5/$B$3,2)</f>
        <v>28429.07</v>
      </c>
      <c r="J6" s="16">
        <f t="shared" si="2"/>
        <v>0</v>
      </c>
      <c r="K6" s="16">
        <f t="shared" si="2"/>
        <v>6838.29</v>
      </c>
      <c r="L6" s="16">
        <f t="shared" si="2"/>
        <v>0</v>
      </c>
      <c r="M6" s="16">
        <f t="shared" si="2"/>
        <v>2493.6799999999998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8509.7599999999984</v>
      </c>
      <c r="AD6" s="16">
        <f t="shared" ref="AD6:AS6" si="3">ROUND($A$3*AD5/$B$3,2)</f>
        <v>1079.44</v>
      </c>
      <c r="AE6" s="16">
        <f t="shared" si="3"/>
        <v>0</v>
      </c>
      <c r="AF6" s="16">
        <f t="shared" si="3"/>
        <v>0</v>
      </c>
      <c r="AG6" s="16">
        <f t="shared" si="3"/>
        <v>0</v>
      </c>
      <c r="AH6" s="16">
        <f t="shared" si="3"/>
        <v>0</v>
      </c>
      <c r="AI6" s="16">
        <f t="shared" si="3"/>
        <v>0</v>
      </c>
      <c r="AJ6" s="16">
        <f t="shared" si="3"/>
        <v>0</v>
      </c>
      <c r="AK6" s="16">
        <f t="shared" si="3"/>
        <v>0</v>
      </c>
      <c r="AL6" s="16">
        <f t="shared" si="3"/>
        <v>149.32</v>
      </c>
      <c r="AM6" s="16">
        <f t="shared" si="3"/>
        <v>0</v>
      </c>
      <c r="AN6" s="16">
        <f t="shared" si="3"/>
        <v>2471.7199999999998</v>
      </c>
      <c r="AO6" s="16">
        <f t="shared" si="3"/>
        <v>0</v>
      </c>
      <c r="AP6" s="16">
        <f t="shared" si="3"/>
        <v>0</v>
      </c>
      <c r="AQ6" s="16">
        <f t="shared" si="3"/>
        <v>0</v>
      </c>
      <c r="AR6" s="16">
        <f t="shared" si="3"/>
        <v>4809.28</v>
      </c>
      <c r="AS6" s="16">
        <f t="shared" si="3"/>
        <v>0</v>
      </c>
      <c r="AT6" s="20">
        <f>IF(C3="是",ROUND($A$3*AT5/$B$3,2),0)</f>
        <v>0</v>
      </c>
      <c r="AU6" s="2176"/>
      <c r="AV6" s="15" t="s">
        <v>1879</v>
      </c>
      <c r="AW6" s="2174"/>
      <c r="AX6" s="2174"/>
      <c r="AY6" s="21">
        <f>IF(AY3&gt;0,AY3,ROUND($A$3*AZ5/$B$3,2))</f>
        <v>24664.240000000002</v>
      </c>
      <c r="AZ6" s="16" t="s">
        <v>3</v>
      </c>
      <c r="BA6" s="16">
        <f>ROUND($AY$6*BA5/$AZ$5,2)</f>
        <v>24664.240000000002</v>
      </c>
      <c r="BB6" s="16">
        <f>ROUND($AY$6*BB5/$AZ$5,2)</f>
        <v>15332.27</v>
      </c>
      <c r="BC6" s="16">
        <f t="shared" ref="BC6:BH6" si="4">ROUND($AY$6*BC5/$AZ$5,2)</f>
        <v>6838.29</v>
      </c>
      <c r="BD6" s="16">
        <f t="shared" si="4"/>
        <v>2493.6799999999998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4"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3086</v>
      </c>
      <c r="J9" s="984"/>
      <c r="K9" s="2191" t="s">
        <v>3088</v>
      </c>
      <c r="L9" s="984"/>
      <c r="M9" s="2191" t="s">
        <v>3088</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3058</v>
      </c>
      <c r="J10" s="984"/>
      <c r="K10" s="2197" t="s">
        <v>3089</v>
      </c>
      <c r="L10" s="984"/>
      <c r="M10" s="2197" t="s">
        <v>3090</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3087</v>
      </c>
      <c r="J11" s="2203"/>
      <c r="K11" s="2202" t="s">
        <v>3089</v>
      </c>
      <c r="L11" s="2203"/>
      <c r="M11" s="2202" t="s">
        <v>3091</v>
      </c>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t="str">
        <f>K10</f>
        <v>车库</v>
      </c>
      <c r="BD11" s="2187" t="str">
        <f>M10</f>
        <v>仓储</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t="str">
        <f>K11</f>
        <v>车库</v>
      </c>
      <c r="BD12" s="2212" t="str">
        <f>M11</f>
        <v>戊类库房</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4.25" customHeight="1">
      <c r="A13" s="1275"/>
      <c r="B13" s="1275"/>
      <c r="C13" s="2943" t="s">
        <v>3079</v>
      </c>
      <c r="D13" s="2213" t="s">
        <v>3084</v>
      </c>
      <c r="E13" s="16">
        <f>IF($C$3="是",ROUND($A$3*G13/$B$3,2),ROUND($A$3*(G13-AT13)/$B$3,2))</f>
        <v>15332.27</v>
      </c>
      <c r="F13" s="32"/>
      <c r="G13" s="33">
        <f>H13+AC13+AT13</f>
        <v>66946.100000000006</v>
      </c>
      <c r="H13" s="20">
        <f>SUMIF(I$12:AB$12,"总值",I13:AB13)</f>
        <v>66946.100000000006</v>
      </c>
      <c r="I13" s="2214">
        <v>66946.100000000006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两限房</v>
      </c>
      <c r="AY13" s="1809">
        <f>ROUND($AY$6*AZ13/$AZ$5,2)</f>
        <v>15332.27</v>
      </c>
      <c r="AZ13" s="16">
        <f>BA13+BL13</f>
        <v>66946.100000000006</v>
      </c>
      <c r="BA13" s="16">
        <f>SUM(BB13:BK13)</f>
        <v>66946.100000000006</v>
      </c>
      <c r="BB13" s="16">
        <f>IF($D13="是",I13-J13,0)</f>
        <v>66946.100000000006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4.25" customHeight="1">
      <c r="A14" s="1275"/>
      <c r="B14" s="1275"/>
      <c r="C14" s="2943" t="s">
        <v>3075</v>
      </c>
      <c r="D14" s="2213" t="s">
        <v>3085</v>
      </c>
      <c r="E14" s="16">
        <f>IF($C$3="是",ROUND($A$3*G14/$B$3,2),ROUND($A$3*(G14-AT14)/$B$3,2))</f>
        <v>1079.44</v>
      </c>
      <c r="F14" s="32"/>
      <c r="G14" s="33">
        <f>H14+AC14+AT14</f>
        <v>4713.2</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4713.2</v>
      </c>
      <c r="AD14" s="2215">
        <v>4713.2</v>
      </c>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配套公建</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4.25" customHeight="1">
      <c r="A15" s="1275"/>
      <c r="B15" s="1275"/>
      <c r="C15" s="2943" t="s">
        <v>3076</v>
      </c>
      <c r="D15" s="2213" t="s">
        <v>3085</v>
      </c>
      <c r="E15" s="16">
        <f>IF($C$3="是",ROUND($A$3*G15/$B$3,2),ROUND($A$3*(G15-AT15)/$B$3,2))</f>
        <v>149.32</v>
      </c>
      <c r="F15" s="32"/>
      <c r="G15" s="33">
        <f>H15+AC15+AT15</f>
        <v>652</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652</v>
      </c>
      <c r="AD15" s="2215"/>
      <c r="AE15" s="2215"/>
      <c r="AF15" s="2215"/>
      <c r="AG15" s="2215"/>
      <c r="AH15" s="2215"/>
      <c r="AI15" s="2215"/>
      <c r="AJ15" s="2215"/>
      <c r="AK15" s="2215"/>
      <c r="AL15" s="2215">
        <v>652</v>
      </c>
      <c r="AM15" s="2215"/>
      <c r="AN15" s="2215"/>
      <c r="AO15" s="2215"/>
      <c r="AP15" s="2215"/>
      <c r="AQ15" s="2215"/>
      <c r="AR15" s="2215"/>
      <c r="AS15" s="2215"/>
      <c r="AT15" s="2216"/>
      <c r="AU15" s="2217"/>
      <c r="AV15" s="11">
        <f t="shared" si="6"/>
        <v>0</v>
      </c>
      <c r="AW15" s="11">
        <f t="shared" si="6"/>
        <v>0</v>
      </c>
      <c r="AX15" s="11" t="str">
        <f t="shared" si="6"/>
        <v>人防车库入口</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4.25" customHeight="1">
      <c r="A16" s="1275"/>
      <c r="B16" s="1275"/>
      <c r="C16" s="2943" t="s">
        <v>3077</v>
      </c>
      <c r="D16" s="2213" t="s">
        <v>3084</v>
      </c>
      <c r="E16" s="16">
        <f>IF($C$3="是",ROUND($A$3*G16/$B$3,2),ROUND($A$3*(G16-AT16)/$B$3,2))</f>
        <v>6838.29</v>
      </c>
      <c r="F16" s="32"/>
      <c r="G16" s="33">
        <f>H16+AC16+AT16</f>
        <v>29858.400000000001</v>
      </c>
      <c r="H16" s="20">
        <f>SUMIF(I$12:AB$12,"总值",I16:AB16)</f>
        <v>29858.400000000001</v>
      </c>
      <c r="I16" s="2214"/>
      <c r="J16" s="2214"/>
      <c r="K16" s="2214">
        <f>50857.4-AR18</f>
        <v>29858.400000000001</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地下车库</v>
      </c>
      <c r="AY16" s="1809">
        <f>ROUND($AY$6*AZ16/$AZ$5,2)</f>
        <v>6838.29</v>
      </c>
      <c r="AZ16" s="16">
        <f>BA16+BL16</f>
        <v>29858.400000000001</v>
      </c>
      <c r="BA16" s="16">
        <f>SUM(BB16:BK16)</f>
        <v>29858.400000000001</v>
      </c>
      <c r="BB16" s="16">
        <f>IF($D16="是",I16-J16,0)</f>
        <v>0</v>
      </c>
      <c r="BC16" s="16">
        <f>IF($D16="是",K16-L16,0)</f>
        <v>29858.400000000001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4.25" customHeight="1">
      <c r="A17" s="1275"/>
      <c r="B17" s="1275"/>
      <c r="C17" s="2943" t="s">
        <v>3078</v>
      </c>
      <c r="D17" s="2213" t="s">
        <v>3084</v>
      </c>
      <c r="E17" s="16">
        <f>IF($C$3="是",ROUND($A$3*G17/$B$3,2),ROUND($A$3*(G17-AT17)/$B$3,2))</f>
        <v>2493.6799999999998</v>
      </c>
      <c r="F17" s="32"/>
      <c r="G17" s="33">
        <f>H17+AC17+AT17</f>
        <v>10888.3</v>
      </c>
      <c r="H17" s="20">
        <f>SUMIF(I$12:AB$12,"总值",I17:AB17)</f>
        <v>10888.3</v>
      </c>
      <c r="I17" s="2214"/>
      <c r="J17" s="2214"/>
      <c r="K17" s="2214"/>
      <c r="L17" s="2214"/>
      <c r="M17" s="2214">
        <v>10888.3</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地下仓储</v>
      </c>
      <c r="AY17" s="1809">
        <f>ROUND($AY$6*AZ17/$AZ$5,2)</f>
        <v>2493.6799999999998</v>
      </c>
      <c r="AZ17" s="16">
        <f>BA17+BL17</f>
        <v>10888.3</v>
      </c>
      <c r="BA17" s="16">
        <f>SUM(BB17:BK17)</f>
        <v>10888.3</v>
      </c>
      <c r="BB17" s="16">
        <f>IF($D17="是",I17-J17,0)</f>
        <v>0</v>
      </c>
      <c r="BC17" s="16">
        <f>IF($D17="是",K17-L17,0)</f>
        <v>0</v>
      </c>
      <c r="BD17" s="16">
        <f>IF($D17="是",M17-N17,0)</f>
        <v>10888.3</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25" customHeight="1">
      <c r="A18" s="9"/>
      <c r="B18" s="34"/>
      <c r="C18" s="2943" t="s">
        <v>3080</v>
      </c>
      <c r="D18" s="2213" t="s">
        <v>3085</v>
      </c>
      <c r="E18" s="35">
        <f t="shared" ref="E18:E112" si="7">IF($C$3="是",ROUND($A$3*G18/$B$3,2),ROUND($A$3*(G18-AT18)/$B$3,2))</f>
        <v>4809.28</v>
      </c>
      <c r="F18" s="36"/>
      <c r="G18" s="37">
        <f t="shared" ref="G18:G109" si="8">H18+AC18+AT18</f>
        <v>20999</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20999</v>
      </c>
      <c r="AD18" s="40"/>
      <c r="AE18" s="40"/>
      <c r="AF18" s="40"/>
      <c r="AG18" s="40"/>
      <c r="AH18" s="40"/>
      <c r="AI18" s="40"/>
      <c r="AJ18" s="40"/>
      <c r="AK18" s="40"/>
      <c r="AL18" s="2215"/>
      <c r="AM18" s="40"/>
      <c r="AN18" s="40"/>
      <c r="AO18" s="40"/>
      <c r="AP18" s="40"/>
      <c r="AQ18" s="40"/>
      <c r="AR18" s="40">
        <v>20999</v>
      </c>
      <c r="AS18" s="40"/>
      <c r="AT18" s="41"/>
      <c r="AU18" s="2219"/>
      <c r="AV18" s="1798">
        <f t="shared" ref="AV18:AV112" si="11">A18</f>
        <v>0</v>
      </c>
      <c r="AW18" s="1798">
        <f t="shared" ref="AW18:AW112" si="12">B18</f>
        <v>0</v>
      </c>
      <c r="AX18" s="1798" t="str">
        <f t="shared" ref="AX18:AX112" si="13">C18</f>
        <v>人防车库</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25" customHeight="1">
      <c r="A19" s="9"/>
      <c r="B19" s="34"/>
      <c r="C19" s="2943" t="s">
        <v>3081</v>
      </c>
      <c r="D19" s="2213" t="s">
        <v>3085</v>
      </c>
      <c r="E19" s="35">
        <f t="shared" si="7"/>
        <v>1855.09</v>
      </c>
      <c r="F19" s="36"/>
      <c r="G19" s="37">
        <f t="shared" si="8"/>
        <v>8100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8100</v>
      </c>
      <c r="AD19" s="40"/>
      <c r="AE19" s="40"/>
      <c r="AF19" s="40"/>
      <c r="AG19" s="40"/>
      <c r="AH19" s="40"/>
      <c r="AI19" s="40"/>
      <c r="AJ19" s="40"/>
      <c r="AK19" s="40"/>
      <c r="AL19" s="2215"/>
      <c r="AM19" s="40"/>
      <c r="AN19" s="40">
        <v>8100</v>
      </c>
      <c r="AO19" s="40"/>
      <c r="AP19" s="40"/>
      <c r="AQ19" s="40"/>
      <c r="AR19" s="40"/>
      <c r="AS19" s="40"/>
      <c r="AT19" s="41"/>
      <c r="AU19" s="2219"/>
      <c r="AV19" s="1798">
        <f t="shared" si="11"/>
        <v>0</v>
      </c>
      <c r="AW19" s="1798">
        <f t="shared" si="12"/>
        <v>0</v>
      </c>
      <c r="AX19" s="1798" t="str">
        <f t="shared" si="13"/>
        <v>自行车库及机电用房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25" customHeight="1">
      <c r="A20" s="9"/>
      <c r="B20" s="34"/>
      <c r="C20" s="2943" t="s">
        <v>3082</v>
      </c>
      <c r="D20" s="2213" t="s">
        <v>3085</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t="str">
        <f t="shared" si="13"/>
        <v>非人防建筑面积</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25" customHeight="1">
      <c r="A21" s="9"/>
      <c r="B21" s="34"/>
      <c r="C21" s="2943" t="s">
        <v>3083</v>
      </c>
      <c r="D21" s="2213" t="s">
        <v>3085</v>
      </c>
      <c r="E21" s="35">
        <f t="shared" si="7"/>
        <v>616.62</v>
      </c>
      <c r="F21" s="36"/>
      <c r="G21" s="37">
        <f t="shared" si="8"/>
        <v>2692.4</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2692.4</v>
      </c>
      <c r="AD21" s="40"/>
      <c r="AE21" s="40"/>
      <c r="AF21" s="40"/>
      <c r="AG21" s="40"/>
      <c r="AH21" s="40"/>
      <c r="AI21" s="40"/>
      <c r="AJ21" s="40"/>
      <c r="AK21" s="40"/>
      <c r="AL21" s="40"/>
      <c r="AM21" s="40"/>
      <c r="AN21" s="40">
        <v>2692.4</v>
      </c>
      <c r="AO21" s="40"/>
      <c r="AP21" s="40"/>
      <c r="AQ21" s="40"/>
      <c r="AR21" s="40"/>
      <c r="AS21" s="40"/>
      <c r="AT21" s="41"/>
      <c r="AU21" s="2219"/>
      <c r="AV21" s="1798">
        <f t="shared" si="11"/>
        <v>0</v>
      </c>
      <c r="AW21" s="1798">
        <f t="shared" si="12"/>
        <v>0</v>
      </c>
      <c r="AX21" s="1798" t="str">
        <f t="shared" si="13"/>
        <v>其他</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3" t="s">
        <v>3092</v>
      </c>
      <c r="D22" s="2213" t="s">
        <v>3085</v>
      </c>
      <c r="E22" s="35">
        <f t="shared" si="7"/>
        <v>13096.81</v>
      </c>
      <c r="F22" s="36"/>
      <c r="G22" s="37">
        <f t="shared" si="8"/>
        <v>57185.299999999988</v>
      </c>
      <c r="H22" s="38">
        <f t="shared" si="9"/>
        <v>57185.299999999988</v>
      </c>
      <c r="I22" s="2214">
        <f>124131.4-I13</f>
        <v>57185.299999999988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t="str">
        <f t="shared" si="13"/>
        <v>普通住宅</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54" t="s">
        <v>1938</v>
      </c>
      <c r="B2" s="3054"/>
      <c r="C2" s="3054"/>
      <c r="D2" s="970" t="s">
        <v>1914</v>
      </c>
      <c r="E2" s="2227" t="s">
        <v>1915</v>
      </c>
      <c r="F2" s="1395"/>
      <c r="G2" s="2228"/>
      <c r="H2" s="2229"/>
      <c r="I2" s="2230" t="s">
        <v>1939</v>
      </c>
      <c r="J2" s="1395"/>
      <c r="K2" s="1395"/>
      <c r="L2" s="1395"/>
      <c r="M2" s="1395"/>
      <c r="N2" s="1430"/>
      <c r="O2" s="1395"/>
      <c r="P2" s="1395"/>
    </row>
    <row r="3" spans="1:16" ht="15.75" thickBot="1">
      <c r="A3" s="3055" t="s">
        <v>1912</v>
      </c>
      <c r="B3" s="3055"/>
      <c r="C3" s="3055"/>
      <c r="D3" s="46">
        <f>'数据-基础表'!AY6</f>
        <v>24664.240000000002</v>
      </c>
      <c r="E3" s="46">
        <f>'数据-基础表'!AZ5</f>
        <v>107692.8</v>
      </c>
      <c r="F3" s="1395"/>
      <c r="G3" s="1402"/>
      <c r="H3" s="1250" t="s">
        <v>1913</v>
      </c>
      <c r="I3" s="55">
        <f>ROUND('数据-基础表'!B3/'数据-基础表'!A3,2)</f>
        <v>4.37</v>
      </c>
      <c r="J3" s="1395"/>
      <c r="K3" s="1395"/>
      <c r="L3" s="1395"/>
      <c r="M3" s="1395"/>
      <c r="N3" s="1430"/>
      <c r="O3" s="1395"/>
      <c r="P3" s="1395"/>
    </row>
    <row r="4" spans="1:16" ht="15">
      <c r="A4" s="3056"/>
      <c r="B4" s="3057"/>
      <c r="C4" s="3058"/>
      <c r="D4" s="2231" t="s">
        <v>1914</v>
      </c>
      <c r="E4" s="2232" t="s">
        <v>1915</v>
      </c>
      <c r="F4" s="1395"/>
      <c r="G4" s="2233" t="s">
        <v>1940</v>
      </c>
      <c r="H4" s="1250" t="s">
        <v>1920</v>
      </c>
      <c r="I4" s="55">
        <f>ROUND(SUMIF('数据-基础表'!I9:AS9,"地上",'数据-基础表'!I5:AS5)/'数据-基础表'!A3,2)</f>
        <v>2.8</v>
      </c>
      <c r="J4" s="1395"/>
      <c r="K4" s="1395"/>
      <c r="L4" s="1395"/>
      <c r="M4" s="1395"/>
      <c r="N4" s="1430"/>
      <c r="O4" s="1395"/>
      <c r="P4" s="1395"/>
    </row>
    <row r="5" spans="1:16">
      <c r="A5" s="47" t="s">
        <v>1916</v>
      </c>
      <c r="B5" s="3059" t="s">
        <v>1917</v>
      </c>
      <c r="C5" s="3059"/>
      <c r="D5" s="48">
        <f>ROUND($D$3*E5/$E$3,2)</f>
        <v>15332.27</v>
      </c>
      <c r="E5" s="49">
        <f>SUMIF('数据-基础表'!$11:$11,"住宅",'数据-基础表'!$5:$5)</f>
        <v>66946.100000000006</v>
      </c>
      <c r="F5" s="1395"/>
      <c r="G5" s="1402"/>
      <c r="H5" s="1250" t="s">
        <v>1913</v>
      </c>
      <c r="I5" s="55">
        <f>ROUND(E31/D31,2)</f>
        <v>4.37</v>
      </c>
      <c r="J5" s="1395"/>
      <c r="K5" s="1395"/>
      <c r="L5" s="1395"/>
      <c r="M5" s="1395"/>
      <c r="N5" s="1395"/>
      <c r="O5" s="1395"/>
      <c r="P5" s="1395"/>
    </row>
    <row r="6" spans="1:16" ht="15" thickBot="1">
      <c r="A6" s="2234"/>
      <c r="B6" s="3059" t="s">
        <v>1918</v>
      </c>
      <c r="C6" s="3059"/>
      <c r="D6" s="48">
        <f>ROUND($D$3*E6/$E$3,2)</f>
        <v>9331.9699999999993</v>
      </c>
      <c r="E6" s="49">
        <f>E3-E5</f>
        <v>40746.699999999997</v>
      </c>
      <c r="F6" s="1395"/>
      <c r="G6" s="2235" t="s">
        <v>1919</v>
      </c>
      <c r="H6" s="1402" t="s">
        <v>1920</v>
      </c>
      <c r="I6" s="942">
        <f>ROUND(F31/D31,2)</f>
        <v>2.71</v>
      </c>
      <c r="J6" s="1395"/>
      <c r="K6" s="1395"/>
      <c r="L6" s="1395"/>
      <c r="M6" s="1395"/>
      <c r="N6" s="1395"/>
      <c r="O6" s="1395"/>
      <c r="P6" s="1395"/>
    </row>
    <row r="7" spans="1:16" ht="15">
      <c r="A7" s="3051"/>
      <c r="B7" s="3052"/>
      <c r="C7" s="3053"/>
      <c r="D7" s="2231" t="s">
        <v>1914</v>
      </c>
      <c r="E7" s="2236" t="s">
        <v>1921</v>
      </c>
      <c r="F7" s="1395"/>
      <c r="G7" s="2228" t="s">
        <v>1922</v>
      </c>
      <c r="H7" s="64"/>
      <c r="I7" s="420">
        <f>I6</f>
        <v>2.71</v>
      </c>
      <c r="J7" s="1395"/>
      <c r="K7" s="1395"/>
      <c r="L7" s="1395"/>
      <c r="M7" s="1395"/>
      <c r="N7" s="1395"/>
      <c r="O7" s="1395"/>
      <c r="P7" s="1395"/>
    </row>
    <row r="8" spans="1:16">
      <c r="A8" s="47" t="s">
        <v>1923</v>
      </c>
      <c r="B8" s="50" t="s">
        <v>1924</v>
      </c>
      <c r="C8" s="48" t="s">
        <v>1925</v>
      </c>
      <c r="D8" s="48">
        <f t="shared" ref="D8:D15" si="0">ROUND($D$3*E8/$E$3,2)</f>
        <v>15332.27</v>
      </c>
      <c r="E8" s="51">
        <f>SUMIF('数据-基础表'!BB10:BK10,"地上",'数据-基础表'!BB5:BK5)</f>
        <v>66946.100000000006</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2493.6799999999998</v>
      </c>
      <c r="E12" s="51">
        <f>SUMPRODUCT(('数据-基础表'!BB10:BK10="地下")*('数据-基础表'!BB11:BK11="仓储")*('数据-基础表'!BB5:BK5))</f>
        <v>10888.3</v>
      </c>
      <c r="F12" s="1395"/>
      <c r="G12" s="2237"/>
      <c r="H12" s="2237"/>
      <c r="I12" s="1395"/>
      <c r="J12" s="1395"/>
      <c r="K12" s="1395"/>
      <c r="L12" s="1395"/>
      <c r="M12" s="1395"/>
      <c r="N12" s="1395"/>
      <c r="O12" s="1395"/>
      <c r="P12" s="1395"/>
    </row>
    <row r="13" spans="1:16">
      <c r="A13" s="2238"/>
      <c r="B13" s="2239"/>
      <c r="C13" s="48" t="s">
        <v>1929</v>
      </c>
      <c r="D13" s="48">
        <f t="shared" si="0"/>
        <v>6838.29</v>
      </c>
      <c r="E13" s="51">
        <f>SUMPRODUCT(('数据-基础表'!BB10:BK10="地下")*('数据-基础表'!BB11:BK11="车库")*('数据-基础表'!BB5:BK5))</f>
        <v>29858.400000000001</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24664.240000000002</v>
      </c>
      <c r="E16" s="53">
        <f>SUM(E8:E15)</f>
        <v>107692.80000000002</v>
      </c>
      <c r="F16" s="1395"/>
      <c r="G16" s="2237"/>
      <c r="H16" s="2240" t="s">
        <v>1942</v>
      </c>
      <c r="I16" s="2241"/>
      <c r="J16" s="1395"/>
      <c r="K16" s="3048" t="s">
        <v>1942</v>
      </c>
      <c r="L16" s="3049"/>
      <c r="M16" s="3049"/>
      <c r="N16" s="3049"/>
      <c r="O16" s="3049"/>
      <c r="P16" s="3050"/>
    </row>
    <row r="17" spans="1:19" ht="15">
      <c r="A17" s="2242" t="s">
        <v>1943</v>
      </c>
      <c r="B17" s="2243" t="s">
        <v>1944</v>
      </c>
      <c r="C17" s="2244" t="s">
        <v>1945</v>
      </c>
      <c r="D17" s="2245" t="s">
        <v>1933</v>
      </c>
      <c r="E17" s="2246" t="s">
        <v>1934</v>
      </c>
      <c r="F17" s="2247"/>
      <c r="G17" s="2248"/>
      <c r="H17" s="2249" t="s">
        <v>1946</v>
      </c>
      <c r="I17" s="2250" t="s">
        <v>1931</v>
      </c>
      <c r="J17" s="1395"/>
      <c r="K17" s="3045" t="s">
        <v>1947</v>
      </c>
      <c r="L17" s="3046"/>
      <c r="M17" s="3047"/>
      <c r="N17" s="3045" t="s">
        <v>1948</v>
      </c>
      <c r="O17" s="3046"/>
      <c r="P17" s="3047"/>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44" t="s">
        <v>3093</v>
      </c>
      <c r="D19" s="48">
        <f>ROUND($D$3*E19/$E$3,2)</f>
        <v>15332.27</v>
      </c>
      <c r="E19" s="56">
        <f t="shared" ref="E19:E26" si="1">SUM(F19:G19)</f>
        <v>66946.100000000006</v>
      </c>
      <c r="F19" s="57">
        <f>'数据-基础表'!I13</f>
        <v>66946.100000000006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15332.27</v>
      </c>
      <c r="S19" s="1251">
        <f t="shared" si="5"/>
        <v>66946.100000000006</v>
      </c>
    </row>
    <row r="20" spans="1:19">
      <c r="A20" s="2262"/>
      <c r="B20" s="50" t="s">
        <v>1960</v>
      </c>
      <c r="C20" s="2944" t="s">
        <v>3094</v>
      </c>
      <c r="D20" s="48">
        <f t="shared" ref="D20:D26" si="6">ROUND($D$3*E20/$E$3,2)</f>
        <v>6838.29</v>
      </c>
      <c r="E20" s="56">
        <f t="shared" si="1"/>
        <v>29858.400000000001</v>
      </c>
      <c r="F20" s="57"/>
      <c r="G20" s="58">
        <f>'数据-基础表'!K16</f>
        <v>29858.400000000001</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6838.29</v>
      </c>
      <c r="S20" s="1251">
        <f t="shared" si="5"/>
        <v>29858.400000000001</v>
      </c>
    </row>
    <row r="21" spans="1:19">
      <c r="A21" s="2262"/>
      <c r="B21" s="50" t="s">
        <v>1960</v>
      </c>
      <c r="C21" s="2944" t="s">
        <v>3095</v>
      </c>
      <c r="D21" s="48">
        <f t="shared" si="6"/>
        <v>2493.6799999999998</v>
      </c>
      <c r="E21" s="56">
        <f t="shared" si="1"/>
        <v>10888.3</v>
      </c>
      <c r="F21" s="57"/>
      <c r="G21" s="58">
        <f>'数据-基础表'!M17</f>
        <v>10888.3</v>
      </c>
      <c r="H21" s="723">
        <f t="shared" si="7"/>
        <v>0</v>
      </c>
      <c r="I21" s="51">
        <f t="shared" si="2"/>
        <v>0</v>
      </c>
      <c r="J21" s="1395"/>
      <c r="K21" s="1394">
        <f t="shared" si="3"/>
        <v>0</v>
      </c>
      <c r="L21" s="1250">
        <f t="shared" si="4"/>
        <v>0</v>
      </c>
      <c r="M21" s="1406">
        <f t="shared" si="8"/>
        <v>0</v>
      </c>
      <c r="N21" s="2260"/>
      <c r="O21" s="2261"/>
      <c r="P21" s="1406">
        <f t="shared" si="9"/>
        <v>0</v>
      </c>
      <c r="R21" s="1250">
        <f t="shared" si="5"/>
        <v>2493.6799999999998</v>
      </c>
      <c r="S21" s="1251">
        <f t="shared" si="5"/>
        <v>10888.3</v>
      </c>
    </row>
    <row r="22" spans="1:19">
      <c r="A22" s="2262"/>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1961</v>
      </c>
      <c r="D27" s="1396">
        <f>SUM(D19:D26)</f>
        <v>24664.240000000002</v>
      </c>
      <c r="E27" s="1397">
        <f>IF(SUM(E19:E26)='数据-基础表'!BA5,SUM(E19:E26),IF(F27="地上面积有误","面积有误","地下面积有误"))</f>
        <v>107692.8</v>
      </c>
      <c r="F27" s="1396">
        <f>IF(SUM(F19:F26)=E8,SUM(F19:F26),"地上面积有误")</f>
        <v>66946.100000000006</v>
      </c>
      <c r="G27" s="1398">
        <f>SUM(G19:G26)</f>
        <v>40746.699999999997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24664.240000000002</v>
      </c>
      <c r="S27" s="1250">
        <f>IF(SUM(S19:S26)=$E$3,SUM(S19:S26),SUM(S19:S26)&amp;"误差"&amp;ROUND(SUM(S19:S26)-E3,2))</f>
        <v>107692.8</v>
      </c>
    </row>
    <row r="28" spans="1:19">
      <c r="A28" s="2262"/>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1962</v>
      </c>
      <c r="C29" s="2266"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1965</v>
      </c>
      <c r="D31" s="729">
        <f>D27+D30</f>
        <v>24664.240000000002</v>
      </c>
      <c r="E31" s="729">
        <f>E27+E30</f>
        <v>107692.8</v>
      </c>
      <c r="F31" s="730">
        <f>F27+F30</f>
        <v>66946.100000000006</v>
      </c>
      <c r="G31" s="731">
        <f>G27+G30</f>
        <v>40746.699999999997</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1967</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1968</v>
      </c>
      <c r="B2" s="1269">
        <f>项目基本情况!D3</f>
        <v>43341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1969</v>
      </c>
      <c r="B4" s="2280"/>
      <c r="C4" s="2281"/>
      <c r="D4" s="2282"/>
      <c r="E4" s="2281" t="s">
        <v>1970</v>
      </c>
      <c r="F4" s="2281"/>
      <c r="G4" s="2281"/>
      <c r="H4" s="2281"/>
      <c r="I4" s="2281"/>
      <c r="J4" s="2283"/>
      <c r="K4" s="2284"/>
      <c r="L4" s="2285"/>
      <c r="M4" s="2281"/>
      <c r="N4" s="2281" t="s">
        <v>1971</v>
      </c>
      <c r="O4" s="2281"/>
      <c r="P4" s="2281"/>
      <c r="Q4" s="2281"/>
      <c r="R4" s="2281"/>
      <c r="S4" s="2283"/>
      <c r="T4" s="2286" t="str">
        <f>'数据-汇总表'!I17</f>
        <v>按面积比例</v>
      </c>
      <c r="U4" s="2280" t="s">
        <v>1972</v>
      </c>
      <c r="V4" s="2281"/>
      <c r="W4" s="2281"/>
      <c r="X4" s="2281"/>
      <c r="Y4" s="2283"/>
      <c r="Z4" s="2244" t="s">
        <v>1973</v>
      </c>
      <c r="AA4" s="2244"/>
      <c r="AB4" s="2244"/>
      <c r="AC4" s="2244"/>
      <c r="AD4" s="2244"/>
      <c r="AE4" s="2242" t="s">
        <v>1974</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1975</v>
      </c>
      <c r="B5" s="2289" t="s">
        <v>1976</v>
      </c>
      <c r="C5" s="2290" t="s">
        <v>1977</v>
      </c>
      <c r="D5" s="2291" t="s">
        <v>1978</v>
      </c>
      <c r="E5" s="1271" t="s">
        <v>1979</v>
      </c>
      <c r="F5" s="2292" t="s">
        <v>1980</v>
      </c>
      <c r="G5" s="1271" t="s">
        <v>1981</v>
      </c>
      <c r="H5" s="1271" t="s">
        <v>1982</v>
      </c>
      <c r="I5" s="1271" t="s">
        <v>1983</v>
      </c>
      <c r="J5" s="2293" t="s">
        <v>1984</v>
      </c>
      <c r="K5" s="2294" t="s">
        <v>1985</v>
      </c>
      <c r="L5" s="2295" t="s">
        <v>1986</v>
      </c>
      <c r="M5" s="2296" t="s">
        <v>1987</v>
      </c>
      <c r="N5" s="2297" t="s">
        <v>3198</v>
      </c>
      <c r="O5" s="2295" t="s">
        <v>1988</v>
      </c>
      <c r="P5" s="2298" t="s">
        <v>1989</v>
      </c>
      <c r="Q5" s="69" t="s">
        <v>1990</v>
      </c>
      <c r="R5" s="2299" t="s">
        <v>1991</v>
      </c>
      <c r="S5" s="2300" t="s">
        <v>1992</v>
      </c>
      <c r="T5" s="2301" t="s">
        <v>1993</v>
      </c>
      <c r="U5" s="1270" t="s">
        <v>1994</v>
      </c>
      <c r="V5" s="1271" t="s">
        <v>1995</v>
      </c>
      <c r="W5" s="1271" t="s">
        <v>1996</v>
      </c>
      <c r="X5" s="71"/>
      <c r="Y5" s="70" t="s">
        <v>1997</v>
      </c>
      <c r="Z5" s="2302" t="s">
        <v>1994</v>
      </c>
      <c r="AA5" s="1271" t="s">
        <v>1995</v>
      </c>
      <c r="AB5" s="1271" t="s">
        <v>1996</v>
      </c>
      <c r="AC5" s="71"/>
      <c r="AD5" s="71" t="s">
        <v>1997</v>
      </c>
      <c r="AE5" s="1270" t="s">
        <v>1998</v>
      </c>
      <c r="AF5" s="1271" t="s">
        <v>1999</v>
      </c>
      <c r="AG5" s="70" t="s">
        <v>2000</v>
      </c>
      <c r="AH5" s="1270" t="s">
        <v>2001</v>
      </c>
      <c r="AI5" s="2302" t="s">
        <v>2002</v>
      </c>
      <c r="AJ5" s="2302" t="s">
        <v>2003</v>
      </c>
      <c r="AK5" s="1271" t="s">
        <v>2004</v>
      </c>
      <c r="AL5" s="1271" t="s">
        <v>2005</v>
      </c>
      <c r="AM5" s="70" t="s">
        <v>2006</v>
      </c>
      <c r="AN5" s="2303" t="s">
        <v>2007</v>
      </c>
      <c r="AO5" s="2074" t="s">
        <v>2008</v>
      </c>
      <c r="AP5" s="1252" t="s">
        <v>2009</v>
      </c>
      <c r="AQ5" s="2304" t="s">
        <v>2010</v>
      </c>
      <c r="AR5" s="2304"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5" t="str">
        <f>'数据-汇总表'!C19</f>
        <v>两限房</v>
      </c>
      <c r="B6" s="2306" t="str">
        <f>IF(A6=0,"","经营性")</f>
        <v>经营性</v>
      </c>
      <c r="C6" s="2307" t="s">
        <v>3058</v>
      </c>
      <c r="D6" s="1054">
        <f>SUMIF(项目基本情况!D$12:I$12,C6,项目基本情况!D$14:I$14)</f>
        <v>70</v>
      </c>
      <c r="E6" s="1051">
        <f>IF(B6="","",SUMIF(项目基本情况!D$12:I$12,C6,项目基本情况!D$13:I$13))</f>
        <v>63198</v>
      </c>
      <c r="F6" s="72">
        <f>SUMIF(项目基本情况!D$12:I$12,C6,项目基本情况!D$15:I$15)</f>
        <v>54.4</v>
      </c>
      <c r="G6" s="73">
        <f>IF(ISERROR(ROUND(POWER(1+H6,D6-F6)*(POWER(1+H6,F6)-1)/(POWER(1+H6,D6)-1),3)),0,ROUND(POWER(1+H6,D6-F6)*(POWER(1+H6,F6)-1)/(POWER(1+H6,D6)-1),3))</f>
        <v>0.94199999999999995</v>
      </c>
      <c r="H6" s="802">
        <v>0.04</v>
      </c>
      <c r="I6" s="802">
        <v>4.4999999999999998E-2</v>
      </c>
      <c r="J6" s="74">
        <v>8.5000000000000006E-2</v>
      </c>
      <c r="K6" s="1254">
        <f>SUMIF('数据-汇总表'!C$19:C$33,A6,'数据-汇总表'!E$19:E$33)</f>
        <v>66946.100000000006</v>
      </c>
      <c r="L6" s="803">
        <v>2800</v>
      </c>
      <c r="M6" s="75">
        <f t="shared" ref="M6:M14" si="0">ROUND(K6*L6/10000,0)</f>
        <v>18745</v>
      </c>
      <c r="N6" s="801">
        <v>1</v>
      </c>
      <c r="O6" s="75" t="str">
        <f>IF($N$5="成新度","——",ROUND(M6*N6,0))</f>
        <v>——</v>
      </c>
      <c r="P6" s="76" t="str">
        <f>IF($N$5="成新度","——",M6-O6)</f>
        <v>——</v>
      </c>
      <c r="Q6" s="804">
        <v>0.03</v>
      </c>
      <c r="R6" s="77">
        <f ca="1">SUMIF('数据-汇总表'!C$19:C$33,A6,'数据-汇总表'!R$19:R$27)</f>
        <v>15332.27</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8"/>
      <c r="AO6" s="55" t="e">
        <f ca="1">SUMIF(INDIRECT("'"&amp;AN6&amp;"'"&amp;"!A:A"),"总价",INDIRECT("'"&amp;AN6&amp;"'"&amp;"!B:B"))</f>
        <v>#REF!</v>
      </c>
      <c r="AP6" s="2309">
        <f>IF(C6="住宅",K6*L6,0)</f>
        <v>187449080.00000003</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地下车库</v>
      </c>
      <c r="B7" s="2306" t="str">
        <f t="shared" ref="B7:B13" si="1">IF(A7=0,"","经营性")</f>
        <v>经营性</v>
      </c>
      <c r="C7" s="2307" t="s">
        <v>3089</v>
      </c>
      <c r="D7" s="1054">
        <f>SUMIF(项目基本情况!D$12:I$12,C7,项目基本情况!D$14:I$14)</f>
        <v>50</v>
      </c>
      <c r="E7" s="1051">
        <f>IF(B7="","",SUMIF(项目基本情况!D$12:I$12,C7,项目基本情况!D$13:I$13))</f>
        <v>55893</v>
      </c>
      <c r="F7" s="72">
        <f>SUMIF(项目基本情况!D$12:I$12,C7,项目基本情况!D$15:I$15)</f>
        <v>34.380000000000003</v>
      </c>
      <c r="G7" s="73">
        <f t="shared" ref="G7:G11" si="2">IF(ISERROR(ROUND(POWER(1+H7,D7-F7)*(POWER(1+H7,F7)-1)/(POWER(1+H7,D7)-1),3)),0,ROUND(POWER(1+H7,D7-F7)*(POWER(1+H7,F7)-1)/(POWER(1+H7,D7)-1),3))</f>
        <v>0.877</v>
      </c>
      <c r="H7" s="802">
        <v>4.4999999999999998E-2</v>
      </c>
      <c r="I7" s="802">
        <v>0.05</v>
      </c>
      <c r="J7" s="74">
        <v>8.5000000000000006E-2</v>
      </c>
      <c r="K7" s="1254">
        <f>SUMIF('数据-汇总表'!C$19:C$33,A7,'数据-汇总表'!E$19:E$33)</f>
        <v>29858.400000000001</v>
      </c>
      <c r="L7" s="803">
        <v>2200</v>
      </c>
      <c r="M7" s="75">
        <f t="shared" si="0"/>
        <v>6569</v>
      </c>
      <c r="N7" s="801">
        <f>N6</f>
        <v>1</v>
      </c>
      <c r="O7" s="75" t="str">
        <f t="shared" ref="O7:O14" si="3">IF($N$5="成新度","——",ROUND(M7*N7,0))</f>
        <v>——</v>
      </c>
      <c r="P7" s="76" t="str">
        <f t="shared" ref="P7:P14" si="4">IF($N$5="成新度","——",M7-O7)</f>
        <v>——</v>
      </c>
      <c r="Q7" s="804">
        <v>0.03</v>
      </c>
      <c r="R7" s="77">
        <f ca="1">SUMIF('数据-汇总表'!C$19:C$33,A7,'数据-汇总表'!R$19:R$27)</f>
        <v>6838.29</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地下仓储</v>
      </c>
      <c r="B8" s="2306" t="str">
        <f t="shared" si="1"/>
        <v>经营性</v>
      </c>
      <c r="C8" s="2307" t="s">
        <v>3090</v>
      </c>
      <c r="D8" s="1054">
        <f>SUMIF(项目基本情况!D$12:I$12,C8,项目基本情况!D$14:I$14)</f>
        <v>50</v>
      </c>
      <c r="E8" s="1051">
        <f>IF(B8="","",SUMIF(项目基本情况!D$12:I$12,C8,项目基本情况!D$13:I$13))</f>
        <v>55893</v>
      </c>
      <c r="F8" s="72">
        <f>SUMIF(项目基本情况!D$12:I$12,C8,项目基本情况!D$15:I$15)</f>
        <v>34.380000000000003</v>
      </c>
      <c r="G8" s="73">
        <f t="shared" si="2"/>
        <v>0.877</v>
      </c>
      <c r="H8" s="802">
        <v>4.4999999999999998E-2</v>
      </c>
      <c r="I8" s="802">
        <v>0.05</v>
      </c>
      <c r="J8" s="74">
        <v>8.5000000000000006E-2</v>
      </c>
      <c r="K8" s="1254">
        <f>SUMIF('数据-汇总表'!C$19:C$33,A8,'数据-汇总表'!E$19:E$33)</f>
        <v>10888.3</v>
      </c>
      <c r="L8" s="803">
        <v>2200</v>
      </c>
      <c r="M8" s="75">
        <f>ROUND(K8*L8/10000,0)</f>
        <v>2395</v>
      </c>
      <c r="N8" s="801">
        <f>N6</f>
        <v>1</v>
      </c>
      <c r="O8" s="75" t="str">
        <f t="shared" si="3"/>
        <v>——</v>
      </c>
      <c r="P8" s="76" t="str">
        <f t="shared" si="4"/>
        <v>——</v>
      </c>
      <c r="Q8" s="804">
        <v>0.03</v>
      </c>
      <c r="R8" s="77">
        <f ca="1">SUMIF('数据-汇总表'!C$19:C$33,A8,'数据-汇总表'!R$19:R$27)</f>
        <v>2493.6799999999998</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2012</v>
      </c>
      <c r="B14" s="2306" t="s">
        <v>2013</v>
      </c>
      <c r="C14" s="2311"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2014</v>
      </c>
      <c r="B15" s="2306" t="s">
        <v>2013</v>
      </c>
      <c r="C15" s="2311"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2016</v>
      </c>
      <c r="B16" s="97"/>
      <c r="C16" s="1008"/>
      <c r="D16" s="2313"/>
      <c r="E16" s="97"/>
      <c r="F16" s="97"/>
      <c r="G16" s="98">
        <f>ROUND(SUMPRODUCT(G6:G13,K6:K13)/SUMPRODUCT((G6:G13&gt;0)*(K6:K13)),3)</f>
        <v>0.91700000000000004</v>
      </c>
      <c r="H16" s="99">
        <f>ROUND(SUMPRODUCT(H6:H13,K6:K13)/SUMPRODUCT((H6:H13&gt;0)*(K6:K13)),3)</f>
        <v>4.2000000000000003E-2</v>
      </c>
      <c r="I16" s="100"/>
      <c r="J16" s="100"/>
      <c r="K16" s="101">
        <f>SUM(K6:K15)</f>
        <v>107692.8</v>
      </c>
      <c r="L16" s="102">
        <f>ROUND(M16*10000/SUM(K6:K14),0)</f>
        <v>2573</v>
      </c>
      <c r="M16" s="102">
        <f>SUM(M6:M14)</f>
        <v>27709</v>
      </c>
      <c r="N16" s="103">
        <f>ROUND(SUMPRODUCT(M6:M14,N6:N14)/M16,3)</f>
        <v>1</v>
      </c>
      <c r="O16" s="102">
        <f>SUM(O6:O14)</f>
        <v>0</v>
      </c>
      <c r="P16" s="102">
        <f>SUM(P6:P14)</f>
        <v>0</v>
      </c>
      <c r="Q16" s="104">
        <f>ROUND(SUMPRODUCT(Q6:Q13,K6:K13)/SUMPRODUCT((Q6:Q13&gt;0)*(K6:K13)),2)</f>
        <v>0.03</v>
      </c>
      <c r="R16" s="1258">
        <f ca="1">SUM(R6:R13)</f>
        <v>24664.240000000002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2018</v>
      </c>
      <c r="B19" s="112">
        <v>0</v>
      </c>
      <c r="C19" s="2276" t="s">
        <v>2019</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2020</v>
      </c>
      <c r="B20" s="113">
        <v>1.5</v>
      </c>
      <c r="C20" s="2276" t="s">
        <v>2021</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2022</v>
      </c>
      <c r="B21" s="113">
        <f>B20</f>
        <v>1.5</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2023</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2024</v>
      </c>
      <c r="B23" s="114">
        <f>B19+B21</f>
        <v>1.5</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2025</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2026</v>
      </c>
      <c r="B26" s="2319" t="s">
        <v>2027</v>
      </c>
      <c r="C26" s="2320" t="s">
        <v>2028</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2029</v>
      </c>
      <c r="B27" s="116">
        <v>160</v>
      </c>
      <c r="C27" s="1767" t="s">
        <v>2030</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2031</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2032</v>
      </c>
      <c r="B29" s="121"/>
      <c r="C29" s="1767" t="s">
        <v>2033</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2034</v>
      </c>
      <c r="B30" s="724">
        <v>150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2035</v>
      </c>
      <c r="B31" s="120">
        <f>B30-B32</f>
        <v>150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2036</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2037</v>
      </c>
      <c r="B33" s="726">
        <v>0.03</v>
      </c>
      <c r="C33" s="1766" t="s">
        <v>2038</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2039</v>
      </c>
      <c r="B34" s="122">
        <v>0.03</v>
      </c>
      <c r="C34" s="1766" t="s">
        <v>2040</v>
      </c>
      <c r="D34" s="2277" t="s">
        <v>2041</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2042</v>
      </c>
      <c r="B35" s="119">
        <f>B30</f>
        <v>150</v>
      </c>
      <c r="C35" s="1766" t="s">
        <v>2043</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2044</v>
      </c>
      <c r="B36" s="123">
        <v>1.4999999999999999E-2</v>
      </c>
      <c r="C36" s="1766" t="s">
        <v>2045</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2046</v>
      </c>
      <c r="B37" s="124">
        <v>0.01</v>
      </c>
      <c r="C37" s="1766" t="s">
        <v>2047</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2048</v>
      </c>
      <c r="B38" s="122">
        <v>0.01</v>
      </c>
      <c r="C38" s="1766" t="s">
        <v>2047</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2049</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2050</v>
      </c>
      <c r="B40" s="1303">
        <f ca="1">存贷款利率!G1</f>
        <v>4.7500000000000001E-2</v>
      </c>
      <c r="C40" s="1766" t="s">
        <v>2051</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2052</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2053</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2054</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2055</v>
      </c>
      <c r="B44" s="128">
        <v>0.05</v>
      </c>
      <c r="C44" s="1766" t="s">
        <v>2056</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2057</v>
      </c>
      <c r="B45" s="126">
        <v>0.03</v>
      </c>
      <c r="C45" s="1767" t="s">
        <v>2058</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2059</v>
      </c>
      <c r="B46" s="126">
        <v>0.02</v>
      </c>
      <c r="C46" s="1767" t="s">
        <v>2060</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2061</v>
      </c>
      <c r="B47" s="129"/>
      <c r="C47" s="1767" t="s">
        <v>2062</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2063</v>
      </c>
      <c r="B48" s="130">
        <v>0.03</v>
      </c>
      <c r="C48" s="1774" t="s">
        <v>2064</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2065</v>
      </c>
      <c r="B49" s="126">
        <v>5.0000000000000001E-4</v>
      </c>
      <c r="C49" s="1774" t="s">
        <v>2066</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2067</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2068</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2069</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2070</v>
      </c>
      <c r="B53" s="2335" t="s">
        <v>56</v>
      </c>
      <c r="C53" s="1430" t="s">
        <v>2071</v>
      </c>
      <c r="D53" s="2336" t="s">
        <v>2072</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2073</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2074</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2075</v>
      </c>
      <c r="B56" s="84">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2076</v>
      </c>
      <c r="B57" s="84">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2077</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2078</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2079</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2080</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2081</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2082</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0" t="s">
        <v>2083</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2084</v>
      </c>
      <c r="D2" s="2365"/>
      <c r="E2" s="2366"/>
      <c r="F2" s="2285"/>
      <c r="G2" s="2364" t="s">
        <v>2085</v>
      </c>
      <c r="H2" s="2367"/>
      <c r="I2" s="2367"/>
      <c r="J2" s="2367"/>
      <c r="K2" s="2367"/>
      <c r="L2" s="2367"/>
      <c r="M2" s="2367"/>
      <c r="N2" s="2367"/>
      <c r="O2" s="2367"/>
      <c r="P2" s="2367"/>
      <c r="Q2" s="2367"/>
      <c r="R2" s="2367"/>
    </row>
    <row r="3" spans="1:29" ht="81">
      <c r="A3" s="415" t="s">
        <v>2086</v>
      </c>
      <c r="B3" s="1271" t="s">
        <v>2087</v>
      </c>
      <c r="C3" s="2947" t="s">
        <v>3156</v>
      </c>
      <c r="D3" s="2369"/>
      <c r="E3" s="431" t="s">
        <v>2086</v>
      </c>
      <c r="F3" s="2370" t="s">
        <v>2088</v>
      </c>
      <c r="G3" s="2371" t="s">
        <v>2089</v>
      </c>
      <c r="H3" s="2367"/>
      <c r="I3" s="2367"/>
      <c r="J3" s="2367"/>
      <c r="K3" s="2367"/>
      <c r="L3" s="2367"/>
      <c r="M3" s="2367"/>
      <c r="N3" s="2367"/>
      <c r="O3" s="2367"/>
      <c r="P3" s="2367"/>
      <c r="Q3" s="2367"/>
      <c r="R3" s="2367"/>
    </row>
    <row r="4" spans="1:29" ht="40.5">
      <c r="A4" s="431"/>
      <c r="B4" s="1798" t="s">
        <v>2090</v>
      </c>
      <c r="C4" s="2372"/>
      <c r="D4" s="2369"/>
      <c r="E4" s="2373"/>
      <c r="F4" s="42" t="s">
        <v>2091</v>
      </c>
      <c r="G4" s="2374" t="s">
        <v>2092</v>
      </c>
      <c r="H4" s="2367"/>
      <c r="I4" s="2367"/>
      <c r="J4" s="2367"/>
      <c r="K4" s="2367"/>
      <c r="L4" s="2367"/>
      <c r="M4" s="2367"/>
      <c r="N4" s="2367"/>
      <c r="O4" s="2367"/>
      <c r="P4" s="2367"/>
      <c r="Q4" s="2367"/>
      <c r="R4" s="2367"/>
    </row>
    <row r="5" spans="1:29" ht="27">
      <c r="A5" s="431"/>
      <c r="B5" s="1798" t="s">
        <v>2093</v>
      </c>
      <c r="C5" s="2372"/>
      <c r="D5" s="2369"/>
      <c r="E5" s="2373"/>
      <c r="F5" s="1798" t="s">
        <v>2094</v>
      </c>
      <c r="G5" s="2374" t="s">
        <v>2095</v>
      </c>
      <c r="H5" s="2367"/>
      <c r="I5" s="2367"/>
      <c r="J5" s="2367"/>
      <c r="K5" s="2367"/>
      <c r="L5" s="2367"/>
      <c r="M5" s="2367"/>
      <c r="N5" s="2367"/>
      <c r="O5" s="2367"/>
      <c r="P5" s="2367"/>
      <c r="Q5" s="2367"/>
      <c r="R5" s="2367"/>
    </row>
    <row r="6" spans="1:29" ht="94.5">
      <c r="A6" s="431"/>
      <c r="B6" s="1798" t="s">
        <v>2096</v>
      </c>
      <c r="C6" s="2948" t="s">
        <v>3157</v>
      </c>
      <c r="D6" s="2369"/>
      <c r="E6" s="2373"/>
      <c r="F6" s="1798" t="s">
        <v>2097</v>
      </c>
      <c r="G6" s="2374" t="s">
        <v>2098</v>
      </c>
      <c r="H6" s="2367"/>
      <c r="I6" s="2367"/>
      <c r="J6" s="2367"/>
      <c r="K6" s="2367"/>
      <c r="L6" s="2367"/>
      <c r="M6" s="2367"/>
      <c r="N6" s="2367"/>
      <c r="O6" s="2367"/>
      <c r="P6" s="2367"/>
      <c r="Q6" s="2367"/>
      <c r="R6" s="2367"/>
    </row>
    <row r="7" spans="1:29" ht="41.25" thickBot="1">
      <c r="A7" s="431"/>
      <c r="B7" s="1798" t="s">
        <v>2094</v>
      </c>
      <c r="C7" s="2948" t="s">
        <v>3158</v>
      </c>
      <c r="D7" s="2375"/>
      <c r="E7" s="2376"/>
      <c r="F7" s="2377" t="s">
        <v>2099</v>
      </c>
      <c r="G7" s="2378" t="s">
        <v>2100</v>
      </c>
      <c r="H7" s="2367"/>
      <c r="I7" s="2367"/>
      <c r="J7" s="2367"/>
      <c r="K7" s="2367"/>
      <c r="L7" s="2367"/>
      <c r="M7" s="2367"/>
      <c r="N7" s="2367"/>
      <c r="O7" s="2367"/>
      <c r="P7" s="2367"/>
      <c r="Q7" s="2367"/>
      <c r="R7" s="2367"/>
    </row>
    <row r="8" spans="1:29" ht="15">
      <c r="A8" s="431"/>
      <c r="B8" s="1798" t="s">
        <v>2097</v>
      </c>
      <c r="C8" s="2948" t="s">
        <v>3160</v>
      </c>
      <c r="D8" s="2375"/>
      <c r="E8" s="2375"/>
      <c r="F8" s="1136"/>
      <c r="G8" s="1136"/>
      <c r="H8" s="2367"/>
      <c r="I8" s="2367"/>
      <c r="J8" s="2367"/>
      <c r="K8" s="2367"/>
      <c r="L8" s="2367"/>
      <c r="M8" s="2367"/>
      <c r="N8" s="2367"/>
      <c r="O8" s="2367"/>
      <c r="P8" s="2367"/>
      <c r="Q8" s="2367"/>
      <c r="R8" s="2367"/>
    </row>
    <row r="9" spans="1:29" ht="54">
      <c r="A9" s="431"/>
      <c r="B9" s="1798" t="s">
        <v>2101</v>
      </c>
      <c r="C9" s="2949" t="s">
        <v>3161</v>
      </c>
      <c r="D9" s="2369"/>
      <c r="E9" s="2375"/>
      <c r="F9" s="1136"/>
      <c r="G9" s="1136"/>
      <c r="H9" s="2367"/>
      <c r="I9" s="2367"/>
      <c r="J9" s="2367"/>
      <c r="K9" s="2367"/>
      <c r="L9" s="2367"/>
      <c r="M9" s="2367"/>
      <c r="N9" s="2367"/>
      <c r="O9" s="2367"/>
      <c r="P9" s="2367"/>
      <c r="Q9" s="2367"/>
      <c r="R9" s="2367"/>
    </row>
    <row r="10" spans="1:29" s="117" customFormat="1" ht="15.75" thickBot="1">
      <c r="A10" s="2379"/>
      <c r="B10" s="2380" t="s">
        <v>2102</v>
      </c>
      <c r="C10" s="2381"/>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4" t="s">
        <v>2105</v>
      </c>
    </row>
    <row r="15" spans="1:29" ht="85.5">
      <c r="A15" s="68" t="s">
        <v>2106</v>
      </c>
      <c r="B15" s="1270" t="s">
        <v>2087</v>
      </c>
      <c r="C15" s="2401" t="str">
        <f>C3</f>
        <v>估价对象周边居住用地比例较高、居住小区规模较大、社区发展完善程度较好，有月季园、荔景园等多个住宅项目，综合评价居住社区成熟度较好</v>
      </c>
      <c r="D15" s="2369"/>
      <c r="E15" s="2402" t="s">
        <v>2107</v>
      </c>
      <c r="F15" s="1270" t="s">
        <v>2108</v>
      </c>
      <c r="G15" s="135" t="str">
        <f>G3</f>
        <v>估价对象位于XX开发区，园区建设成熟度XX，产业集聚程度XX</v>
      </c>
    </row>
    <row r="16" spans="1:29" ht="42.75">
      <c r="A16" s="645"/>
      <c r="B16" s="2403" t="s">
        <v>2090</v>
      </c>
      <c r="C16" s="2404">
        <f>C4</f>
        <v>0</v>
      </c>
      <c r="D16" s="2369"/>
      <c r="E16" s="2405"/>
      <c r="F16" s="2406" t="s">
        <v>2091</v>
      </c>
      <c r="G16" s="136" t="str">
        <f>G4</f>
        <v>估价对象周边道路状况、公共交通通达情况、停车便捷程度，综合评价交通便捷度较好</v>
      </c>
    </row>
    <row r="17" spans="1:18" ht="15">
      <c r="A17" s="645"/>
      <c r="B17" s="2403" t="s">
        <v>2093</v>
      </c>
      <c r="C17" s="2404">
        <f>C5</f>
        <v>0</v>
      </c>
      <c r="D17" s="2375"/>
      <c r="E17" s="2405"/>
      <c r="F17" s="2406" t="s">
        <v>2109</v>
      </c>
      <c r="G17" s="1572"/>
    </row>
    <row r="18" spans="1:18" ht="99.75">
      <c r="A18" s="645"/>
      <c r="B18" s="2406" t="s">
        <v>2096</v>
      </c>
      <c r="C18" s="136" t="str">
        <f>C6</f>
        <v>估价对象周边道路状况较好、公共交通通达情况较好、有322、342、442等多路公交车，距6号线北运河西站约1.5公里，停车便捷程度较好，综合评价交通便捷度较好</v>
      </c>
      <c r="D18" s="2375"/>
      <c r="E18" s="2405"/>
      <c r="F18" s="2406" t="s">
        <v>2099</v>
      </c>
      <c r="G18" s="136" t="str">
        <f>G7</f>
        <v>该园区内是否有污染型企业，绿化情况，卫生条件，整体环境状况判断</v>
      </c>
    </row>
    <row r="19" spans="1:18" ht="28.5">
      <c r="A19" s="645"/>
      <c r="B19" s="2406" t="s">
        <v>2110</v>
      </c>
      <c r="C19" s="1572"/>
      <c r="D19" s="2369"/>
      <c r="E19" s="2405"/>
      <c r="F19" s="1798" t="s">
        <v>2094</v>
      </c>
      <c r="G19" s="136" t="str">
        <f>G5</f>
        <v>估价对象所在区域公共配套设施齐备情况</v>
      </c>
    </row>
    <row r="20" spans="1:18" ht="57">
      <c r="A20" s="645"/>
      <c r="B20" s="2406" t="s">
        <v>2111</v>
      </c>
      <c r="C20" s="2404" t="str">
        <f>C9</f>
        <v>区域自然环境：减河公园、运河奥体公园、潞河中学公园；人文环境：大运河美术馆；综合评价环境状况较好</v>
      </c>
      <c r="D20" s="2375"/>
      <c r="E20" s="2405"/>
      <c r="F20" s="1798" t="s">
        <v>2112</v>
      </c>
      <c r="G20" s="136" t="str">
        <f>G6</f>
        <v>估价对象所在区域基础设施水平</v>
      </c>
    </row>
    <row r="21" spans="1:18" ht="28.5">
      <c r="A21" s="645"/>
      <c r="B21" s="1798" t="s">
        <v>2094</v>
      </c>
      <c r="C21" s="136" t="str">
        <f>C7</f>
        <v>估价对象所在区域公共配套设施齐备情况一般</v>
      </c>
      <c r="D21" s="2369"/>
      <c r="E21" s="2405"/>
      <c r="F21" s="2406" t="s">
        <v>2113</v>
      </c>
      <c r="G21" s="2407"/>
    </row>
    <row r="22" spans="1:18" ht="13.5" customHeight="1">
      <c r="A22" s="645"/>
      <c r="B22" s="1798" t="s">
        <v>2097</v>
      </c>
      <c r="C22" s="136" t="str">
        <f>C8</f>
        <v>七通</v>
      </c>
      <c r="D22" s="2369"/>
      <c r="E22" s="2405"/>
      <c r="F22" s="2406" t="s">
        <v>2102</v>
      </c>
      <c r="G22" s="1572"/>
    </row>
    <row r="23" spans="1:18" s="2367"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7"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66946.100000000006</v>
      </c>
      <c r="C1" s="1745"/>
      <c r="D1" s="1745"/>
      <c r="E1" s="1745"/>
      <c r="F1" s="1745"/>
      <c r="G1" s="1743"/>
    </row>
    <row r="2" spans="1:10" ht="16.5">
      <c r="A2" s="1746" t="s">
        <v>1353</v>
      </c>
      <c r="B2" s="1746">
        <f>SUM(C14:C23)</f>
        <v>15332.27</v>
      </c>
      <c r="C2" s="1745"/>
      <c r="D2" s="1745"/>
      <c r="E2" s="1745"/>
      <c r="F2" s="1745"/>
      <c r="G2" s="1743"/>
    </row>
    <row r="3" spans="1:10" ht="16.5">
      <c r="A3" s="1746" t="s">
        <v>1362</v>
      </c>
      <c r="B3" s="1747">
        <f>项目基本情况!D3</f>
        <v>43341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99991</v>
      </c>
      <c r="C5" s="1746">
        <f ca="1">ROUND(B5*10000/$B$1,0)</f>
        <v>14936</v>
      </c>
      <c r="D5" s="1746">
        <f ca="1">ROUND(B5*10000/$B$2,0)</f>
        <v>65216</v>
      </c>
      <c r="E5" s="1745"/>
      <c r="F5" s="1743"/>
      <c r="G5" s="1743"/>
    </row>
    <row r="6" spans="1:10" ht="16.5">
      <c r="A6" s="1746" t="s">
        <v>1356</v>
      </c>
      <c r="B6" s="1746">
        <f ca="1">SUM(G14:G23)</f>
        <v>99991</v>
      </c>
      <c r="C6" s="1746">
        <f ca="1">ROUND(B6*10000/$B$1,0)</f>
        <v>14936</v>
      </c>
      <c r="D6" s="1746">
        <f ca="1">ROUND(B6*10000/$B$2,0)</f>
        <v>65216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66946.100000000006</v>
      </c>
      <c r="C14" s="1744">
        <f>结果表!C118</f>
        <v>15332.27</v>
      </c>
      <c r="D14" s="1744">
        <f ca="1">结果表!H118</f>
        <v>99991</v>
      </c>
      <c r="E14" s="1744">
        <f ca="1">ROUND(D14*10000/B14,0)</f>
        <v>14936</v>
      </c>
      <c r="F14" s="1744">
        <f ca="1">ROUND(D14*10000/C14,0)</f>
        <v>65216</v>
      </c>
      <c r="G14" s="1744">
        <f ca="1">结果表!D122</f>
        <v>99991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3" sqref="J23"/>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2116</v>
      </c>
      <c r="B1" s="2417"/>
      <c r="C1" s="2418" t="s">
        <v>3074</v>
      </c>
      <c r="D1" s="2417"/>
      <c r="E1" s="2417"/>
      <c r="F1" s="2419" t="s">
        <v>2117</v>
      </c>
      <c r="G1" s="2071" t="s">
        <v>3236</v>
      </c>
      <c r="H1" s="2420" t="str">
        <f>IF(G1="现房","——","估价对象范围")</f>
        <v>——</v>
      </c>
      <c r="I1" s="2421"/>
    </row>
    <row r="2" spans="1:12" ht="21.75" customHeight="1" thickBot="1">
      <c r="A2" s="3134" t="str">
        <f>项目基本情况!S2</f>
        <v>北京市通州区潞河镇（武夷花园东区）限价住宅及地下车库用房房地产市场价值房地产</v>
      </c>
      <c r="B2" s="3135"/>
      <c r="C2" s="3135"/>
      <c r="D2" s="3135"/>
      <c r="E2" s="3135"/>
      <c r="F2" s="3135"/>
      <c r="G2" s="3135"/>
      <c r="H2" s="3135"/>
      <c r="I2" s="3136"/>
    </row>
    <row r="3" spans="1:12" ht="12.75">
      <c r="A3" s="3137" t="s">
        <v>2118</v>
      </c>
      <c r="B3" s="3138"/>
      <c r="C3" s="3138"/>
      <c r="D3" s="3138"/>
      <c r="E3" s="3138"/>
      <c r="F3" s="3138"/>
      <c r="G3" s="3138"/>
      <c r="H3" s="3138"/>
      <c r="I3" s="3138"/>
    </row>
    <row r="4" spans="1:12" ht="14.25">
      <c r="A4" s="2424" t="s">
        <v>2119</v>
      </c>
      <c r="B4" s="2425" t="s">
        <v>2120</v>
      </c>
      <c r="C4" s="2426" t="s">
        <v>3233</v>
      </c>
      <c r="D4" s="2426" t="s">
        <v>3234</v>
      </c>
      <c r="E4" s="3118" t="s">
        <v>2121</v>
      </c>
      <c r="F4" s="3131"/>
      <c r="G4" s="3131"/>
      <c r="H4" s="3131"/>
      <c r="I4" s="311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109" t="s">
        <v>2122</v>
      </c>
      <c r="B5" s="3035">
        <v>25</v>
      </c>
      <c r="C5" s="3139"/>
      <c r="D5" s="3127"/>
      <c r="E5" s="140" t="s">
        <v>2123</v>
      </c>
      <c r="F5" s="2428"/>
      <c r="G5" s="2428"/>
      <c r="H5" s="2428"/>
      <c r="I5" s="1834"/>
    </row>
    <row r="6" spans="1:12" ht="12.75">
      <c r="A6" s="3109"/>
      <c r="B6" s="3035"/>
      <c r="C6" s="3141"/>
      <c r="D6" s="3127"/>
      <c r="E6" s="140" t="s">
        <v>2124</v>
      </c>
      <c r="F6" s="2428"/>
      <c r="G6" s="2428"/>
      <c r="H6" s="2428"/>
      <c r="I6" s="1834"/>
    </row>
    <row r="7" spans="1:12" ht="12.75">
      <c r="A7" s="3109"/>
      <c r="B7" s="3035"/>
      <c r="C7" s="3140"/>
      <c r="D7" s="3127"/>
      <c r="E7" s="140" t="s">
        <v>2125</v>
      </c>
      <c r="F7" s="2428"/>
      <c r="G7" s="2428"/>
      <c r="H7" s="2428"/>
      <c r="I7" s="1834"/>
    </row>
    <row r="8" spans="1:12" ht="12.75">
      <c r="A8" s="3109" t="s">
        <v>2126</v>
      </c>
      <c r="B8" s="3035">
        <v>15</v>
      </c>
      <c r="C8" s="3139"/>
      <c r="D8" s="3127"/>
      <c r="E8" s="140" t="s">
        <v>2127</v>
      </c>
      <c r="F8" s="2428"/>
      <c r="G8" s="2428"/>
      <c r="H8" s="2428"/>
      <c r="I8" s="1834"/>
    </row>
    <row r="9" spans="1:12" ht="12.75">
      <c r="A9" s="3109"/>
      <c r="B9" s="3035"/>
      <c r="C9" s="3140"/>
      <c r="D9" s="3127"/>
      <c r="E9" s="140" t="s">
        <v>2128</v>
      </c>
      <c r="F9" s="2428"/>
      <c r="G9" s="2428"/>
      <c r="H9" s="2428"/>
      <c r="I9" s="1834"/>
    </row>
    <row r="10" spans="1:12" ht="12.75">
      <c r="A10" s="3109" t="s">
        <v>2129</v>
      </c>
      <c r="B10" s="3035">
        <v>15</v>
      </c>
      <c r="C10" s="3139"/>
      <c r="D10" s="3127"/>
      <c r="E10" s="140" t="s">
        <v>2130</v>
      </c>
      <c r="F10" s="2428"/>
      <c r="G10" s="2428"/>
      <c r="H10" s="2428"/>
      <c r="I10" s="1834"/>
    </row>
    <row r="11" spans="1:12" ht="12.75">
      <c r="A11" s="3109"/>
      <c r="B11" s="3035"/>
      <c r="C11" s="3140"/>
      <c r="D11" s="3127"/>
      <c r="E11" s="140" t="s">
        <v>2131</v>
      </c>
      <c r="F11" s="2428"/>
      <c r="G11" s="2428"/>
      <c r="H11" s="2428"/>
      <c r="I11" s="1834"/>
    </row>
    <row r="12" spans="1:12" ht="12.75">
      <c r="A12" s="3109" t="s">
        <v>2132</v>
      </c>
      <c r="B12" s="3035">
        <v>15</v>
      </c>
      <c r="C12" s="3139"/>
      <c r="D12" s="3127"/>
      <c r="E12" s="140" t="s">
        <v>2133</v>
      </c>
      <c r="F12" s="2428"/>
      <c r="G12" s="2428"/>
      <c r="H12" s="2428"/>
      <c r="I12" s="1834"/>
    </row>
    <row r="13" spans="1:12" ht="12.75">
      <c r="A13" s="3109"/>
      <c r="B13" s="3035"/>
      <c r="C13" s="3140"/>
      <c r="D13" s="3127"/>
      <c r="E13" s="140" t="s">
        <v>2134</v>
      </c>
      <c r="F13" s="2428"/>
      <c r="G13" s="2428"/>
      <c r="H13" s="2428"/>
      <c r="I13" s="1834"/>
    </row>
    <row r="14" spans="1:12" ht="12.75">
      <c r="A14" s="3109" t="s">
        <v>2135</v>
      </c>
      <c r="B14" s="3035">
        <v>30</v>
      </c>
      <c r="C14" s="3139">
        <v>30</v>
      </c>
      <c r="D14" s="3127">
        <f>100-C14</f>
        <v>70</v>
      </c>
      <c r="E14" s="140" t="s">
        <v>2136</v>
      </c>
      <c r="F14" s="2428"/>
      <c r="G14" s="2428"/>
      <c r="H14" s="2428"/>
      <c r="I14" s="1834"/>
    </row>
    <row r="15" spans="1:12" ht="12.75">
      <c r="A15" s="3109"/>
      <c r="B15" s="3035"/>
      <c r="C15" s="3141"/>
      <c r="D15" s="3127"/>
      <c r="E15" s="140" t="s">
        <v>2137</v>
      </c>
      <c r="F15" s="2428"/>
      <c r="G15" s="2428"/>
      <c r="H15" s="2428"/>
      <c r="I15" s="1834"/>
    </row>
    <row r="16" spans="1:12" ht="12.75">
      <c r="A16" s="3109"/>
      <c r="B16" s="3035"/>
      <c r="C16" s="3140"/>
      <c r="D16" s="3127"/>
      <c r="E16" s="140" t="s">
        <v>2138</v>
      </c>
      <c r="F16" s="2428"/>
      <c r="G16" s="2428"/>
      <c r="H16" s="2428"/>
      <c r="I16" s="1834"/>
    </row>
    <row r="17" spans="1:35" ht="15">
      <c r="A17" s="2429" t="s">
        <v>2139</v>
      </c>
      <c r="B17" s="64"/>
      <c r="C17" s="141">
        <f>SUM(C5:C16)</f>
        <v>30</v>
      </c>
      <c r="D17" s="141">
        <f>SUM(D5:D16)</f>
        <v>70</v>
      </c>
      <c r="E17" s="138"/>
      <c r="F17" s="138"/>
      <c r="G17" s="138"/>
      <c r="H17" s="138"/>
      <c r="I17" s="138"/>
      <c r="K17" s="2427"/>
      <c r="L17" s="2430" t="s">
        <v>2140</v>
      </c>
      <c r="M17" s="2430" t="s">
        <v>2141</v>
      </c>
    </row>
    <row r="18" spans="1:35" ht="15.75" thickBot="1">
      <c r="A18" s="2431" t="s">
        <v>2142</v>
      </c>
      <c r="B18" s="2432"/>
      <c r="C18" s="142">
        <f>ROUND(C17/SUM(C17:D17),2)</f>
        <v>0.3</v>
      </c>
      <c r="D18" s="142">
        <f>1-C18</f>
        <v>0.7</v>
      </c>
      <c r="E18" s="138"/>
      <c r="F18" s="138"/>
      <c r="G18" s="138"/>
      <c r="H18" s="138"/>
      <c r="I18" s="138"/>
      <c r="K18" s="2427" t="s">
        <v>2143</v>
      </c>
      <c r="L18" s="2427">
        <f>IF(C1="",'数据-汇总表'!E3,SUMIF(项目类型,C1,'数据-汇总表'!E17:E26)+SUMIF(项目类型,C1,'数据-汇总表'!I17:I26))</f>
        <v>66946.100000000006</v>
      </c>
      <c r="M18" s="2427">
        <f>IF(C1="",'数据-汇总表'!E3,SUMIF(项目类型,C1,'数据-汇总表'!E17:E26))</f>
        <v>66946.100000000006</v>
      </c>
    </row>
    <row r="19" spans="1:35" ht="15">
      <c r="A19" s="2433" t="s">
        <v>2144</v>
      </c>
      <c r="B19" s="2434" t="s">
        <v>2145</v>
      </c>
      <c r="C19" s="143">
        <f ca="1">SUMIF(INDIRECT("'"&amp;C4&amp;"'"&amp;"!A:A"),结果表!B19,INDIRECT("'"&amp;C4&amp;"'"&amp;"!B:B"))</f>
        <v>114159</v>
      </c>
      <c r="D19" s="144">
        <f ca="1">SUMIF(INDIRECT("'"&amp;D4&amp;"'"&amp;"!A:A"),结果表!B19,INDIRECT("'"&amp;D4&amp;"'"&amp;"!B:B"))</f>
        <v>93919</v>
      </c>
      <c r="E19" s="2433" t="s">
        <v>2146</v>
      </c>
      <c r="F19" s="2434" t="s">
        <v>2145</v>
      </c>
      <c r="G19" s="145">
        <f ca="1">ROUND(C19*$C$18+D19*$D$18,0)</f>
        <v>99991</v>
      </c>
      <c r="H19" s="2435" t="s">
        <v>2147</v>
      </c>
      <c r="I19" s="138"/>
      <c r="K19" s="2427" t="s">
        <v>2148</v>
      </c>
      <c r="L19" s="2427">
        <f>IF(C1="",'数据-汇总表'!D3,SUMIF(项目类型,C1,'数据-汇总表'!D17:D26)+SUMIF(项目类型,C1,'数据-汇总表'!H17:H27))</f>
        <v>15332.27</v>
      </c>
      <c r="M19" s="2427">
        <f>IF(C1="",'数据-汇总表'!D3,SUMIF(项目类型,C1,'数据-汇总表'!D17:D26))</f>
        <v>15332.27</v>
      </c>
    </row>
    <row r="20" spans="1:35" ht="15">
      <c r="A20" s="2436"/>
      <c r="B20" s="1250" t="s">
        <v>2149</v>
      </c>
      <c r="C20" s="146">
        <f ca="1">SUMIF(INDIRECT("'"&amp;C4&amp;"'"&amp;"!A:A"),结果表!B20,INDIRECT("'"&amp;C4&amp;"'"&amp;"!B:B"))</f>
        <v>17052</v>
      </c>
      <c r="D20" s="147">
        <f ca="1">SUMIF(INDIRECT("'"&amp;D4&amp;"'"&amp;"!A:A"),结果表!B20,INDIRECT("'"&amp;D4&amp;"'"&amp;"!B:B"))</f>
        <v>14029</v>
      </c>
      <c r="E20" s="2436"/>
      <c r="F20" s="1250" t="s">
        <v>2149</v>
      </c>
      <c r="G20" s="148">
        <f ca="1">ROUND(C20*$C$18+D20*$D$18,0)</f>
        <v>14936</v>
      </c>
      <c r="H20" s="983" t="s">
        <v>2150</v>
      </c>
      <c r="I20" s="138"/>
    </row>
    <row r="21" spans="1:35" ht="15" customHeight="1" thickBot="1">
      <c r="A21" s="1003"/>
      <c r="B21" s="2437" t="s">
        <v>2151</v>
      </c>
      <c r="C21" s="789">
        <f ca="1">ROUND(C19*10000/L19,0)</f>
        <v>74457</v>
      </c>
      <c r="D21" s="790">
        <f ca="1">ROUND(D19*10000/L19,0)</f>
        <v>61256</v>
      </c>
      <c r="E21" s="1003"/>
      <c r="F21" s="2437" t="s">
        <v>2151</v>
      </c>
      <c r="G21" s="149">
        <f ca="1">ROUND(G19*10000/L19,0)</f>
        <v>65216</v>
      </c>
      <c r="H21" s="2438" t="s">
        <v>2150</v>
      </c>
      <c r="I21" s="138"/>
    </row>
    <row r="22" spans="1:35" ht="15" thickBot="1">
      <c r="A22" s="2280" t="s">
        <v>2152</v>
      </c>
      <c r="B22" s="2439"/>
      <c r="C22" s="2440"/>
      <c r="D22" s="791">
        <f ca="1">IF(C19&lt;D19,D19/C19-1,C19/D19-1)</f>
        <v>0.21550484992387053</v>
      </c>
      <c r="E22" s="138"/>
      <c r="F22" s="138"/>
      <c r="G22" s="138"/>
      <c r="H22" s="138"/>
      <c r="I22" s="138"/>
    </row>
    <row r="23" spans="1:35" ht="13.5" thickBot="1">
      <c r="A23" s="2417"/>
      <c r="B23" s="2417"/>
      <c r="C23" s="2417"/>
      <c r="D23" s="2417"/>
      <c r="E23" s="138"/>
      <c r="F23" s="138"/>
      <c r="G23" s="138"/>
      <c r="H23" s="138"/>
      <c r="I23" s="138"/>
    </row>
    <row r="24" spans="1:35" ht="14.25">
      <c r="A24" s="3148" t="s">
        <v>2153</v>
      </c>
      <c r="B24" s="2434" t="s">
        <v>2145</v>
      </c>
      <c r="C24" s="145">
        <f>IF(B30=0,0,D30)</f>
        <v>0</v>
      </c>
      <c r="D24" s="2441"/>
      <c r="E24" s="138"/>
      <c r="F24" s="138"/>
      <c r="G24" s="138"/>
      <c r="H24" s="138"/>
      <c r="I24" s="138"/>
    </row>
    <row r="25" spans="1:35" ht="14.25">
      <c r="A25" s="3149"/>
      <c r="B25" s="1250"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23" t="s">
        <v>3037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99991</v>
      </c>
      <c r="D32" s="2448" t="s">
        <v>2160</v>
      </c>
      <c r="E32" s="138"/>
      <c r="F32" s="138"/>
      <c r="G32" s="138"/>
      <c r="H32" s="138"/>
      <c r="I32" s="138"/>
    </row>
    <row r="33" spans="1:15" ht="15">
      <c r="A33" s="960" t="s">
        <v>2161</v>
      </c>
      <c r="B33" s="2449"/>
      <c r="C33" s="2450"/>
      <c r="D33" s="2451"/>
      <c r="E33" s="2452" t="s">
        <v>2162</v>
      </c>
      <c r="F33" s="2453" t="str">
        <f>IF(D32="楼面单价","取值（单价）","取值（总价）")</f>
        <v>取值（总价）</v>
      </c>
      <c r="G33" s="138"/>
      <c r="H33" s="138"/>
      <c r="I33" s="138"/>
    </row>
    <row r="34" spans="1:15" ht="15">
      <c r="A34" s="2454"/>
      <c r="B34" s="2455"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2164</v>
      </c>
      <c r="F34" s="1739"/>
      <c r="G34" s="138"/>
      <c r="H34" s="138"/>
      <c r="I34" s="138"/>
    </row>
    <row r="35" spans="1:15" ht="15.75" thickBot="1">
      <c r="A35" s="2457"/>
      <c r="B35" s="2458"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2166</v>
      </c>
      <c r="F35" s="163"/>
      <c r="G35" s="138"/>
      <c r="H35" s="138"/>
      <c r="I35" s="138"/>
    </row>
    <row r="36" spans="1:15" ht="15.75" thickBot="1">
      <c r="A36" s="3128" t="s">
        <v>2167</v>
      </c>
      <c r="B36" s="2460" t="s">
        <v>2168</v>
      </c>
      <c r="C36" s="154"/>
      <c r="D36" s="2461"/>
      <c r="E36" s="2462"/>
      <c r="F36" s="2463"/>
      <c r="G36" s="138"/>
      <c r="H36" s="138"/>
      <c r="I36" s="138"/>
    </row>
    <row r="37" spans="1:15" ht="15.75" thickBot="1">
      <c r="A37" s="3129"/>
      <c r="B37" s="2266" t="s">
        <v>2169</v>
      </c>
      <c r="C37" s="156"/>
      <c r="D37" s="1395"/>
      <c r="E37" s="1395"/>
      <c r="F37" s="2463"/>
      <c r="G37" s="138"/>
      <c r="H37" s="138"/>
      <c r="I37" s="138"/>
    </row>
    <row r="38" spans="1:15" ht="15.75" thickBot="1">
      <c r="A38" s="3130"/>
      <c r="B38" s="2464" t="s">
        <v>2170</v>
      </c>
      <c r="C38" s="727"/>
      <c r="D38" s="2465" t="s">
        <v>2171</v>
      </c>
      <c r="E38" s="1395"/>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45" t="s">
        <v>2181</v>
      </c>
      <c r="B45" s="3146"/>
      <c r="C45" s="3147"/>
      <c r="D45" s="164">
        <f ca="1">ROUND(H101*F45,0)</f>
        <v>99991</v>
      </c>
      <c r="E45" s="165" t="s">
        <v>2182</v>
      </c>
      <c r="F45" s="166">
        <v>1</v>
      </c>
      <c r="G45" s="167" t="s">
        <v>2183</v>
      </c>
      <c r="H45" s="138"/>
      <c r="I45" s="138"/>
      <c r="J45" s="3064" t="s">
        <v>2184</v>
      </c>
      <c r="K45" s="3064"/>
      <c r="L45" s="3064"/>
      <c r="M45" s="3064"/>
      <c r="N45" s="3064"/>
      <c r="O45" s="3064"/>
    </row>
    <row r="46" spans="1:15" ht="14.25" customHeight="1">
      <c r="A46" s="3142" t="s">
        <v>2185</v>
      </c>
      <c r="B46" s="3143"/>
      <c r="C46" s="3143"/>
      <c r="D46" s="3143"/>
      <c r="E46" s="3143"/>
      <c r="F46" s="3143"/>
      <c r="G46" s="3144"/>
      <c r="H46" s="2479"/>
      <c r="I46" s="168"/>
      <c r="J46" s="1812">
        <v>1</v>
      </c>
      <c r="K46" s="3064" t="s">
        <v>2186</v>
      </c>
      <c r="L46" s="3064"/>
      <c r="M46" s="3065"/>
      <c r="N46" s="3065"/>
      <c r="O46" s="3065"/>
    </row>
    <row r="47" spans="1:15" ht="12" customHeight="1">
      <c r="A47" s="169" t="s">
        <v>2187</v>
      </c>
      <c r="B47" s="170"/>
      <c r="C47" s="171"/>
      <c r="D47" s="172" t="s">
        <v>2188</v>
      </c>
      <c r="E47" s="24" t="s">
        <v>2189</v>
      </c>
      <c r="F47" s="173" t="s">
        <v>2190</v>
      </c>
      <c r="G47" s="174" t="s">
        <v>2191</v>
      </c>
      <c r="H47" s="2479"/>
      <c r="I47" s="168"/>
      <c r="J47" s="1812">
        <v>2</v>
      </c>
      <c r="K47" s="3064" t="s">
        <v>2192</v>
      </c>
      <c r="L47" s="3064"/>
      <c r="M47" s="3066">
        <f>'数据-取费表'!B2</f>
        <v>43341</v>
      </c>
      <c r="N47" s="3066"/>
      <c r="O47" s="3066"/>
    </row>
    <row r="48" spans="1:15" ht="25.5">
      <c r="A48" s="3132" t="s">
        <v>2193</v>
      </c>
      <c r="B48" s="3133"/>
      <c r="C48" s="3133"/>
      <c r="D48" s="140">
        <f>IF(H48="情况1",0,IF(H48="情况2",D52,IF(H48="情况3",D53,IF(H48="情况4",D54))))</f>
        <v>0</v>
      </c>
      <c r="E48" s="1801" t="str">
        <f>IF(H48="情况4","(销售额-原购置价)×税（费）率","销售额×税（费）率")</f>
        <v>销售额×税（费）率</v>
      </c>
      <c r="F48" s="175" t="str">
        <f>IF(H48="情况1","免征",'数据-取费表'!B41)</f>
        <v>免征</v>
      </c>
      <c r="G48" s="2480" t="s">
        <v>2194</v>
      </c>
      <c r="H48" s="2481" t="s">
        <v>2195</v>
      </c>
      <c r="I48" s="2479"/>
      <c r="J48" s="1812">
        <v>3</v>
      </c>
      <c r="K48" s="3064" t="s">
        <v>2196</v>
      </c>
      <c r="L48" s="3064"/>
      <c r="M48" s="3067">
        <f ca="1">H101</f>
        <v>99991</v>
      </c>
      <c r="N48" s="3067"/>
      <c r="O48" s="3067"/>
    </row>
    <row r="49" spans="1:35" ht="25.5" customHeight="1">
      <c r="A49" s="176" t="s">
        <v>2197</v>
      </c>
      <c r="B49" s="3112" t="s">
        <v>2198</v>
      </c>
      <c r="C49" s="3112"/>
      <c r="D49" s="177">
        <v>0</v>
      </c>
      <c r="E49" s="23" t="s">
        <v>2199</v>
      </c>
      <c r="F49" s="28" t="s">
        <v>34</v>
      </c>
      <c r="G49" s="3093"/>
      <c r="H49" s="138"/>
      <c r="I49" s="2482"/>
      <c r="J49" s="1812">
        <v>4</v>
      </c>
      <c r="K49" s="3064" t="str">
        <f>IF(项目基本情况!E8="房地产抵押价值","房地产抵押价值","抵押担保权已注销时的房地产抵押价值")</f>
        <v>抵押担保权已注销时的房地产抵押价值</v>
      </c>
      <c r="L49" s="3064"/>
      <c r="M49" s="3067" t="str">
        <f>IF(项目基本情况!E8="房地产抵押价值",H107,H109)</f>
        <v>——</v>
      </c>
      <c r="N49" s="3067"/>
      <c r="O49" s="3067"/>
    </row>
    <row r="50" spans="1:35" ht="25.5" customHeight="1">
      <c r="A50" s="178"/>
      <c r="B50" s="3112" t="s">
        <v>2200</v>
      </c>
      <c r="C50" s="3112"/>
      <c r="D50" s="179"/>
      <c r="E50" s="31"/>
      <c r="F50" s="180"/>
      <c r="G50" s="3094"/>
      <c r="H50" s="138"/>
      <c r="I50" s="2482"/>
      <c r="J50" s="3064" t="s">
        <v>2201</v>
      </c>
      <c r="K50" s="3064"/>
      <c r="L50" s="3064"/>
      <c r="M50" s="3064"/>
      <c r="N50" s="3064"/>
      <c r="O50" s="3064"/>
    </row>
    <row r="51" spans="1:35" ht="12" customHeight="1">
      <c r="A51" s="181"/>
      <c r="B51" s="3112" t="s">
        <v>2202</v>
      </c>
      <c r="C51" s="3112"/>
      <c r="D51" s="182"/>
      <c r="E51" s="30"/>
      <c r="F51" s="180"/>
      <c r="G51" s="3095"/>
      <c r="H51" s="138"/>
      <c r="I51" s="2482"/>
      <c r="J51" s="2483" t="s">
        <v>2203</v>
      </c>
      <c r="K51" s="3064" t="s">
        <v>2204</v>
      </c>
      <c r="L51" s="3064"/>
      <c r="M51" s="2483" t="s">
        <v>2205</v>
      </c>
      <c r="N51" s="2483" t="s">
        <v>2206</v>
      </c>
      <c r="O51" s="2483" t="s">
        <v>2207</v>
      </c>
    </row>
    <row r="52" spans="1:35" ht="24" customHeight="1">
      <c r="A52" s="183" t="s">
        <v>2208</v>
      </c>
      <c r="B52" s="3112" t="s">
        <v>2209</v>
      </c>
      <c r="C52" s="3112"/>
      <c r="D52" s="182">
        <f ca="1">ROUND(D45*'数据-取费表'!B41/(1+'数据-取费表'!C42),0)</f>
        <v>5238</v>
      </c>
      <c r="E52" s="11" t="s">
        <v>2210</v>
      </c>
      <c r="F52" s="184">
        <f>'数据-取费表'!B41</f>
        <v>5.5000000000000007E-2</v>
      </c>
      <c r="G52" s="2484"/>
      <c r="H52" s="138"/>
      <c r="I52" s="2482"/>
      <c r="J52" s="1812">
        <v>1</v>
      </c>
      <c r="K52" s="3087" t="s">
        <v>2211</v>
      </c>
      <c r="L52" s="3087"/>
      <c r="M52" s="1754">
        <f>D48</f>
        <v>0</v>
      </c>
      <c r="N52" s="1812" t="str">
        <f>E48</f>
        <v>销售额×税（费）率</v>
      </c>
      <c r="O52" s="1755" t="str">
        <f>F48</f>
        <v>免征</v>
      </c>
    </row>
    <row r="53" spans="1:35" ht="12" customHeight="1">
      <c r="A53" s="183" t="s">
        <v>2212</v>
      </c>
      <c r="B53" s="3113" t="s">
        <v>2213</v>
      </c>
      <c r="C53" s="3114"/>
      <c r="D53" s="182">
        <f ca="1">ROUND(D45*'数据-取费表'!B41/(1+'数据-取费表'!C42),0)</f>
        <v>5238</v>
      </c>
      <c r="E53" s="11" t="s">
        <v>2210</v>
      </c>
      <c r="F53" s="184">
        <f>'数据-取费表'!B41</f>
        <v>5.5000000000000007E-2</v>
      </c>
      <c r="G53" s="2484"/>
      <c r="H53" s="138"/>
      <c r="I53" s="2482"/>
      <c r="J53" s="1812">
        <v>2</v>
      </c>
      <c r="K53" s="3087" t="s">
        <v>2214</v>
      </c>
      <c r="L53" s="3087"/>
      <c r="M53" s="1754">
        <f t="shared" ref="M53:O54" ca="1" si="0">D55</f>
        <v>50</v>
      </c>
      <c r="N53" s="1812" t="str">
        <f t="shared" si="0"/>
        <v>销售额×税（费）率</v>
      </c>
      <c r="O53" s="1755">
        <f t="shared" si="0"/>
        <v>5.0000000000000001E-4</v>
      </c>
    </row>
    <row r="54" spans="1:35" ht="12" customHeight="1">
      <c r="A54" s="183" t="s">
        <v>2215</v>
      </c>
      <c r="B54" s="3113" t="s">
        <v>2216</v>
      </c>
      <c r="C54" s="3114"/>
      <c r="D54" s="182">
        <f ca="1">C68</f>
        <v>5238</v>
      </c>
      <c r="E54" s="30" t="s">
        <v>2217</v>
      </c>
      <c r="F54" s="184">
        <f>'数据-取费表'!B41</f>
        <v>5.5000000000000007E-2</v>
      </c>
      <c r="G54" s="2484"/>
      <c r="H54" s="2485"/>
      <c r="I54" s="2482"/>
      <c r="J54" s="1812">
        <v>3</v>
      </c>
      <c r="K54" s="3087" t="s">
        <v>2218</v>
      </c>
      <c r="L54" s="3087"/>
      <c r="M54" s="1754">
        <f t="shared" ca="1" si="0"/>
        <v>56686</v>
      </c>
      <c r="N54" s="1812" t="str">
        <f t="shared" si="0"/>
        <v>增值额×税（费）率</v>
      </c>
      <c r="O54" s="1756" t="str">
        <f t="shared" si="0"/>
        <v>——</v>
      </c>
    </row>
    <row r="55" spans="1:35" ht="24" customHeight="1">
      <c r="A55" s="3151" t="s">
        <v>2219</v>
      </c>
      <c r="B55" s="3133"/>
      <c r="C55" s="3133"/>
      <c r="D55" s="185">
        <f ca="1">IF(H55="个人住宅",0,ROUND(D45*I55,0))</f>
        <v>50</v>
      </c>
      <c r="E55" s="11" t="s">
        <v>2220</v>
      </c>
      <c r="F55" s="184">
        <f>IF(H55="正常",I55,"免征")</f>
        <v>5.0000000000000001E-4</v>
      </c>
      <c r="G55" s="2484"/>
      <c r="H55" s="2481" t="s">
        <v>2221</v>
      </c>
      <c r="I55" s="186">
        <f>'数据-取费表'!B49</f>
        <v>5.0000000000000001E-4</v>
      </c>
      <c r="J55" s="1812" t="str">
        <f>IF(H59="非个人房产","",4)</f>
        <v/>
      </c>
      <c r="K55" s="3087" t="str">
        <f>IF(H59="非个人房产","——","个人所得税")</f>
        <v>——</v>
      </c>
      <c r="L55" s="3087"/>
      <c r="M55" s="1757" t="str">
        <f>D59</f>
        <v>——</v>
      </c>
      <c r="N55" s="1810" t="str">
        <f>E59</f>
        <v>——</v>
      </c>
      <c r="O55" s="1758" t="str">
        <f>F59</f>
        <v>——</v>
      </c>
    </row>
    <row r="56" spans="1:35" ht="24.75">
      <c r="A56" s="3151" t="s">
        <v>2222</v>
      </c>
      <c r="B56" s="3133"/>
      <c r="C56" s="3133"/>
      <c r="D56" s="185">
        <f ca="1">IF(H56="个人住宅",D57,D58)</f>
        <v>56686</v>
      </c>
      <c r="E56" s="11" t="s">
        <v>2223</v>
      </c>
      <c r="F56" s="184" t="str">
        <f>IF(H56="正常",F58,"免征")</f>
        <v>——</v>
      </c>
      <c r="G56" s="2486" t="s">
        <v>2224</v>
      </c>
      <c r="H56" s="2487" t="s">
        <v>2221</v>
      </c>
      <c r="I56" s="2488"/>
      <c r="J56" s="1812" t="str">
        <f>IF(项目基本情况!K6="上海银行",IF(J55="",4,J55+1),"")</f>
        <v/>
      </c>
      <c r="K56" s="3070" t="str">
        <f>IF(项目基本情况!K6="上海银行","其他处置费用","")</f>
        <v/>
      </c>
      <c r="L56" s="3071"/>
      <c r="M56" s="1754" t="str">
        <f>IF(项目基本情况!K6="上海银行",M69,"")</f>
        <v/>
      </c>
      <c r="N56" s="3073" t="str">
        <f>IF(项目基本情况!K6="上海银行","包含处置中涉及的律师、诉讼、拍卖、评估等费用","")</f>
        <v/>
      </c>
      <c r="O56" s="3074"/>
    </row>
    <row r="57" spans="1:35" ht="12.75">
      <c r="A57" s="183" t="s">
        <v>2197</v>
      </c>
      <c r="B57" s="3118" t="s">
        <v>2225</v>
      </c>
      <c r="C57" s="3119"/>
      <c r="D57" s="187">
        <v>0</v>
      </c>
      <c r="E57" s="23" t="s">
        <v>2199</v>
      </c>
      <c r="F57" s="155"/>
      <c r="G57" s="2484"/>
      <c r="H57" s="2488"/>
      <c r="I57" s="2488"/>
      <c r="J57" s="3087">
        <f>IF(AND(J55="",J56=""),4,IF(项目基本情况!K6="上海银行",结果表!J56+1,结果表!J55+1))</f>
        <v>4</v>
      </c>
      <c r="K57" s="3087" t="s">
        <v>2226</v>
      </c>
      <c r="L57" s="2489" t="s">
        <v>2227</v>
      </c>
      <c r="M57" s="1759"/>
      <c r="N57" s="1760">
        <f ca="1">SUMIF(M52:M56,"&lt;9e307")</f>
        <v>56736</v>
      </c>
      <c r="O57" s="2490"/>
      <c r="P57" s="1753" t="e">
        <f ca="1">N57/M49</f>
        <v>#VALUE!</v>
      </c>
    </row>
    <row r="58" spans="1:35" ht="24.75">
      <c r="A58" s="183" t="s">
        <v>2208</v>
      </c>
      <c r="B58" s="3118" t="s">
        <v>2228</v>
      </c>
      <c r="C58" s="3131"/>
      <c r="D58" s="185">
        <f ca="1">IF(H58="转让取得",C81,C97)</f>
        <v>56686</v>
      </c>
      <c r="E58" s="11" t="s">
        <v>2223</v>
      </c>
      <c r="F58" s="24" t="s">
        <v>34</v>
      </c>
      <c r="G58" s="2484"/>
      <c r="H58" s="2487" t="s">
        <v>2229</v>
      </c>
      <c r="I58" s="2488"/>
      <c r="J58" s="3087"/>
      <c r="K58" s="3087"/>
      <c r="L58" s="2489" t="s">
        <v>2230</v>
      </c>
      <c r="M58" s="1761"/>
      <c r="N58" s="2491" t="str">
        <f ca="1">NUMBERSTRING(INT(N57*10000),2)&amp;"元整"</f>
        <v>伍亿陆仟柒佰叁拾陆万元整</v>
      </c>
      <c r="O58" s="2492"/>
    </row>
    <row r="59" spans="1:35" ht="24.75" thickBot="1">
      <c r="A59" s="3091" t="s">
        <v>2231</v>
      </c>
      <c r="B59" s="3092"/>
      <c r="C59" s="3092"/>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89">
        <f>J57+1</f>
        <v>5</v>
      </c>
      <c r="K59" s="3087" t="s">
        <v>2233</v>
      </c>
      <c r="L59" s="1812" t="s">
        <v>2227</v>
      </c>
      <c r="M59" s="1762"/>
      <c r="N59" s="1763" t="e">
        <f ca="1">M49-N57</f>
        <v>#VALUE!</v>
      </c>
      <c r="O59" s="2494"/>
    </row>
    <row r="60" spans="1:35" ht="12" customHeight="1">
      <c r="A60" s="2495"/>
      <c r="B60" s="2417"/>
      <c r="C60" s="2417"/>
      <c r="D60" s="2417"/>
      <c r="E60" s="2166"/>
      <c r="F60" s="2488"/>
      <c r="G60" s="2488"/>
      <c r="H60" s="2496"/>
      <c r="I60" s="138"/>
      <c r="J60" s="3090"/>
      <c r="K60" s="3087"/>
      <c r="L60" s="2489" t="s">
        <v>2230</v>
      </c>
      <c r="M60" s="1761"/>
      <c r="N60" s="2491" t="e">
        <f ca="1">NUMBERSTRING(INT(N59*10000),2)&amp;"元整"</f>
        <v>#VALUE!</v>
      </c>
      <c r="O60" s="2492"/>
    </row>
    <row r="61" spans="1:35" ht="13.5" thickBot="1">
      <c r="A61" s="3150" t="s">
        <v>2234</v>
      </c>
      <c r="B61" s="3150"/>
      <c r="C61" s="3150"/>
      <c r="D61" s="3150"/>
      <c r="E61" s="3150"/>
      <c r="F61" s="2488"/>
      <c r="G61" s="2488"/>
      <c r="H61" s="2496"/>
      <c r="I61" s="138"/>
      <c r="J61" s="1812">
        <f>J59+1</f>
        <v>6</v>
      </c>
      <c r="K61" s="3087" t="s">
        <v>2235</v>
      </c>
      <c r="L61" s="3087"/>
      <c r="M61" s="1764"/>
      <c r="N61" s="1765" t="e">
        <f ca="1">ROUND(N59*10000/'数据-汇总表'!E3,0)</f>
        <v>#VALUE!</v>
      </c>
      <c r="O61" s="2497"/>
    </row>
    <row r="62" spans="1:35" ht="12.75">
      <c r="A62" s="3107" t="s">
        <v>2236</v>
      </c>
      <c r="B62" s="3108"/>
      <c r="C62" s="1804"/>
      <c r="D62" s="1804" t="s">
        <v>2237</v>
      </c>
      <c r="E62" s="192" t="s">
        <v>2238</v>
      </c>
      <c r="F62" s="2488"/>
      <c r="G62" s="2488"/>
      <c r="H62" s="2496"/>
      <c r="I62" s="138"/>
    </row>
    <row r="63" spans="1:35" ht="12.75">
      <c r="A63" s="203" t="s">
        <v>775</v>
      </c>
      <c r="B63" s="193" t="s">
        <v>2239</v>
      </c>
      <c r="C63" s="194">
        <f ca="1">ROUND((C64+C65)/(1+'数据-取费表'!C42),0)</f>
        <v>95230</v>
      </c>
      <c r="D63" s="195"/>
      <c r="E63" s="196"/>
      <c r="F63" s="2488"/>
      <c r="G63" s="2488"/>
      <c r="H63" s="2496"/>
      <c r="I63" s="138"/>
      <c r="J63" s="3072" t="s">
        <v>2240</v>
      </c>
      <c r="K63" s="2498" t="s">
        <v>2241</v>
      </c>
      <c r="L63" s="1752"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99991</v>
      </c>
      <c r="D64" s="200" t="s">
        <v>32</v>
      </c>
      <c r="E64" s="201"/>
      <c r="F64" s="2488"/>
      <c r="G64" s="2488"/>
      <c r="H64" s="2496"/>
      <c r="I64" s="138"/>
      <c r="J64" s="3072"/>
      <c r="K64" s="2498" t="s">
        <v>2243</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072"/>
      <c r="K65" s="2498" t="s">
        <v>2246</v>
      </c>
      <c r="L65" s="1752"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6" t="s">
        <v>1371</v>
      </c>
      <c r="F66" s="2488"/>
      <c r="G66" s="2488"/>
      <c r="H66" s="2496"/>
      <c r="I66" s="138"/>
      <c r="J66" s="3072"/>
      <c r="K66" s="2498" t="s">
        <v>2248</v>
      </c>
      <c r="L66" s="1752" t="e">
        <f>M49*0.5%</f>
        <v>#VALUE!</v>
      </c>
      <c r="M66" s="24" t="e">
        <f>IF(L66&gt;0.5,0.5,ROUND(L66,0))</f>
        <v>#VALUE!</v>
      </c>
      <c r="N66" s="138" t="s">
        <v>2249</v>
      </c>
      <c r="Z66" s="2422"/>
      <c r="AI66" s="2423"/>
    </row>
    <row r="67" spans="1:35" ht="14.25" customHeight="1">
      <c r="A67" s="203" t="s">
        <v>773</v>
      </c>
      <c r="B67" s="204" t="s">
        <v>2250</v>
      </c>
      <c r="C67" s="207">
        <f ca="1">C63-C66</f>
        <v>95230</v>
      </c>
      <c r="D67" s="200" t="s">
        <v>32</v>
      </c>
      <c r="E67" s="201"/>
      <c r="F67" s="2488"/>
      <c r="G67" s="2488"/>
      <c r="H67" s="2496"/>
      <c r="I67" s="138"/>
      <c r="J67" s="3072"/>
      <c r="K67" s="2498" t="s">
        <v>2251</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5238</v>
      </c>
      <c r="D68" s="211">
        <f>'数据-取费表'!B41</f>
        <v>5.5000000000000007E-2</v>
      </c>
      <c r="E68" s="212"/>
      <c r="F68" s="2488"/>
      <c r="G68" s="2488"/>
      <c r="H68" s="2496"/>
      <c r="I68" s="138"/>
      <c r="J68" s="3072"/>
      <c r="K68" s="2498" t="s">
        <v>2253</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6"/>
      <c r="G69" s="2166"/>
      <c r="H69" s="2165"/>
      <c r="I69" s="2417"/>
      <c r="J69" s="3072"/>
      <c r="K69" s="2498" t="s">
        <v>2254</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6" t="s">
        <v>2255</v>
      </c>
      <c r="B70" s="3117"/>
      <c r="C70" s="3117"/>
      <c r="D70" s="3117"/>
      <c r="E70" s="3117"/>
      <c r="F70" s="3117"/>
      <c r="G70" s="3117"/>
      <c r="H70" s="311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7" t="s">
        <v>2236</v>
      </c>
      <c r="B71" s="3108"/>
      <c r="C71" s="1804"/>
      <c r="D71" s="1804"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95230</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476</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13" t="s">
        <v>2264</v>
      </c>
      <c r="F76" s="3112"/>
      <c r="G76" s="3112"/>
      <c r="H76" s="311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476</v>
      </c>
      <c r="D78" s="226">
        <f>'数据-取费表'!B43</f>
        <v>5.000000000000001E-3</v>
      </c>
      <c r="E78" s="3104" t="s">
        <v>2269</v>
      </c>
      <c r="F78" s="3105"/>
      <c r="G78" s="3105"/>
      <c r="H78" s="310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94754</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199.06302521008402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56686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6" t="s">
        <v>2273</v>
      </c>
      <c r="B83" s="3117"/>
      <c r="C83" s="3117"/>
      <c r="D83" s="3117"/>
      <c r="E83" s="3117"/>
      <c r="F83" s="3117"/>
      <c r="G83" s="3117"/>
      <c r="H83" s="311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7" t="s">
        <v>2236</v>
      </c>
      <c r="B84" s="3108"/>
      <c r="C84" s="1804"/>
      <c r="D84" s="1804"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95230</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476</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800"/>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104" t="s">
        <v>2282</v>
      </c>
      <c r="F91" s="3105"/>
      <c r="G91" s="3105"/>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104" t="s">
        <v>2286</v>
      </c>
      <c r="F92" s="3105"/>
      <c r="G92" s="3105"/>
      <c r="H92" s="310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476</v>
      </c>
      <c r="D93" s="226">
        <f>'数据-取费表'!B43</f>
        <v>5.000000000000001E-3</v>
      </c>
      <c r="E93" s="3104" t="s">
        <v>2269</v>
      </c>
      <c r="F93" s="3105"/>
      <c r="G93" s="3105"/>
      <c r="H93" s="310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52" t="s">
        <v>2290</v>
      </c>
      <c r="F94" s="3153"/>
      <c r="G94" s="3153"/>
      <c r="H94" s="3154"/>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94754</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199.06302521008402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56686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2291</v>
      </c>
      <c r="B99" s="2417"/>
      <c r="C99" s="2417"/>
      <c r="D99" s="2417"/>
      <c r="E99" s="2166"/>
      <c r="F99" s="2166"/>
      <c r="G99" s="2166"/>
      <c r="H99" s="2165"/>
      <c r="I99" s="138"/>
    </row>
    <row r="100" spans="1:35" ht="18.75" customHeight="1">
      <c r="A100" s="3056" t="s">
        <v>2292</v>
      </c>
      <c r="B100" s="3057"/>
      <c r="C100" s="3057"/>
      <c r="D100" s="3088"/>
      <c r="E100" s="3057" t="s">
        <v>2293</v>
      </c>
      <c r="F100" s="3057"/>
      <c r="G100" s="3057"/>
      <c r="H100" s="3088"/>
      <c r="I100" s="138"/>
    </row>
    <row r="101" spans="1:35" ht="18.75" customHeight="1">
      <c r="A101" s="3096" t="s">
        <v>2294</v>
      </c>
      <c r="B101" s="3097"/>
      <c r="C101" s="736" t="str">
        <f>C4</f>
        <v>成本法</v>
      </c>
      <c r="D101" s="737" t="str">
        <f>D4</f>
        <v>比较法-住宅</v>
      </c>
      <c r="E101" s="3068" t="s">
        <v>2295</v>
      </c>
      <c r="F101" s="3069"/>
      <c r="G101" s="2519" t="s">
        <v>2296</v>
      </c>
      <c r="H101" s="1048">
        <f ca="1">H118</f>
        <v>99991</v>
      </c>
      <c r="I101" s="138"/>
    </row>
    <row r="102" spans="1:35" ht="18.75" customHeight="1">
      <c r="A102" s="3098" t="s">
        <v>2297</v>
      </c>
      <c r="B102" s="2519" t="s">
        <v>2296</v>
      </c>
      <c r="C102" s="736">
        <f ca="1">C19</f>
        <v>114159</v>
      </c>
      <c r="D102" s="737">
        <f ca="1">D19</f>
        <v>93919</v>
      </c>
      <c r="E102" s="3068"/>
      <c r="F102" s="3069"/>
      <c r="G102" s="2519" t="s">
        <v>2298</v>
      </c>
      <c r="H102" s="371">
        <f ca="1">I118</f>
        <v>14936</v>
      </c>
      <c r="I102" s="138"/>
    </row>
    <row r="103" spans="1:35" ht="42.75" customHeight="1">
      <c r="A103" s="3098"/>
      <c r="B103" s="2519" t="s">
        <v>2298</v>
      </c>
      <c r="C103" s="738">
        <f ca="1">C20</f>
        <v>17052</v>
      </c>
      <c r="D103" s="739">
        <f ca="1">D20</f>
        <v>14029</v>
      </c>
      <c r="E103" s="3062" t="s">
        <v>2299</v>
      </c>
      <c r="F103" s="3063"/>
      <c r="G103" s="2520" t="s">
        <v>2300</v>
      </c>
      <c r="H103" s="1048">
        <f>IF(D36="正常操作",H104+H105+H106,H105+H106)</f>
        <v>0</v>
      </c>
      <c r="I103" s="138"/>
    </row>
    <row r="104" spans="1:35" ht="18.75" customHeight="1">
      <c r="A104" s="3098" t="s">
        <v>2301</v>
      </c>
      <c r="B104" s="2521" t="s">
        <v>2296</v>
      </c>
      <c r="C104" s="740">
        <f ca="1">H118</f>
        <v>99991</v>
      </c>
      <c r="D104" s="741"/>
      <c r="E104" s="2266" t="s">
        <v>2302</v>
      </c>
      <c r="F104" s="2258"/>
      <c r="G104" s="2520" t="s">
        <v>2300</v>
      </c>
      <c r="H104" s="1049">
        <f>IF(D36="同一抵押权人同一抵押物续贷",C36&amp;"（未扣减，详见特别提示）",C36)</f>
        <v>0</v>
      </c>
      <c r="I104" s="138"/>
    </row>
    <row r="105" spans="1:35" ht="18.75" customHeight="1" thickBot="1">
      <c r="A105" s="3110"/>
      <c r="B105" s="2522" t="s">
        <v>2298</v>
      </c>
      <c r="C105" s="742">
        <f ca="1">I118</f>
        <v>14936</v>
      </c>
      <c r="D105" s="743"/>
      <c r="E105" s="2266" t="s">
        <v>2303</v>
      </c>
      <c r="F105" s="2258"/>
      <c r="G105" s="2520" t="s">
        <v>2300</v>
      </c>
      <c r="H105" s="1049">
        <f>C37</f>
        <v>0</v>
      </c>
      <c r="I105" s="138"/>
    </row>
    <row r="106" spans="1:35" ht="18.75" customHeight="1">
      <c r="A106" s="2417" t="s">
        <v>2304</v>
      </c>
      <c r="B106" s="2417"/>
      <c r="C106" s="2417"/>
      <c r="D106" s="2417"/>
      <c r="E106" s="2523" t="s">
        <v>2305</v>
      </c>
      <c r="F106" s="2258"/>
      <c r="G106" s="2520" t="s">
        <v>2300</v>
      </c>
      <c r="H106" s="1049">
        <f>C38</f>
        <v>0</v>
      </c>
      <c r="I106" s="138"/>
    </row>
    <row r="107" spans="1:35" ht="18.75" customHeight="1">
      <c r="A107" s="138"/>
      <c r="B107" s="138"/>
      <c r="C107" s="138"/>
      <c r="D107" s="138"/>
      <c r="E107" s="3099" t="str">
        <f>IF(项目基本情况!E8="已注销","——","3.房地产抵押价值")</f>
        <v>3.房地产抵押价值</v>
      </c>
      <c r="F107" s="3069"/>
      <c r="G107" s="2519" t="s">
        <v>2296</v>
      </c>
      <c r="H107" s="1048">
        <f ca="1">IF(E107="——","——",H101-H103)</f>
        <v>99991</v>
      </c>
      <c r="I107" s="138"/>
    </row>
    <row r="108" spans="1:35" ht="18.75" customHeight="1">
      <c r="A108" s="138"/>
      <c r="B108" s="138"/>
      <c r="C108" s="138"/>
      <c r="D108" s="138"/>
      <c r="E108" s="3099"/>
      <c r="F108" s="3069"/>
      <c r="G108" s="2519" t="s">
        <v>2298</v>
      </c>
      <c r="H108" s="371">
        <f ca="1">ROUND(H107*10000/'数据-汇总表'!E3,0)</f>
        <v>9285</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9" t="s">
        <v>2296</v>
      </c>
      <c r="H109" s="348" t="str">
        <f>IF(E109="——","——",H101-H105-H106)</f>
        <v>——</v>
      </c>
      <c r="I109" s="138"/>
    </row>
    <row r="110" spans="1:35" ht="18.75" customHeight="1">
      <c r="A110" s="138"/>
      <c r="B110" s="138"/>
      <c r="C110" s="138"/>
      <c r="D110" s="138"/>
      <c r="E110" s="3099"/>
      <c r="F110" s="3069"/>
      <c r="G110" s="2519" t="s">
        <v>2298</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9" t="s">
        <v>2296</v>
      </c>
      <c r="H111" s="1048" t="str">
        <f>IF(E111="——","——",N59)</f>
        <v>——</v>
      </c>
      <c r="I111" s="138"/>
    </row>
    <row r="112" spans="1:35" ht="18.75" customHeight="1" thickBot="1">
      <c r="A112" s="138"/>
      <c r="B112" s="138"/>
      <c r="C112" s="138"/>
      <c r="D112" s="138"/>
      <c r="E112" s="3102"/>
      <c r="F112" s="3103"/>
      <c r="G112" s="2524" t="s">
        <v>2298</v>
      </c>
      <c r="H112" s="790" t="str">
        <f>IF(E111="——","——",N61)</f>
        <v>——</v>
      </c>
      <c r="I112" s="138"/>
    </row>
    <row r="113" spans="1:11" ht="18.75" customHeight="1">
      <c r="A113" s="138"/>
      <c r="B113" s="138"/>
      <c r="C113" s="138"/>
      <c r="D113" s="138"/>
      <c r="E113" s="3111" t="s">
        <v>2304</v>
      </c>
      <c r="F113" s="3111"/>
      <c r="G113" s="3111"/>
      <c r="H113" s="3111"/>
      <c r="I113" s="138"/>
    </row>
    <row r="114" spans="1:11" ht="3.75" customHeight="1">
      <c r="A114" s="2417"/>
      <c r="B114" s="2417"/>
      <c r="C114" s="2417"/>
      <c r="D114" s="2417"/>
      <c r="E114" s="2495"/>
      <c r="F114" s="2495"/>
      <c r="G114" s="2495"/>
      <c r="H114" s="2495"/>
      <c r="I114" s="2417"/>
    </row>
    <row r="115" spans="1:11" ht="18.75" customHeight="1">
      <c r="A115" s="3124" t="s">
        <v>2306</v>
      </c>
      <c r="B115" s="3125"/>
      <c r="C115" s="3125"/>
      <c r="D115" s="3125"/>
      <c r="E115" s="3125"/>
      <c r="F115" s="3125"/>
      <c r="G115" s="3125"/>
      <c r="H115" s="3125"/>
      <c r="I115" s="3126"/>
    </row>
    <row r="116" spans="1:11" ht="27" customHeight="1">
      <c r="A116" s="3035" t="s">
        <v>2307</v>
      </c>
      <c r="B116" s="3078" t="s">
        <v>2308</v>
      </c>
      <c r="C116" s="3078" t="s">
        <v>2309</v>
      </c>
      <c r="D116" s="3084" t="s">
        <v>2310</v>
      </c>
      <c r="E116" s="3085"/>
      <c r="F116" s="3120" t="s">
        <v>2311</v>
      </c>
      <c r="G116" s="3120"/>
      <c r="H116" s="3035" t="s">
        <v>2312</v>
      </c>
      <c r="I116" s="3035"/>
    </row>
    <row r="117" spans="1:11" ht="18.75" customHeight="1">
      <c r="A117" s="3035"/>
      <c r="B117" s="3079"/>
      <c r="C117" s="3079"/>
      <c r="D117" s="1798" t="s">
        <v>2313</v>
      </c>
      <c r="E117" s="1798" t="s">
        <v>2314</v>
      </c>
      <c r="F117" s="1798" t="s">
        <v>2313</v>
      </c>
      <c r="G117" s="1798" t="s">
        <v>2315</v>
      </c>
      <c r="H117" s="1798" t="s">
        <v>2313</v>
      </c>
      <c r="I117" s="1798" t="s">
        <v>2315</v>
      </c>
    </row>
    <row r="118" spans="1:11" ht="24.75" customHeight="1">
      <c r="A118" s="2525" t="str">
        <f>项目基本情况!S2</f>
        <v>北京市通州区潞河镇（武夷花园东区）限价住宅及地下车库用房房地产市场价值房地产</v>
      </c>
      <c r="B118" s="1798">
        <f>M18</f>
        <v>66946.100000000006</v>
      </c>
      <c r="C118" s="1798">
        <f>M19</f>
        <v>15332.27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99991</v>
      </c>
      <c r="I118" s="1798">
        <f ca="1">ROUND(IF(D32="楼面单价",C32,H118*10000/B118),0)</f>
        <v>14936</v>
      </c>
    </row>
    <row r="119" spans="1:11" ht="18.75" customHeight="1">
      <c r="A119" s="3035" t="s">
        <v>2316</v>
      </c>
      <c r="B119" s="3035"/>
      <c r="C119" s="3035"/>
      <c r="D119" s="3080" t="e">
        <f ca="1">NUMBERSTRING(INT(D118*10000),2)&amp;"元整"</f>
        <v>#REF!</v>
      </c>
      <c r="E119" s="3081"/>
      <c r="F119" s="3080" t="e">
        <f ca="1">NUMBERSTRING(INT(F118*10000),2)&amp;"元整"</f>
        <v>#REF!</v>
      </c>
      <c r="G119" s="3081"/>
      <c r="H119" s="3080" t="str">
        <f ca="1">NUMBERSTRING(INT(H118*10000),2)&amp;"元整"</f>
        <v>玖亿玖仟玖佰玖拾壹万元整</v>
      </c>
      <c r="I119" s="3081"/>
    </row>
    <row r="120" spans="1:11" ht="18.75" customHeight="1">
      <c r="A120" s="3075" t="str">
        <f>IF(项目基本情况!B9="房地产市场价值","",MID(E103,3,LEN(E103)-2))</f>
        <v/>
      </c>
      <c r="B120" s="3076"/>
      <c r="C120" s="3077"/>
      <c r="D120" s="3075">
        <f>H103</f>
        <v>0</v>
      </c>
      <c r="E120" s="3076"/>
      <c r="F120" s="3076"/>
      <c r="G120" s="3076"/>
      <c r="H120" s="3076"/>
      <c r="I120" s="3077"/>
      <c r="K120" s="2422" t="str">
        <f>IF(D120=0,"故，本次评估不存在"&amp;A120,"故，本次评估"&amp;A120&amp;"为人民币"&amp;D120&amp;"万元整。")</f>
        <v>故，本次评估不存在</v>
      </c>
    </row>
    <row r="121" spans="1:11" ht="18.75" customHeight="1">
      <c r="A121" s="3121" t="s">
        <v>2316</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
      </c>
      <c r="B122" s="3086"/>
      <c r="C122" s="3086"/>
      <c r="D122" s="3075">
        <f ca="1">H107</f>
        <v>99991</v>
      </c>
      <c r="E122" s="3076"/>
      <c r="F122" s="3076"/>
      <c r="G122" s="3076"/>
      <c r="H122" s="3076"/>
      <c r="I122" s="3077"/>
    </row>
    <row r="123" spans="1:11" ht="18.75" customHeight="1">
      <c r="A123" s="3035" t="s">
        <v>2316</v>
      </c>
      <c r="B123" s="3035"/>
      <c r="C123" s="3035"/>
      <c r="D123" s="3080" t="str">
        <f ca="1">NUMBERSTRING(INT(D122*10000),2)&amp;"元整"</f>
        <v>玖亿玖仟玖佰玖拾壹万元整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2316</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2316</v>
      </c>
      <c r="B127" s="3035"/>
      <c r="C127" s="3035"/>
      <c r="D127" s="3080" t="e">
        <f>NUMBERSTRING(INT(D126*10000),2)&amp;"元整"</f>
        <v>#VALUE!</v>
      </c>
      <c r="E127" s="3082"/>
      <c r="F127" s="3082"/>
      <c r="G127" s="3082"/>
      <c r="H127" s="3082"/>
      <c r="I127" s="3081"/>
    </row>
    <row r="128" spans="1:11" ht="21.75" customHeight="1">
      <c r="A128" s="3083" t="s">
        <v>2317</v>
      </c>
      <c r="B128" s="3083"/>
      <c r="C128" s="3083"/>
      <c r="D128" s="3083"/>
      <c r="E128" s="3083"/>
      <c r="F128" s="3083"/>
      <c r="G128" s="3083"/>
      <c r="H128" s="3083"/>
      <c r="I128" s="3083"/>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25" sqref="M25"/>
    </sheetView>
  </sheetViews>
  <sheetFormatPr defaultRowHeight="14.25"/>
  <cols>
    <col min="1" max="1" width="14.375" style="403" customWidth="1"/>
    <col min="2" max="2" width="15.75" style="403" customWidth="1"/>
    <col min="3" max="3" width="20" style="403" customWidth="1"/>
    <col min="4" max="4" width="14.125" style="403" customWidth="1"/>
    <col min="5" max="5" width="14.375" style="403" customWidth="1"/>
    <col min="6" max="6" width="12.25" style="403" customWidth="1"/>
    <col min="7" max="7" width="14.5" style="403" customWidth="1"/>
    <col min="8" max="8" width="12.25" style="403" customWidth="1"/>
    <col min="9" max="9" width="16.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74733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11163</v>
      </c>
      <c r="C3" s="247" t="s">
        <v>2745</v>
      </c>
      <c r="D3" s="1586">
        <f>'数据-汇总表'!F19</f>
        <v>66946.100000000006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73" t="s">
        <v>2645</v>
      </c>
      <c r="D4" s="3174"/>
      <c r="E4" s="3175" t="s">
        <v>2646</v>
      </c>
      <c r="F4" s="3176"/>
      <c r="G4" s="3173" t="s">
        <v>2647</v>
      </c>
      <c r="H4" s="3174"/>
      <c r="I4" s="3173" t="s">
        <v>2648</v>
      </c>
      <c r="J4" s="3174"/>
      <c r="K4" s="610" t="s">
        <v>2649</v>
      </c>
      <c r="L4" s="1133"/>
      <c r="M4" s="1134"/>
      <c r="N4" s="1134"/>
      <c r="O4" s="1134"/>
      <c r="P4" s="3177" t="s">
        <v>2650</v>
      </c>
      <c r="Q4" s="3178"/>
      <c r="R4" s="3160" t="s">
        <v>2646</v>
      </c>
      <c r="S4" s="3161"/>
      <c r="T4" s="3160" t="s">
        <v>2647</v>
      </c>
      <c r="U4" s="3161"/>
      <c r="V4" s="3185" t="s">
        <v>2648</v>
      </c>
      <c r="W4" s="3185"/>
      <c r="X4" s="1816"/>
      <c r="Y4" s="3160" t="s">
        <v>2650</v>
      </c>
      <c r="Z4" s="3161"/>
      <c r="AA4" s="3155" t="s">
        <v>2646</v>
      </c>
      <c r="AB4" s="3156" t="s">
        <v>2647</v>
      </c>
      <c r="AC4" s="3155" t="s">
        <v>2648</v>
      </c>
    </row>
    <row r="5" spans="1:30" ht="15">
      <c r="A5" s="404"/>
      <c r="B5" s="405"/>
      <c r="C5" s="3166" t="s">
        <v>2541</v>
      </c>
      <c r="D5" s="3167"/>
      <c r="E5" s="3164" t="str">
        <f>Sheet3!A2</f>
        <v>北京市通州区西集镇西集村TZ07-0103-0019、0029地块R2二类居住用地、TZ07-0103-0020地块B1商业用地</v>
      </c>
      <c r="F5" s="3165"/>
      <c r="G5" s="3166" t="str">
        <f>Sheet3!A3</f>
        <v>北京市通州区通州新城0204街区TZ00-0024-0006、0007地块R2二类居住用地</v>
      </c>
      <c r="H5" s="3167"/>
      <c r="I5" s="3166" t="str">
        <f>Sheet3!A4</f>
        <v>北京市通州区台湖镇YZ00-0405-0078、0079、0081地块R2二类居住用地</v>
      </c>
      <c r="J5" s="3167"/>
      <c r="K5" s="610"/>
      <c r="L5" s="1133"/>
      <c r="M5" s="1134"/>
      <c r="N5" s="1134"/>
      <c r="O5" s="1134"/>
      <c r="P5" s="3179"/>
      <c r="Q5" s="3180"/>
      <c r="R5" s="3162"/>
      <c r="S5" s="3163"/>
      <c r="T5" s="3162"/>
      <c r="U5" s="3163"/>
      <c r="V5" s="3185"/>
      <c r="W5" s="3185"/>
      <c r="X5" s="1816"/>
      <c r="Y5" s="3162"/>
      <c r="Z5" s="3163"/>
      <c r="AA5" s="3156"/>
      <c r="AB5" s="3156"/>
      <c r="AC5" s="3156"/>
    </row>
    <row r="6" spans="1:30" ht="15.75" thickBot="1">
      <c r="A6" s="406"/>
      <c r="B6" s="407"/>
      <c r="C6" s="3168" t="s">
        <v>2545</v>
      </c>
      <c r="D6" s="3169"/>
      <c r="E6" s="3170" t="s">
        <v>2545</v>
      </c>
      <c r="F6" s="3171"/>
      <c r="G6" s="3168" t="s">
        <v>2545</v>
      </c>
      <c r="H6" s="3169"/>
      <c r="I6" s="3168" t="s">
        <v>2545</v>
      </c>
      <c r="J6" s="3169"/>
      <c r="K6" s="610" t="s">
        <v>2546</v>
      </c>
      <c r="L6" s="1133"/>
      <c r="M6" s="1134"/>
      <c r="N6" s="1134"/>
      <c r="O6" s="1134"/>
      <c r="P6" s="3181"/>
      <c r="Q6" s="3182"/>
      <c r="R6" s="3162"/>
      <c r="S6" s="3163"/>
      <c r="T6" s="3183"/>
      <c r="U6" s="3184"/>
      <c r="V6" s="3185"/>
      <c r="W6" s="3185"/>
      <c r="X6" s="1816"/>
      <c r="Y6" s="3183"/>
      <c r="Z6" s="3184"/>
      <c r="AA6" s="3157"/>
      <c r="AB6" s="3157"/>
      <c r="AC6" s="3157"/>
    </row>
    <row r="7" spans="1:30" s="117" customFormat="1" ht="15.75" thickBot="1">
      <c r="A7" s="408" t="s">
        <v>2547</v>
      </c>
      <c r="B7" s="409"/>
      <c r="C7" s="410">
        <f>'数据-取费表'!B2</f>
        <v>43341</v>
      </c>
      <c r="D7" s="411">
        <v>100</v>
      </c>
      <c r="E7" s="2962" t="str">
        <f>Sheet3!X2</f>
        <v>2017-10-11</v>
      </c>
      <c r="F7" s="2963">
        <f>SUMIF(70:70,YEAR(E7)&amp;"-"&amp;INT((MONTH(E7)+2)/3),71:71)</f>
        <v>98.5</v>
      </c>
      <c r="G7" s="2964" t="str">
        <f>Sheet3!X3</f>
        <v>2017-09-21</v>
      </c>
      <c r="H7" s="2965">
        <f>SUMIF(70:70,YEAR(G7)&amp;"-"&amp;INT((MONTH(G7)+2)/3),71:71)</f>
        <v>98</v>
      </c>
      <c r="I7" s="2964" t="str">
        <f>Sheet3!X4</f>
        <v>2018-02-06</v>
      </c>
      <c r="J7" s="2965">
        <f>SUMIF(70:70,YEAR(I7)&amp;"-"&amp;INT((MONTH(I7)+2)/3),71:71)</f>
        <v>99</v>
      </c>
      <c r="K7" s="611"/>
      <c r="L7" s="1135"/>
      <c r="M7" s="1136"/>
      <c r="N7" s="1136"/>
      <c r="O7" s="1136"/>
      <c r="P7" s="3158" t="s">
        <v>2548</v>
      </c>
      <c r="Q7" s="3186"/>
      <c r="R7" s="770" t="s">
        <v>17</v>
      </c>
      <c r="S7" s="771">
        <f t="shared" ref="S7:S15" si="0">F7</f>
        <v>98.5</v>
      </c>
      <c r="T7" s="770" t="s">
        <v>17</v>
      </c>
      <c r="U7" s="771">
        <f t="shared" ref="U7:U15" si="1">H7</f>
        <v>98</v>
      </c>
      <c r="V7" s="770" t="s">
        <v>17</v>
      </c>
      <c r="W7" s="771">
        <f t="shared" ref="W7:W15" si="2">J7</f>
        <v>99</v>
      </c>
      <c r="X7" s="772"/>
      <c r="Y7" s="3158" t="s">
        <v>2548</v>
      </c>
      <c r="Z7" s="3159"/>
      <c r="AA7" s="773">
        <f>D7/F7</f>
        <v>1.015228426395939</v>
      </c>
      <c r="AB7" s="773">
        <f>D7/H7</f>
        <v>1.0204081632653061</v>
      </c>
      <c r="AC7" s="773">
        <f>D7/J7</f>
        <v>1.0101010101010102</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158" t="s">
        <v>2551</v>
      </c>
      <c r="Q8" s="3159"/>
      <c r="R8" s="770" t="s">
        <v>17</v>
      </c>
      <c r="S8" s="771">
        <f t="shared" si="0"/>
        <v>100</v>
      </c>
      <c r="T8" s="770" t="s">
        <v>17</v>
      </c>
      <c r="U8" s="771">
        <f t="shared" si="1"/>
        <v>100</v>
      </c>
      <c r="V8" s="770" t="s">
        <v>17</v>
      </c>
      <c r="W8" s="771">
        <f t="shared" si="2"/>
        <v>100</v>
      </c>
      <c r="X8" s="772"/>
      <c r="Y8" s="3158" t="s">
        <v>2551</v>
      </c>
      <c r="Z8" s="3159"/>
      <c r="AA8" s="773">
        <f t="shared" ref="AA8:AA45" si="3">D8/F8</f>
        <v>1</v>
      </c>
      <c r="AB8" s="773">
        <f t="shared" ref="AB8:AB45" si="4">D8/H8</f>
        <v>1</v>
      </c>
      <c r="AC8" s="773">
        <f t="shared" ref="AC8:AC45" si="5">D8/J8</f>
        <v>1</v>
      </c>
    </row>
    <row r="9" spans="1:30" s="117" customFormat="1" ht="28.5">
      <c r="A9" s="415" t="s">
        <v>2552</v>
      </c>
      <c r="B9" s="71" t="s">
        <v>2553</v>
      </c>
      <c r="C9" s="2697" t="s">
        <v>3058</v>
      </c>
      <c r="D9" s="135">
        <v>100</v>
      </c>
      <c r="E9" s="2697" t="s">
        <v>3221</v>
      </c>
      <c r="F9" s="135">
        <f>SUMIF(75:75,E9,76:76)-SUMIF(75:75,C9,76:76)+100</f>
        <v>104</v>
      </c>
      <c r="G9" s="2697" t="s">
        <v>3221</v>
      </c>
      <c r="H9" s="135">
        <f>SUMIF(75:75,G9,76:76)-SUMIF(75:75,C9,76:76)+100</f>
        <v>104</v>
      </c>
      <c r="I9" s="2697" t="s">
        <v>3221</v>
      </c>
      <c r="J9" s="135">
        <f>SUMIF(75:75,I9,76:76)-SUMIF(75:75,C9,76:76)+100</f>
        <v>104</v>
      </c>
      <c r="K9" s="611"/>
      <c r="L9" s="1135"/>
      <c r="M9" s="1136"/>
      <c r="N9" s="1136"/>
      <c r="O9" s="1137"/>
      <c r="P9" s="3172" t="s">
        <v>2554</v>
      </c>
      <c r="Q9" s="1798" t="str">
        <f t="shared" ref="Q9:Q15" si="6">B9</f>
        <v>用途</v>
      </c>
      <c r="R9" s="770" t="s">
        <v>17</v>
      </c>
      <c r="S9" s="771">
        <f t="shared" si="0"/>
        <v>104</v>
      </c>
      <c r="T9" s="770" t="s">
        <v>17</v>
      </c>
      <c r="U9" s="771">
        <f t="shared" si="1"/>
        <v>104</v>
      </c>
      <c r="V9" s="770" t="s">
        <v>17</v>
      </c>
      <c r="W9" s="771">
        <f t="shared" si="2"/>
        <v>104</v>
      </c>
      <c r="X9" s="772"/>
      <c r="Y9" s="3035" t="s">
        <v>2555</v>
      </c>
      <c r="Z9" s="55" t="str">
        <f t="shared" ref="Z9:Z15" si="7">Q9</f>
        <v>用途</v>
      </c>
      <c r="AA9" s="773">
        <f t="shared" si="3"/>
        <v>0.96153846153846156</v>
      </c>
      <c r="AB9" s="773">
        <f t="shared" si="4"/>
        <v>0.96153846153846156</v>
      </c>
      <c r="AC9" s="773">
        <f t="shared" si="5"/>
        <v>0.96153846153846156</v>
      </c>
    </row>
    <row r="10" spans="1:30" s="427" customFormat="1" ht="27">
      <c r="A10" s="421"/>
      <c r="B10" s="422" t="s">
        <v>2556</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172"/>
      <c r="Q10" s="1798" t="str">
        <f t="shared" si="6"/>
        <v>土地使用年限（年）</v>
      </c>
      <c r="R10" s="770" t="s">
        <v>17</v>
      </c>
      <c r="S10" s="771">
        <f t="shared" si="0"/>
        <v>109</v>
      </c>
      <c r="T10" s="770" t="s">
        <v>17</v>
      </c>
      <c r="U10" s="771">
        <f t="shared" si="1"/>
        <v>109</v>
      </c>
      <c r="V10" s="770" t="s">
        <v>17</v>
      </c>
      <c r="W10" s="771">
        <f t="shared" si="2"/>
        <v>109</v>
      </c>
      <c r="X10" s="772"/>
      <c r="Y10" s="3035"/>
      <c r="Z10" s="55" t="str">
        <f t="shared" si="7"/>
        <v>土地使用年限（年）</v>
      </c>
      <c r="AA10" s="773">
        <f t="shared" si="3"/>
        <v>0.91743119266055051</v>
      </c>
      <c r="AB10" s="773">
        <f t="shared" si="4"/>
        <v>0.91743119266055051</v>
      </c>
      <c r="AC10" s="773">
        <f t="shared" si="5"/>
        <v>0.91743119266055051</v>
      </c>
    </row>
    <row r="11" spans="1:30" ht="15">
      <c r="A11" s="428"/>
      <c r="B11" s="422" t="s">
        <v>2557</v>
      </c>
      <c r="C11" s="429">
        <f>'数据-汇总表'!I7</f>
        <v>2.71</v>
      </c>
      <c r="D11" s="136">
        <v>100</v>
      </c>
      <c r="E11" s="429">
        <f>Sheet3!L2</f>
        <v>1.2</v>
      </c>
      <c r="F11" s="136">
        <f>LOOKUP(E11,80:80,81:81)-LOOKUP(C11,80:80,81:81)+100</f>
        <v>101</v>
      </c>
      <c r="G11" s="430">
        <f>Sheet3!L3</f>
        <v>2.5</v>
      </c>
      <c r="H11" s="136">
        <f>LOOKUP(G11,80:80,81:81)-LOOKUP(C11,80:80,81:81)+100</f>
        <v>100</v>
      </c>
      <c r="I11" s="429">
        <f>Sheet3!L4</f>
        <v>2.5</v>
      </c>
      <c r="J11" s="136">
        <f>LOOKUP(I11,80:80,81:81)-LOOKUP(C11,80:80,81:81)+100</f>
        <v>100</v>
      </c>
      <c r="K11" s="673">
        <v>1</v>
      </c>
      <c r="L11" s="1141"/>
      <c r="M11" s="1134"/>
      <c r="N11" s="1134"/>
      <c r="O11" s="1142"/>
      <c r="P11" s="3172"/>
      <c r="Q11" s="1798" t="str">
        <f t="shared" si="6"/>
        <v>容积率</v>
      </c>
      <c r="R11" s="770" t="s">
        <v>17</v>
      </c>
      <c r="S11" s="771">
        <f t="shared" si="0"/>
        <v>101</v>
      </c>
      <c r="T11" s="770" t="s">
        <v>17</v>
      </c>
      <c r="U11" s="771">
        <f t="shared" si="1"/>
        <v>100</v>
      </c>
      <c r="V11" s="770" t="s">
        <v>17</v>
      </c>
      <c r="W11" s="771">
        <f t="shared" si="2"/>
        <v>100</v>
      </c>
      <c r="X11" s="772"/>
      <c r="Y11" s="3035"/>
      <c r="Z11" s="55" t="str">
        <f t="shared" si="7"/>
        <v>容积率</v>
      </c>
      <c r="AA11" s="773">
        <f t="shared" si="3"/>
        <v>0.99009900990099009</v>
      </c>
      <c r="AB11" s="773">
        <f t="shared" si="4"/>
        <v>1</v>
      </c>
      <c r="AC11" s="773">
        <f t="shared" si="5"/>
        <v>1</v>
      </c>
    </row>
    <row r="12" spans="1:30" s="117" customFormat="1" ht="15">
      <c r="A12" s="431"/>
      <c r="B12" s="2600" t="s">
        <v>2746</v>
      </c>
      <c r="C12" s="2958" t="s">
        <v>3199</v>
      </c>
      <c r="D12" s="433">
        <v>100</v>
      </c>
      <c r="E12" s="2959" t="s">
        <v>3200</v>
      </c>
      <c r="F12" s="136">
        <f>SUMIF(82:82,E12,83:83)-SUMIF(82:82,C12,83:83)+100</f>
        <v>130</v>
      </c>
      <c r="G12" s="2959" t="s">
        <v>3200</v>
      </c>
      <c r="H12" s="136">
        <f>SUMIF(82:82,G12,83:83)-SUMIF(82:82,C12,83:83)+100</f>
        <v>130</v>
      </c>
      <c r="I12" s="2959" t="s">
        <v>3200</v>
      </c>
      <c r="J12" s="136">
        <f>SUMIF(82:82,I12,83:83)-SUMIF(82:82,C12,83:83)+100</f>
        <v>130</v>
      </c>
      <c r="K12" s="672"/>
      <c r="L12" s="1135"/>
      <c r="M12" s="1136"/>
      <c r="N12" s="1136"/>
      <c r="O12" s="1137"/>
      <c r="P12" s="3172"/>
      <c r="Q12" s="1798" t="str">
        <f t="shared" si="6"/>
        <v>配建</v>
      </c>
      <c r="R12" s="770" t="s">
        <v>17</v>
      </c>
      <c r="S12" s="771">
        <f t="shared" si="0"/>
        <v>130</v>
      </c>
      <c r="T12" s="770" t="s">
        <v>17</v>
      </c>
      <c r="U12" s="771">
        <f t="shared" si="1"/>
        <v>130</v>
      </c>
      <c r="V12" s="770" t="s">
        <v>17</v>
      </c>
      <c r="W12" s="771">
        <f t="shared" si="2"/>
        <v>130</v>
      </c>
      <c r="X12" s="772"/>
      <c r="Y12" s="3035"/>
      <c r="Z12" s="55" t="str">
        <f t="shared" si="7"/>
        <v>配建</v>
      </c>
      <c r="AA12" s="773">
        <f>D12/F12</f>
        <v>0.76923076923076927</v>
      </c>
      <c r="AB12" s="773">
        <f>D12/H12</f>
        <v>0.76923076923076927</v>
      </c>
      <c r="AC12" s="773">
        <f>D12/J12</f>
        <v>0.76923076923076927</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2"/>
      <c r="Q14" s="1798">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110.25" customHeight="1">
      <c r="A15" s="440" t="s">
        <v>2558</v>
      </c>
      <c r="B15" s="69" t="s">
        <v>2087</v>
      </c>
      <c r="C15" s="2603" t="str">
        <f>估价对象房地状况!C15</f>
        <v>估价对象周边居住用地比例较高、居住小区规模较大、社区发展完善程度较好，有月季园、荔景园等多个住宅项目，综合评价居住社区成熟度较好</v>
      </c>
      <c r="D15" s="441">
        <v>100</v>
      </c>
      <c r="E15" s="2956" t="s">
        <v>3229</v>
      </c>
      <c r="F15" s="441">
        <f>SUMIF(88:88,E16,89:89)-SUMIF(88:88,C16,89:89)+100</f>
        <v>96</v>
      </c>
      <c r="G15" s="2956" t="s">
        <v>3225</v>
      </c>
      <c r="H15" s="441">
        <f>SUMIF(88:88,G16,89:89)-SUMIF(88:88,C16,89:89)+100</f>
        <v>100</v>
      </c>
      <c r="I15" s="2954" t="s">
        <v>3231</v>
      </c>
      <c r="J15" s="441">
        <f>SUMIF(88:88,I16,89:89)-SUMIF(88:88,C16,89:89)+100</f>
        <v>96</v>
      </c>
      <c r="K15" s="673">
        <v>2</v>
      </c>
      <c r="L15" s="1143"/>
      <c r="M15" s="1134"/>
      <c r="N15" s="1134"/>
      <c r="O15" s="1142"/>
      <c r="P15" s="3187" t="s">
        <v>2559</v>
      </c>
      <c r="Q15" s="1813" t="str">
        <f t="shared" si="6"/>
        <v>居住社区成熟度</v>
      </c>
      <c r="R15" s="774" t="s">
        <v>17</v>
      </c>
      <c r="S15" s="775">
        <f t="shared" si="0"/>
        <v>96</v>
      </c>
      <c r="T15" s="774" t="s">
        <v>17</v>
      </c>
      <c r="U15" s="775">
        <f t="shared" si="1"/>
        <v>100</v>
      </c>
      <c r="V15" s="774" t="s">
        <v>17</v>
      </c>
      <c r="W15" s="775">
        <f t="shared" si="2"/>
        <v>96</v>
      </c>
      <c r="X15" s="1816"/>
      <c r="Y15" s="3187" t="s">
        <v>2559</v>
      </c>
      <c r="Z15" s="1817" t="str">
        <f t="shared" si="7"/>
        <v>居住社区成熟度</v>
      </c>
      <c r="AA15" s="1814">
        <f t="shared" si="3"/>
        <v>1.0416666666666667</v>
      </c>
      <c r="AB15" s="1814">
        <f t="shared" si="4"/>
        <v>1</v>
      </c>
      <c r="AC15" s="1814">
        <f t="shared" si="5"/>
        <v>1.0416666666666667</v>
      </c>
    </row>
    <row r="16" spans="1:30" ht="15">
      <c r="A16" s="428"/>
      <c r="B16" s="446"/>
      <c r="C16" s="447" t="s">
        <v>3162</v>
      </c>
      <c r="D16" s="448"/>
      <c r="E16" s="2605" t="s">
        <v>3187</v>
      </c>
      <c r="F16" s="448"/>
      <c r="G16" s="2605" t="s">
        <v>3162</v>
      </c>
      <c r="H16" s="450"/>
      <c r="I16" s="2604" t="s">
        <v>3187</v>
      </c>
      <c r="J16" s="448"/>
      <c r="K16" s="672"/>
      <c r="L16" s="1143"/>
      <c r="M16" s="1134"/>
      <c r="N16" s="1134"/>
      <c r="O16" s="1142"/>
      <c r="P16" s="3188"/>
      <c r="Q16" s="1813"/>
      <c r="R16" s="774"/>
      <c r="S16" s="775"/>
      <c r="T16" s="774"/>
      <c r="U16" s="775"/>
      <c r="V16" s="774"/>
      <c r="W16" s="775"/>
      <c r="X16" s="1816"/>
      <c r="Y16" s="3188"/>
      <c r="Z16" s="1817"/>
      <c r="AA16" s="1814">
        <v>1</v>
      </c>
      <c r="AB16" s="1814">
        <v>1</v>
      </c>
      <c r="AC16" s="1814">
        <v>1</v>
      </c>
    </row>
    <row r="17" spans="1:29" ht="15">
      <c r="A17" s="428"/>
      <c r="B17" s="451" t="s">
        <v>2652</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8"/>
      <c r="Q17" s="1813" t="str">
        <f>B17</f>
        <v>商业繁华度</v>
      </c>
      <c r="R17" s="774" t="s">
        <v>17</v>
      </c>
      <c r="S17" s="775">
        <f>F17</f>
        <v>100</v>
      </c>
      <c r="T17" s="774" t="s">
        <v>17</v>
      </c>
      <c r="U17" s="775">
        <f>H17</f>
        <v>100</v>
      </c>
      <c r="V17" s="774" t="s">
        <v>17</v>
      </c>
      <c r="W17" s="775">
        <f>J17</f>
        <v>100</v>
      </c>
      <c r="X17" s="1816"/>
      <c r="Y17" s="3188"/>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88"/>
      <c r="Q18" s="1813"/>
      <c r="R18" s="774"/>
      <c r="S18" s="775"/>
      <c r="T18" s="774"/>
      <c r="U18" s="775"/>
      <c r="V18" s="774"/>
      <c r="W18" s="775"/>
      <c r="X18" s="1816"/>
      <c r="Y18" s="3188"/>
      <c r="Z18" s="1817"/>
      <c r="AA18" s="1814">
        <v>1</v>
      </c>
      <c r="AB18" s="1814">
        <v>1</v>
      </c>
      <c r="AC18" s="1814">
        <v>1</v>
      </c>
    </row>
    <row r="19" spans="1:29" ht="15">
      <c r="A19" s="428"/>
      <c r="B19" s="451" t="s">
        <v>2686</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8"/>
      <c r="Q19" s="1813" t="str">
        <f>B19</f>
        <v>办公集聚程度</v>
      </c>
      <c r="R19" s="774" t="s">
        <v>17</v>
      </c>
      <c r="S19" s="775">
        <f>F19</f>
        <v>100</v>
      </c>
      <c r="T19" s="774" t="s">
        <v>17</v>
      </c>
      <c r="U19" s="775">
        <f>H19</f>
        <v>100</v>
      </c>
      <c r="V19" s="774" t="s">
        <v>17</v>
      </c>
      <c r="W19" s="775">
        <f>J19</f>
        <v>100</v>
      </c>
      <c r="X19" s="1816"/>
      <c r="Y19" s="3188"/>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88"/>
      <c r="Q20" s="1813"/>
      <c r="R20" s="774"/>
      <c r="S20" s="775"/>
      <c r="T20" s="774"/>
      <c r="U20" s="775"/>
      <c r="V20" s="774"/>
      <c r="W20" s="775"/>
      <c r="X20" s="1816"/>
      <c r="Y20" s="3188"/>
      <c r="Z20" s="1817"/>
      <c r="AA20" s="1814">
        <v>1</v>
      </c>
      <c r="AB20" s="1814">
        <v>1</v>
      </c>
      <c r="AC20" s="1814">
        <v>1</v>
      </c>
    </row>
    <row r="21" spans="1:29" ht="127.5" customHeight="1">
      <c r="A21" s="428"/>
      <c r="B21" s="451" t="s">
        <v>2708</v>
      </c>
      <c r="C21" s="2607" t="str">
        <f>估价对象房地状况!C18</f>
        <v>估价对象周边道路状况较好、公共交通通达情况较好、有322、342、442等多路公交车，距6号线北运河西站约1.5公里，停车便捷程度较好，综合评价交通便捷度较好</v>
      </c>
      <c r="D21" s="450">
        <v>100</v>
      </c>
      <c r="E21" s="2957" t="s">
        <v>3230</v>
      </c>
      <c r="F21" s="455">
        <f>SUMIF(94:94,E22,95:95)-SUMIF(94:94,C22,95:95)+100</f>
        <v>96</v>
      </c>
      <c r="G21" s="452" t="s">
        <v>3226</v>
      </c>
      <c r="H21" s="450">
        <f>SUMIF(94:94,G22,95:95)-SUMIF(94:94,C22,95:95)+100</f>
        <v>96</v>
      </c>
      <c r="I21" s="2957" t="s">
        <v>3232</v>
      </c>
      <c r="J21" s="450">
        <f>SUMIF(94:94,I22,95:95)-SUMIF(94:94,C22,95:95)+100</f>
        <v>96</v>
      </c>
      <c r="K21" s="673">
        <v>2</v>
      </c>
      <c r="L21" s="1143"/>
      <c r="M21" s="1134"/>
      <c r="N21" s="1134"/>
      <c r="O21" s="1142"/>
      <c r="P21" s="3188"/>
      <c r="Q21" s="1813" t="str">
        <f>B21</f>
        <v>交通便捷度</v>
      </c>
      <c r="R21" s="774" t="s">
        <v>17</v>
      </c>
      <c r="S21" s="775">
        <f>F21</f>
        <v>96</v>
      </c>
      <c r="T21" s="774" t="s">
        <v>17</v>
      </c>
      <c r="U21" s="775">
        <f>H21</f>
        <v>96</v>
      </c>
      <c r="V21" s="774" t="s">
        <v>17</v>
      </c>
      <c r="W21" s="775">
        <f>J21</f>
        <v>96</v>
      </c>
      <c r="X21" s="1816"/>
      <c r="Y21" s="3188"/>
      <c r="Z21" s="1817" t="str">
        <f>Q21</f>
        <v>交通便捷度</v>
      </c>
      <c r="AA21" s="1814">
        <f t="shared" si="3"/>
        <v>1.0416666666666667</v>
      </c>
      <c r="AB21" s="1814">
        <f t="shared" si="4"/>
        <v>1.0416666666666667</v>
      </c>
      <c r="AC21" s="1814">
        <f t="shared" si="5"/>
        <v>1.0416666666666667</v>
      </c>
    </row>
    <row r="22" spans="1:29" ht="15">
      <c r="A22" s="428"/>
      <c r="B22" s="1387"/>
      <c r="C22" s="447" t="s">
        <v>3162</v>
      </c>
      <c r="D22" s="450"/>
      <c r="E22" s="2605" t="s">
        <v>3187</v>
      </c>
      <c r="F22" s="448"/>
      <c r="G22" s="2605" t="s">
        <v>3187</v>
      </c>
      <c r="H22" s="448"/>
      <c r="I22" s="2604" t="s">
        <v>3187</v>
      </c>
      <c r="J22" s="448"/>
      <c r="K22" s="672"/>
      <c r="L22" s="1143"/>
      <c r="M22" s="1134"/>
      <c r="N22" s="1134"/>
      <c r="O22" s="1142"/>
      <c r="P22" s="3188"/>
      <c r="Q22" s="1813"/>
      <c r="R22" s="774"/>
      <c r="S22" s="775"/>
      <c r="T22" s="774"/>
      <c r="U22" s="775"/>
      <c r="V22" s="774"/>
      <c r="W22" s="775"/>
      <c r="X22" s="1816"/>
      <c r="Y22" s="3188"/>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88"/>
      <c r="Q23" s="1813" t="str">
        <f t="shared" ref="Q23:Q37" si="8">B23</f>
        <v>区域土地利用方向</v>
      </c>
      <c r="R23" s="774" t="s">
        <v>17</v>
      </c>
      <c r="S23" s="775">
        <f>F23</f>
        <v>100</v>
      </c>
      <c r="T23" s="774" t="s">
        <v>17</v>
      </c>
      <c r="U23" s="775">
        <f>H23</f>
        <v>100</v>
      </c>
      <c r="V23" s="774" t="s">
        <v>17</v>
      </c>
      <c r="W23" s="775">
        <f>J23</f>
        <v>100</v>
      </c>
      <c r="X23" s="1816"/>
      <c r="Y23" s="3188"/>
      <c r="Z23" s="1817" t="str">
        <f>Q23</f>
        <v>区域土地利用方向</v>
      </c>
      <c r="AA23" s="1814">
        <f t="shared" si="3"/>
        <v>1</v>
      </c>
      <c r="AB23" s="1814">
        <f t="shared" si="4"/>
        <v>1</v>
      </c>
      <c r="AC23" s="1814">
        <f t="shared" si="5"/>
        <v>1</v>
      </c>
    </row>
    <row r="24" spans="1:29" ht="15">
      <c r="A24" s="404"/>
      <c r="B24" s="456"/>
      <c r="C24" s="616" t="s">
        <v>3162</v>
      </c>
      <c r="D24" s="448"/>
      <c r="E24" s="616" t="s">
        <v>3162</v>
      </c>
      <c r="F24" s="448"/>
      <c r="G24" s="616" t="s">
        <v>3162</v>
      </c>
      <c r="H24" s="448"/>
      <c r="I24" s="616" t="s">
        <v>3162</v>
      </c>
      <c r="J24" s="448"/>
      <c r="K24" s="812"/>
      <c r="L24" s="1143"/>
      <c r="M24" s="1134"/>
      <c r="N24" s="1134"/>
      <c r="O24" s="1142"/>
      <c r="P24" s="3188"/>
      <c r="Q24" s="1813"/>
      <c r="R24" s="774"/>
      <c r="S24" s="775"/>
      <c r="T24" s="774"/>
      <c r="U24" s="775"/>
      <c r="V24" s="774"/>
      <c r="W24" s="775"/>
      <c r="X24" s="1816"/>
      <c r="Y24" s="3188"/>
      <c r="Z24" s="1817"/>
      <c r="AA24" s="1814"/>
      <c r="AB24" s="1814"/>
      <c r="AC24" s="1814"/>
    </row>
    <row r="25" spans="1:29" ht="81" customHeight="1">
      <c r="A25" s="404"/>
      <c r="B25" s="1387" t="s">
        <v>2748</v>
      </c>
      <c r="C25" s="2662" t="str">
        <f>估价对象房地状况!C20</f>
        <v>区域自然环境：减河公园、运河奥体公园、潞河中学公园；人文环境：大运河美术馆；综合评价环境状况较好</v>
      </c>
      <c r="D25" s="450">
        <v>100</v>
      </c>
      <c r="E25" s="2957" t="s">
        <v>3227</v>
      </c>
      <c r="F25" s="450">
        <f>SUMIF(98:98,E26,99:99)-SUMIF(98:98,C26,99:99)+100</f>
        <v>98</v>
      </c>
      <c r="G25" s="2957" t="s">
        <v>3227</v>
      </c>
      <c r="H25" s="450">
        <f>SUMIF(98:98,G26,99:99)-SUMIF(98:98,C26,99:99)+100</f>
        <v>98</v>
      </c>
      <c r="I25" s="454"/>
      <c r="J25" s="450">
        <f>SUMIF(98:98,I26,99:99)-SUMIF(98:98,C26,99:99)+100</f>
        <v>99</v>
      </c>
      <c r="K25" s="673">
        <v>1</v>
      </c>
      <c r="L25" s="1143"/>
      <c r="M25" s="1134"/>
      <c r="N25" s="1134"/>
      <c r="O25" s="1142"/>
      <c r="P25" s="3188"/>
      <c r="Q25" s="1813" t="str">
        <f t="shared" si="8"/>
        <v>自然及人文环境状况</v>
      </c>
      <c r="R25" s="774" t="s">
        <v>17</v>
      </c>
      <c r="S25" s="775">
        <f>F25</f>
        <v>98</v>
      </c>
      <c r="T25" s="774" t="s">
        <v>17</v>
      </c>
      <c r="U25" s="775">
        <f>H25</f>
        <v>98</v>
      </c>
      <c r="V25" s="774" t="s">
        <v>17</v>
      </c>
      <c r="W25" s="775">
        <f>J25</f>
        <v>99</v>
      </c>
      <c r="X25" s="1816"/>
      <c r="Y25" s="3188"/>
      <c r="Z25" s="1817" t="str">
        <f>Q25</f>
        <v>自然及人文环境状况</v>
      </c>
      <c r="AA25" s="1814">
        <f t="shared" si="3"/>
        <v>1.0204081632653061</v>
      </c>
      <c r="AB25" s="1814">
        <f t="shared" si="4"/>
        <v>1.0204081632653061</v>
      </c>
      <c r="AC25" s="1814">
        <f t="shared" si="5"/>
        <v>1.0101010101010102</v>
      </c>
    </row>
    <row r="26" spans="1:29" ht="15">
      <c r="A26" s="404"/>
      <c r="B26" s="456"/>
      <c r="C26" s="447" t="s">
        <v>3162</v>
      </c>
      <c r="D26" s="448"/>
      <c r="E26" s="2611" t="s">
        <v>3187</v>
      </c>
      <c r="F26" s="448"/>
      <c r="G26" s="2611" t="s">
        <v>3187</v>
      </c>
      <c r="H26" s="448"/>
      <c r="I26" s="2611" t="s">
        <v>3163</v>
      </c>
      <c r="J26" s="448"/>
      <c r="K26" s="672"/>
      <c r="L26" s="1143"/>
      <c r="M26" s="1134"/>
      <c r="N26" s="1134"/>
      <c r="O26" s="1142"/>
      <c r="P26" s="3188"/>
      <c r="Q26" s="1813"/>
      <c r="R26" s="774"/>
      <c r="S26" s="775"/>
      <c r="T26" s="774"/>
      <c r="U26" s="775"/>
      <c r="V26" s="774"/>
      <c r="W26" s="775"/>
      <c r="X26" s="1816"/>
      <c r="Y26" s="3188"/>
      <c r="Z26" s="1817"/>
      <c r="AA26" s="1814">
        <v>1</v>
      </c>
      <c r="AB26" s="1814">
        <v>1</v>
      </c>
      <c r="AC26" s="1814">
        <v>1</v>
      </c>
    </row>
    <row r="27" spans="1:29" s="117" customFormat="1" ht="28.5">
      <c r="A27" s="649"/>
      <c r="B27" s="1387" t="s">
        <v>2653</v>
      </c>
      <c r="C27" s="2607" t="str">
        <f>估价对象房地状况!C21</f>
        <v>估价对象所在区域公共配套设施齐备情况一般</v>
      </c>
      <c r="D27" s="450">
        <v>100</v>
      </c>
      <c r="E27" s="452"/>
      <c r="F27" s="450">
        <f>SUMIF(100:100,E28,101:101)-SUMIF(100:100,C28,101:101)+100</f>
        <v>98</v>
      </c>
      <c r="G27" s="452"/>
      <c r="H27" s="450">
        <f>SUMIF(100:100,G28,101:101)-SUMIF(100:100,C28,101:101)+100</f>
        <v>100</v>
      </c>
      <c r="I27" s="454"/>
      <c r="J27" s="450">
        <f>SUMIF(100:100,I28,101:101)-SUMIF(100:100,C28,101:101)+100</f>
        <v>98</v>
      </c>
      <c r="K27" s="673">
        <v>2</v>
      </c>
      <c r="L27" s="1135"/>
      <c r="M27" s="1136"/>
      <c r="N27" s="1136"/>
      <c r="O27" s="1137"/>
      <c r="P27" s="3188"/>
      <c r="Q27" s="1798" t="str">
        <f t="shared" si="8"/>
        <v>公共配套设施</v>
      </c>
      <c r="R27" s="770" t="s">
        <v>17</v>
      </c>
      <c r="S27" s="771">
        <f>F27</f>
        <v>98</v>
      </c>
      <c r="T27" s="770" t="s">
        <v>17</v>
      </c>
      <c r="U27" s="771">
        <f>H27</f>
        <v>100</v>
      </c>
      <c r="V27" s="770" t="s">
        <v>17</v>
      </c>
      <c r="W27" s="771">
        <f>J27</f>
        <v>98</v>
      </c>
      <c r="X27" s="772"/>
      <c r="Y27" s="3188"/>
      <c r="Z27" s="55" t="str">
        <f>Q27</f>
        <v>公共配套设施</v>
      </c>
      <c r="AA27" s="1814">
        <f>D27/F27</f>
        <v>1.0204081632653061</v>
      </c>
      <c r="AB27" s="1814">
        <f>D27/H27</f>
        <v>1</v>
      </c>
      <c r="AC27" s="1814">
        <f>D27/J27</f>
        <v>1.0204081632653061</v>
      </c>
    </row>
    <row r="28" spans="1:29" s="117" customFormat="1" ht="15">
      <c r="A28" s="649"/>
      <c r="B28" s="456"/>
      <c r="C28" s="2698" t="s">
        <v>3163</v>
      </c>
      <c r="D28" s="448"/>
      <c r="E28" s="2611" t="s">
        <v>3187</v>
      </c>
      <c r="F28" s="448"/>
      <c r="G28" s="2611" t="s">
        <v>3163</v>
      </c>
      <c r="H28" s="448"/>
      <c r="I28" s="2611" t="s">
        <v>3187</v>
      </c>
      <c r="J28" s="448"/>
      <c r="K28" s="672"/>
      <c r="L28" s="1135"/>
      <c r="M28" s="1136"/>
      <c r="N28" s="1136"/>
      <c r="O28" s="1137"/>
      <c r="P28" s="3188"/>
      <c r="Q28" s="1798"/>
      <c r="R28" s="770"/>
      <c r="S28" s="771"/>
      <c r="T28" s="770"/>
      <c r="U28" s="771"/>
      <c r="V28" s="770"/>
      <c r="W28" s="771"/>
      <c r="X28" s="772"/>
      <c r="Y28" s="3188"/>
      <c r="Z28" s="55"/>
      <c r="AA28" s="1814">
        <v>1</v>
      </c>
      <c r="AB28" s="1814">
        <v>1</v>
      </c>
      <c r="AC28" s="1814">
        <v>1</v>
      </c>
    </row>
    <row r="29" spans="1:29" s="117" customFormat="1" ht="15">
      <c r="A29" s="649"/>
      <c r="B29" s="1387" t="s">
        <v>2654</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8"/>
      <c r="Q29" s="1798"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4">
        <f>D29/F29</f>
        <v>1</v>
      </c>
      <c r="AB29" s="1814">
        <f>D29/H29</f>
        <v>1</v>
      </c>
      <c r="AC29" s="1814">
        <f>D29/J29</f>
        <v>1</v>
      </c>
    </row>
    <row r="30" spans="1:29" s="117" customFormat="1" ht="15">
      <c r="A30" s="649"/>
      <c r="B30" s="456"/>
      <c r="C30" s="2698" t="s">
        <v>3159</v>
      </c>
      <c r="D30" s="448"/>
      <c r="E30" s="2698" t="s">
        <v>3159</v>
      </c>
      <c r="F30" s="448"/>
      <c r="G30" s="2698" t="s">
        <v>3159</v>
      </c>
      <c r="H30" s="448"/>
      <c r="I30" s="2698" t="s">
        <v>3159</v>
      </c>
      <c r="J30" s="448"/>
      <c r="K30" s="672"/>
      <c r="L30" s="1135"/>
      <c r="M30" s="1136"/>
      <c r="N30" s="1136"/>
      <c r="O30" s="1137"/>
      <c r="P30" s="3188"/>
      <c r="Q30" s="1798"/>
      <c r="R30" s="770"/>
      <c r="S30" s="771"/>
      <c r="T30" s="770"/>
      <c r="U30" s="771"/>
      <c r="V30" s="770"/>
      <c r="W30" s="771"/>
      <c r="X30" s="772"/>
      <c r="Y30" s="3188"/>
      <c r="Z30" s="55"/>
      <c r="AA30" s="1814">
        <v>1</v>
      </c>
      <c r="AB30" s="1814">
        <v>1</v>
      </c>
      <c r="AC30" s="1814">
        <v>1</v>
      </c>
    </row>
    <row r="31" spans="1:29" ht="15">
      <c r="A31" s="428"/>
      <c r="B31" s="456" t="s">
        <v>2655</v>
      </c>
      <c r="C31" s="616" t="s">
        <v>3201</v>
      </c>
      <c r="D31" s="435">
        <v>100</v>
      </c>
      <c r="E31" s="634" t="s">
        <v>3224</v>
      </c>
      <c r="F31" s="435">
        <f>SUMIF(104:104,E31,105:105)-SUMIF(104:104,C31,105:105)+100</f>
        <v>98</v>
      </c>
      <c r="G31" s="634" t="s">
        <v>3201</v>
      </c>
      <c r="H31" s="435">
        <f>SUMIF(104:104,G31,105:105)-SUMIF(104:104,C31,105:105)+100</f>
        <v>100</v>
      </c>
      <c r="I31" s="634" t="s">
        <v>3201</v>
      </c>
      <c r="J31" s="435">
        <f>SUMIF(104:104,I31,105:105)-SUMIF(104:104,C31,105:105)+100</f>
        <v>100</v>
      </c>
      <c r="K31" s="673">
        <v>1</v>
      </c>
      <c r="L31" s="1143"/>
      <c r="M31" s="1134"/>
      <c r="N31" s="1134"/>
      <c r="O31" s="1142"/>
      <c r="P31" s="3188"/>
      <c r="Q31" s="1813" t="str">
        <f t="shared" si="8"/>
        <v>临街状况</v>
      </c>
      <c r="R31" s="774" t="s">
        <v>17</v>
      </c>
      <c r="S31" s="775">
        <f t="shared" ref="S31:S45" si="10">F31</f>
        <v>98</v>
      </c>
      <c r="T31" s="774" t="s">
        <v>17</v>
      </c>
      <c r="U31" s="775">
        <f t="shared" ref="U31:U45" si="11">H31</f>
        <v>100</v>
      </c>
      <c r="V31" s="774" t="s">
        <v>17</v>
      </c>
      <c r="W31" s="775">
        <f t="shared" ref="W31:W45" si="12">J31</f>
        <v>100</v>
      </c>
      <c r="X31" s="1816"/>
      <c r="Y31" s="3188"/>
      <c r="Z31" s="1817" t="str">
        <f t="shared" ref="Z31:Z45" si="13">Q31</f>
        <v>临街状况</v>
      </c>
      <c r="AA31" s="1814">
        <f t="shared" si="3"/>
        <v>1.0204081632653061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3"/>
      <c r="M32" s="1134"/>
      <c r="N32" s="1134"/>
      <c r="O32" s="1142"/>
      <c r="P32" s="3188"/>
      <c r="Q32" s="1813" t="str">
        <f t="shared" si="8"/>
        <v>毗邻道路的类型与等级</v>
      </c>
      <c r="R32" s="774" t="s">
        <v>17</v>
      </c>
      <c r="S32" s="775">
        <f t="shared" si="10"/>
        <v>100</v>
      </c>
      <c r="T32" s="774" t="s">
        <v>17</v>
      </c>
      <c r="U32" s="775">
        <f t="shared" si="11"/>
        <v>100</v>
      </c>
      <c r="V32" s="774" t="s">
        <v>17</v>
      </c>
      <c r="W32" s="775">
        <f t="shared" si="12"/>
        <v>100</v>
      </c>
      <c r="X32" s="1816"/>
      <c r="Y32" s="3188"/>
      <c r="Z32" s="1817" t="str">
        <f t="shared" si="13"/>
        <v>毗邻道路的类型与等级</v>
      </c>
      <c r="AA32" s="1814">
        <f t="shared" si="3"/>
        <v>1</v>
      </c>
      <c r="AB32" s="1814">
        <f t="shared" si="4"/>
        <v>1</v>
      </c>
      <c r="AC32" s="1814">
        <f t="shared" si="5"/>
        <v>1</v>
      </c>
    </row>
    <row r="33" spans="1:29" ht="15">
      <c r="A33" s="428"/>
      <c r="B33" s="456"/>
      <c r="C33" s="447" t="s">
        <v>3206</v>
      </c>
      <c r="D33" s="448"/>
      <c r="E33" s="2611" t="s">
        <v>3206</v>
      </c>
      <c r="F33" s="448"/>
      <c r="G33" s="2611" t="s">
        <v>3206</v>
      </c>
      <c r="H33" s="448"/>
      <c r="I33" s="447" t="s">
        <v>3206</v>
      </c>
      <c r="J33" s="448"/>
      <c r="K33" s="613"/>
      <c r="L33" s="1143"/>
      <c r="M33" s="1134"/>
      <c r="N33" s="1134"/>
      <c r="O33" s="1142"/>
      <c r="P33" s="3188"/>
      <c r="Q33" s="1813"/>
      <c r="R33" s="774"/>
      <c r="S33" s="775"/>
      <c r="T33" s="774"/>
      <c r="U33" s="775"/>
      <c r="V33" s="774"/>
      <c r="W33" s="775"/>
      <c r="X33" s="1816"/>
      <c r="Y33" s="3188"/>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8"/>
      <c r="Q34" s="1813" t="str">
        <f t="shared" si="8"/>
        <v>土地级别</v>
      </c>
      <c r="R34" s="774" t="s">
        <v>17</v>
      </c>
      <c r="S34" s="775">
        <f t="shared" si="10"/>
        <v>100</v>
      </c>
      <c r="T34" s="774" t="s">
        <v>17</v>
      </c>
      <c r="U34" s="775">
        <f t="shared" si="11"/>
        <v>100</v>
      </c>
      <c r="V34" s="774" t="s">
        <v>17</v>
      </c>
      <c r="W34" s="775">
        <f t="shared" si="12"/>
        <v>100</v>
      </c>
      <c r="X34" s="1816"/>
      <c r="Y34" s="318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8"/>
      <c r="Q35" s="1813">
        <f t="shared" si="8"/>
        <v>111</v>
      </c>
      <c r="R35" s="774" t="s">
        <v>17</v>
      </c>
      <c r="S35" s="775">
        <f t="shared" si="10"/>
        <v>100</v>
      </c>
      <c r="T35" s="774" t="s">
        <v>17</v>
      </c>
      <c r="U35" s="775">
        <f t="shared" si="11"/>
        <v>100</v>
      </c>
      <c r="V35" s="774" t="s">
        <v>17</v>
      </c>
      <c r="W35" s="775">
        <f t="shared" si="12"/>
        <v>100</v>
      </c>
      <c r="X35" s="1816"/>
      <c r="Y35" s="318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9" t="s">
        <v>2564</v>
      </c>
      <c r="Q36" s="1813">
        <f t="shared" si="8"/>
        <v>111</v>
      </c>
      <c r="R36" s="774" t="s">
        <v>17</v>
      </c>
      <c r="S36" s="775">
        <f t="shared" si="10"/>
        <v>100</v>
      </c>
      <c r="T36" s="774" t="s">
        <v>17</v>
      </c>
      <c r="U36" s="775">
        <f t="shared" si="11"/>
        <v>100</v>
      </c>
      <c r="V36" s="774" t="s">
        <v>17</v>
      </c>
      <c r="W36" s="775">
        <f t="shared" si="12"/>
        <v>100</v>
      </c>
      <c r="X36" s="1816"/>
      <c r="Y36" s="3190"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0"/>
      <c r="Q37" s="1813">
        <f t="shared" si="8"/>
        <v>111</v>
      </c>
      <c r="R37" s="777" t="s">
        <v>17</v>
      </c>
      <c r="S37" s="778">
        <f t="shared" si="10"/>
        <v>100</v>
      </c>
      <c r="T37" s="777" t="s">
        <v>17</v>
      </c>
      <c r="U37" s="778">
        <f t="shared" si="11"/>
        <v>100</v>
      </c>
      <c r="V37" s="777" t="s">
        <v>17</v>
      </c>
      <c r="W37" s="778">
        <f t="shared" si="12"/>
        <v>100</v>
      </c>
      <c r="X37" s="779"/>
      <c r="Y37" s="3190"/>
      <c r="Z37" s="780">
        <f t="shared" si="13"/>
        <v>111</v>
      </c>
      <c r="AA37" s="1814">
        <f t="shared" si="3"/>
        <v>1</v>
      </c>
      <c r="AB37" s="1814">
        <f t="shared" si="4"/>
        <v>1</v>
      </c>
      <c r="AC37" s="1814">
        <f t="shared" si="5"/>
        <v>1</v>
      </c>
    </row>
    <row r="38" spans="1:29" ht="15">
      <c r="A38" s="472" t="s">
        <v>2562</v>
      </c>
      <c r="B38" s="456" t="s">
        <v>2750</v>
      </c>
      <c r="C38" s="679">
        <f>'数据-汇总表'!D3</f>
        <v>24664.240000000002</v>
      </c>
      <c r="D38" s="467">
        <v>100</v>
      </c>
      <c r="E38" s="679">
        <f>Sheet3!J2</f>
        <v>81664.259999999995</v>
      </c>
      <c r="F38" s="467">
        <f>LOOKUP(E38,117:117,118:118)-LOOKUP(C38,117:117,118:118)+100</f>
        <v>104</v>
      </c>
      <c r="G38" s="679">
        <f>Sheet3!J3</f>
        <v>65516.160000000003</v>
      </c>
      <c r="H38" s="467">
        <f>LOOKUP(G38,117:117,118:118)-LOOKUP(C38,117:117,118:118)+100</f>
        <v>104</v>
      </c>
      <c r="I38" s="530">
        <f>Sheet3!J4</f>
        <v>39199.449999999997</v>
      </c>
      <c r="J38" s="467">
        <f>LOOKUP(I38,117:117,118:118)-LOOKUP(C38,117:117,118:118)+100</f>
        <v>102</v>
      </c>
      <c r="K38" s="613"/>
      <c r="L38" s="1143"/>
      <c r="M38" s="1134"/>
      <c r="N38" s="1134"/>
      <c r="O38" s="1142"/>
      <c r="P38" s="3190"/>
      <c r="Q38" s="1813" t="str">
        <f>B38</f>
        <v>宗地面积</v>
      </c>
      <c r="R38" s="774" t="s">
        <v>17</v>
      </c>
      <c r="S38" s="775">
        <f t="shared" si="10"/>
        <v>104</v>
      </c>
      <c r="T38" s="774" t="s">
        <v>17</v>
      </c>
      <c r="U38" s="775">
        <f t="shared" si="11"/>
        <v>104</v>
      </c>
      <c r="V38" s="774" t="s">
        <v>17</v>
      </c>
      <c r="W38" s="775">
        <f t="shared" si="12"/>
        <v>102</v>
      </c>
      <c r="X38" s="1816"/>
      <c r="Y38" s="3190"/>
      <c r="Z38" s="1817" t="str">
        <f t="shared" si="13"/>
        <v>宗地面积</v>
      </c>
      <c r="AA38" s="1814">
        <f t="shared" si="3"/>
        <v>0.96153846153846156</v>
      </c>
      <c r="AB38" s="1814">
        <f t="shared" si="4"/>
        <v>0.96153846153846156</v>
      </c>
      <c r="AC38" s="1814">
        <f t="shared" si="5"/>
        <v>0.98039215686274506</v>
      </c>
    </row>
    <row r="39" spans="1:29" ht="15">
      <c r="A39" s="472"/>
      <c r="B39" s="422" t="s">
        <v>2751</v>
      </c>
      <c r="C39" s="2613" t="s">
        <v>3209</v>
      </c>
      <c r="D39" s="435">
        <v>100</v>
      </c>
      <c r="E39" s="2613" t="s">
        <v>3209</v>
      </c>
      <c r="F39" s="435">
        <f>SUMIF(119:119,E39,120:120)-SUMIF(119:119,C39,120:120)+100</f>
        <v>100</v>
      </c>
      <c r="G39" s="2613" t="s">
        <v>3209</v>
      </c>
      <c r="H39" s="435">
        <f>SUMIF(119:119,G39,120:120)-SUMIF(119:119,C39,120:120)+100</f>
        <v>100</v>
      </c>
      <c r="I39" s="2613" t="s">
        <v>3209</v>
      </c>
      <c r="J39" s="435">
        <f>SUMIF(119:119,I39,120:120)-SUMIF(119:119,C39,120:120)+100</f>
        <v>100</v>
      </c>
      <c r="K39" s="612">
        <v>2</v>
      </c>
      <c r="L39" s="1143"/>
      <c r="M39" s="1134"/>
      <c r="N39" s="1134"/>
      <c r="O39" s="1142"/>
      <c r="P39" s="3190"/>
      <c r="Q39" s="1813" t="str">
        <f t="shared" ref="Q39:Q45" si="14">B39</f>
        <v>宗地形状</v>
      </c>
      <c r="R39" s="774" t="s">
        <v>17</v>
      </c>
      <c r="S39" s="775">
        <f t="shared" si="10"/>
        <v>100</v>
      </c>
      <c r="T39" s="774" t="s">
        <v>17</v>
      </c>
      <c r="U39" s="775">
        <f t="shared" si="11"/>
        <v>100</v>
      </c>
      <c r="V39" s="774" t="s">
        <v>17</v>
      </c>
      <c r="W39" s="775">
        <f t="shared" si="12"/>
        <v>100</v>
      </c>
      <c r="X39" s="1816"/>
      <c r="Y39" s="3190"/>
      <c r="Z39" s="1817" t="str">
        <f t="shared" si="13"/>
        <v>宗地形状</v>
      </c>
      <c r="AA39" s="1814">
        <f t="shared" si="3"/>
        <v>1</v>
      </c>
      <c r="AB39" s="1814">
        <f t="shared" si="4"/>
        <v>1</v>
      </c>
      <c r="AC39" s="1814">
        <f t="shared" si="5"/>
        <v>1</v>
      </c>
    </row>
    <row r="40" spans="1:29" ht="15">
      <c r="A40" s="472"/>
      <c r="B40" s="422" t="s">
        <v>2752</v>
      </c>
      <c r="C40" s="2613" t="s">
        <v>3214</v>
      </c>
      <c r="D40" s="435">
        <v>100</v>
      </c>
      <c r="E40" s="2613" t="s">
        <v>3214</v>
      </c>
      <c r="F40" s="435">
        <f>SUMIF(121:121,E40,122:122)-SUMIF(121:121,C40,122:122)+100</f>
        <v>100</v>
      </c>
      <c r="G40" s="2613" t="s">
        <v>3214</v>
      </c>
      <c r="H40" s="435">
        <f>SUMIF(121:121,G40,122:122)-SUMIF(121:121,C40,122:122)+100</f>
        <v>100</v>
      </c>
      <c r="I40" s="2613" t="s">
        <v>3214</v>
      </c>
      <c r="J40" s="435">
        <f>SUMIF(121:121,I40,122:122)-SUMIF(121:121,C40,122:122)+100</f>
        <v>100</v>
      </c>
      <c r="K40" s="612">
        <v>2</v>
      </c>
      <c r="L40" s="1143"/>
      <c r="M40" s="1134"/>
      <c r="N40" s="1134"/>
      <c r="O40" s="1142"/>
      <c r="P40" s="3190"/>
      <c r="Q40" s="1813" t="str">
        <f t="shared" si="14"/>
        <v>临街宽度及深度</v>
      </c>
      <c r="R40" s="774" t="s">
        <v>17</v>
      </c>
      <c r="S40" s="775">
        <f t="shared" si="10"/>
        <v>100</v>
      </c>
      <c r="T40" s="774" t="s">
        <v>17</v>
      </c>
      <c r="U40" s="775">
        <f t="shared" si="11"/>
        <v>100</v>
      </c>
      <c r="V40" s="774" t="s">
        <v>17</v>
      </c>
      <c r="W40" s="775">
        <f t="shared" si="12"/>
        <v>100</v>
      </c>
      <c r="X40" s="1816"/>
      <c r="Y40" s="3190"/>
      <c r="Z40" s="1817" t="str">
        <f t="shared" si="13"/>
        <v>临街宽度及深度</v>
      </c>
      <c r="AA40" s="1814">
        <f t="shared" si="3"/>
        <v>1</v>
      </c>
      <c r="AB40" s="1814">
        <f t="shared" si="4"/>
        <v>1</v>
      </c>
      <c r="AC40" s="1814">
        <f t="shared" si="5"/>
        <v>1</v>
      </c>
    </row>
    <row r="41" spans="1:29" s="117" customFormat="1" ht="15">
      <c r="A41" s="473"/>
      <c r="B41" s="422" t="s">
        <v>2753</v>
      </c>
      <c r="C41" s="2700" t="s">
        <v>3159</v>
      </c>
      <c r="D41" s="136">
        <v>100</v>
      </c>
      <c r="E41" s="2700" t="s">
        <v>3172</v>
      </c>
      <c r="F41" s="435">
        <f>SUMIF(123:123,E41,124:124)-SUMIF(123:123,C41,124:124)+100</f>
        <v>99.5</v>
      </c>
      <c r="G41" s="2700" t="s">
        <v>3175</v>
      </c>
      <c r="H41" s="435">
        <f>SUMIF(123:123,G41,124:124)-SUMIF(123:123,C41,124:124)+100</f>
        <v>98</v>
      </c>
      <c r="I41" s="2700" t="s">
        <v>3173</v>
      </c>
      <c r="J41" s="435">
        <f>SUMIF(123:123,I41,124:124)-SUMIF(123:123,C41,124:124)+100</f>
        <v>99</v>
      </c>
      <c r="K41" s="612">
        <v>0.5</v>
      </c>
      <c r="L41" s="1135"/>
      <c r="M41" s="1136"/>
      <c r="N41" s="1136"/>
      <c r="O41" s="1137"/>
      <c r="P41" s="3190"/>
      <c r="Q41" s="1813" t="str">
        <f t="shared" si="14"/>
        <v>宗地开发程度</v>
      </c>
      <c r="R41" s="770" t="s">
        <v>17</v>
      </c>
      <c r="S41" s="771">
        <f t="shared" si="10"/>
        <v>99.5</v>
      </c>
      <c r="T41" s="770" t="s">
        <v>17</v>
      </c>
      <c r="U41" s="771">
        <f t="shared" si="11"/>
        <v>98</v>
      </c>
      <c r="V41" s="770" t="s">
        <v>17</v>
      </c>
      <c r="W41" s="771">
        <f t="shared" si="12"/>
        <v>99</v>
      </c>
      <c r="X41" s="772"/>
      <c r="Y41" s="3190"/>
      <c r="Z41" s="55" t="str">
        <f t="shared" si="13"/>
        <v>宗地开发程度</v>
      </c>
      <c r="AA41" s="773">
        <f t="shared" si="3"/>
        <v>1.0050251256281406</v>
      </c>
      <c r="AB41" s="773">
        <f t="shared" si="4"/>
        <v>1.0204081632653061</v>
      </c>
      <c r="AC41" s="773">
        <f t="shared" si="5"/>
        <v>1.0101010101010102</v>
      </c>
    </row>
    <row r="42" spans="1:29" ht="15">
      <c r="A42" s="472"/>
      <c r="B42" s="422" t="s">
        <v>2754</v>
      </c>
      <c r="C42" s="2613" t="s">
        <v>3162</v>
      </c>
      <c r="D42" s="435">
        <v>100</v>
      </c>
      <c r="E42" s="2613" t="s">
        <v>3162</v>
      </c>
      <c r="F42" s="435">
        <f>SUMIF(125:125,E42,126:126)-SUMIF(125:125,C42,126:126)+100</f>
        <v>100</v>
      </c>
      <c r="G42" s="2613" t="s">
        <v>3162</v>
      </c>
      <c r="H42" s="435">
        <f>SUMIF(125:125,G42,126:126)-SUMIF(125:125,C42,126:126)+100</f>
        <v>100</v>
      </c>
      <c r="I42" s="2613" t="s">
        <v>3162</v>
      </c>
      <c r="J42" s="435">
        <f>SUMIF(125:125,I42,126:126)-SUMIF(125:125,C42,126:126)+100</f>
        <v>100</v>
      </c>
      <c r="K42" s="612">
        <v>2</v>
      </c>
      <c r="L42" s="1143"/>
      <c r="M42" s="1134"/>
      <c r="N42" s="1134"/>
      <c r="O42" s="1142"/>
      <c r="P42" s="3190" t="s">
        <v>2564</v>
      </c>
      <c r="Q42" s="1813" t="str">
        <f t="shared" si="14"/>
        <v>工程地质条件</v>
      </c>
      <c r="R42" s="774" t="s">
        <v>17</v>
      </c>
      <c r="S42" s="775">
        <f t="shared" si="10"/>
        <v>100</v>
      </c>
      <c r="T42" s="774" t="s">
        <v>17</v>
      </c>
      <c r="U42" s="775">
        <f t="shared" si="11"/>
        <v>100</v>
      </c>
      <c r="V42" s="774" t="s">
        <v>17</v>
      </c>
      <c r="W42" s="775">
        <f t="shared" si="12"/>
        <v>100</v>
      </c>
      <c r="X42" s="1816"/>
      <c r="Y42" s="3190"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0"/>
      <c r="Q43" s="1813">
        <f t="shared" si="14"/>
        <v>111</v>
      </c>
      <c r="R43" s="774" t="s">
        <v>17</v>
      </c>
      <c r="S43" s="775">
        <f t="shared" si="10"/>
        <v>100</v>
      </c>
      <c r="T43" s="774" t="s">
        <v>17</v>
      </c>
      <c r="U43" s="775">
        <f t="shared" si="11"/>
        <v>100</v>
      </c>
      <c r="V43" s="774" t="s">
        <v>17</v>
      </c>
      <c r="W43" s="775">
        <f t="shared" si="12"/>
        <v>100</v>
      </c>
      <c r="X43" s="1816"/>
      <c r="Y43" s="319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0"/>
      <c r="Q44" s="1813">
        <f t="shared" si="14"/>
        <v>111</v>
      </c>
      <c r="R44" s="774" t="s">
        <v>17</v>
      </c>
      <c r="S44" s="775">
        <f t="shared" si="10"/>
        <v>100</v>
      </c>
      <c r="T44" s="774" t="s">
        <v>17</v>
      </c>
      <c r="U44" s="775">
        <f t="shared" si="11"/>
        <v>100</v>
      </c>
      <c r="V44" s="774" t="s">
        <v>17</v>
      </c>
      <c r="W44" s="775">
        <f t="shared" si="12"/>
        <v>100</v>
      </c>
      <c r="X44" s="1816"/>
      <c r="Y44" s="3190"/>
      <c r="Z44" s="1817">
        <f t="shared" si="13"/>
        <v>111</v>
      </c>
      <c r="AA44" s="1814">
        <f t="shared" si="3"/>
        <v>1</v>
      </c>
      <c r="AB44" s="1814">
        <f t="shared" si="4"/>
        <v>1</v>
      </c>
      <c r="AC44" s="1814">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0"/>
      <c r="Q45" s="1813">
        <f t="shared" si="14"/>
        <v>111</v>
      </c>
      <c r="R45" s="777" t="s">
        <v>17</v>
      </c>
      <c r="S45" s="778">
        <f t="shared" si="10"/>
        <v>100</v>
      </c>
      <c r="T45" s="777" t="s">
        <v>17</v>
      </c>
      <c r="U45" s="778">
        <f t="shared" si="11"/>
        <v>100</v>
      </c>
      <c r="V45" s="777" t="s">
        <v>17</v>
      </c>
      <c r="W45" s="778">
        <f t="shared" si="12"/>
        <v>100</v>
      </c>
      <c r="X45" s="779"/>
      <c r="Y45" s="3190"/>
      <c r="Z45" s="780">
        <f t="shared" si="13"/>
        <v>111</v>
      </c>
      <c r="AA45" s="1814">
        <f t="shared" si="3"/>
        <v>1</v>
      </c>
      <c r="AB45" s="1814">
        <f t="shared" si="4"/>
        <v>1</v>
      </c>
      <c r="AC45" s="1814">
        <f t="shared" si="5"/>
        <v>1</v>
      </c>
    </row>
    <row r="46" spans="1:29" ht="15">
      <c r="A46" s="479" t="s">
        <v>2719</v>
      </c>
      <c r="B46" s="2702" t="s">
        <v>2755</v>
      </c>
      <c r="C46" s="682" t="s">
        <v>1</v>
      </c>
      <c r="D46" s="481"/>
      <c r="E46" s="482">
        <f>ROUND(Sheet3!AB2,0)</f>
        <v>12755</v>
      </c>
      <c r="F46" s="483"/>
      <c r="G46" s="482">
        <f>ROUND(Sheet3!AB3,0)</f>
        <v>14653</v>
      </c>
      <c r="H46" s="485"/>
      <c r="I46" s="482">
        <f>ROUND(Sheet3!AB4,0)</f>
        <v>16021</v>
      </c>
      <c r="J46" s="485"/>
      <c r="K46" s="783"/>
      <c r="L46" s="1146"/>
      <c r="M46" s="1147"/>
      <c r="N46" s="1134"/>
      <c r="O46" s="1147"/>
      <c r="P46" s="3172" t="str">
        <f>A46</f>
        <v>成交单价</v>
      </c>
      <c r="Q46" s="3172"/>
      <c r="R46" s="3185">
        <f>E46</f>
        <v>12755</v>
      </c>
      <c r="S46" s="3185"/>
      <c r="T46" s="3185">
        <f>G46</f>
        <v>14653</v>
      </c>
      <c r="U46" s="3185"/>
      <c r="V46" s="3185">
        <f>I46</f>
        <v>16021</v>
      </c>
      <c r="W46" s="3185"/>
      <c r="X46" s="759"/>
      <c r="Y46" s="781"/>
      <c r="Z46" s="759"/>
      <c r="AA46" s="759"/>
      <c r="AB46" s="759"/>
      <c r="AC46" s="759"/>
    </row>
    <row r="47" spans="1:29" ht="15.75" thickBot="1">
      <c r="A47" s="486" t="s">
        <v>2668</v>
      </c>
      <c r="B47" s="683"/>
      <c r="C47" s="490">
        <f>R48</f>
        <v>10812</v>
      </c>
      <c r="D47" s="489"/>
      <c r="E47" s="490">
        <f>R47</f>
        <v>9693</v>
      </c>
      <c r="F47" s="491"/>
      <c r="G47" s="488">
        <f>T47</f>
        <v>10581</v>
      </c>
      <c r="H47" s="489"/>
      <c r="I47" s="490">
        <f>V47</f>
        <v>12162</v>
      </c>
      <c r="J47" s="489"/>
      <c r="K47" s="784"/>
      <c r="L47" s="1146"/>
      <c r="M47" s="1147"/>
      <c r="N47" s="1147"/>
      <c r="O47" s="1147"/>
      <c r="P47" s="3172" t="str">
        <f>A47</f>
        <v>比较价值（元/平方米）</v>
      </c>
      <c r="Q47" s="3172"/>
      <c r="R47" s="3191">
        <f>ROUND(PRODUCT(R46,AA7:AA45),0)</f>
        <v>9693</v>
      </c>
      <c r="S47" s="3191"/>
      <c r="T47" s="3191">
        <f>ROUND(PRODUCT(T46,AB7:AB45),0)</f>
        <v>10581</v>
      </c>
      <c r="U47" s="3191"/>
      <c r="V47" s="3191">
        <f>ROUND(PRODUCT(V46,AC7:AC45),0)</f>
        <v>12162</v>
      </c>
      <c r="W47" s="3191"/>
      <c r="X47" s="759"/>
      <c r="Y47" s="759"/>
      <c r="Z47" s="759"/>
      <c r="AA47" s="759"/>
      <c r="AB47" s="759"/>
      <c r="AC47" s="759"/>
    </row>
    <row r="48" spans="1:29" ht="15.75" thickBot="1">
      <c r="A48" s="492" t="s">
        <v>2756</v>
      </c>
      <c r="B48" s="493"/>
      <c r="C48" s="494">
        <f>R48</f>
        <v>10812</v>
      </c>
      <c r="D48" s="494"/>
      <c r="E48" s="494"/>
      <c r="F48" s="494"/>
      <c r="G48" s="494"/>
      <c r="H48" s="494"/>
      <c r="I48" s="494"/>
      <c r="J48" s="494"/>
      <c r="K48" s="785"/>
      <c r="L48" s="1146"/>
      <c r="M48" s="1147"/>
      <c r="N48" s="1147"/>
      <c r="O48" s="1147"/>
      <c r="P48" s="3192" t="str">
        <f>A48</f>
        <v>估价对象XX用房的比较价值（楼面单价，元/平方米）</v>
      </c>
      <c r="Q48" s="3193"/>
      <c r="R48" s="3194">
        <f>ROUND(AVERAGE(R47:V47),0)</f>
        <v>10812</v>
      </c>
      <c r="S48" s="3194"/>
      <c r="T48" s="3194"/>
      <c r="U48" s="3194"/>
      <c r="V48" s="3194"/>
      <c r="W48" s="319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0.31589807077272258</v>
      </c>
      <c r="F51" s="500" t="str">
        <f>IF(OR(E51&gt;=0.3,E51&lt;=-0.3),"超过30%","")</f>
        <v>超过30%</v>
      </c>
      <c r="G51" s="499">
        <f>IF(G46&lt;G47,G47/G46-1,G46/G47-1)</f>
        <v>0.38484075229184378</v>
      </c>
      <c r="H51" s="500" t="str">
        <f>IF(OR(G51&gt;=0.3,G51&lt;=-0.3),"超过30%","")</f>
        <v>超过30%</v>
      </c>
      <c r="I51" s="499">
        <f>IF(I46&lt;I47,I47/I46-1,I46/I47-1)</f>
        <v>0.31729978621937183</v>
      </c>
      <c r="J51" s="500" t="str">
        <f>IF(OR(I51&gt;=0.3,I51&lt;=-0.3),"超过30%","")</f>
        <v>超过30%</v>
      </c>
      <c r="K51" s="1108"/>
      <c r="L51" s="1109"/>
      <c r="M51" s="1147"/>
      <c r="N51" s="1147"/>
      <c r="O51" s="1147"/>
    </row>
    <row r="52" spans="1:15" ht="13.5" customHeight="1">
      <c r="A52" s="1147"/>
      <c r="B52" s="1147"/>
      <c r="C52" s="497" t="s">
        <v>2671</v>
      </c>
      <c r="D52" s="501"/>
      <c r="E52" s="499">
        <f>IF(E47&lt;G47,G47/E47-1,E47/G47-1)</f>
        <v>9.1612503868771178E-2</v>
      </c>
      <c r="F52" s="500" t="str">
        <f>IF(OR(E52&gt;=0.2,E52&lt;=-0.2),"超过20%","")</f>
        <v/>
      </c>
      <c r="G52" s="499">
        <f>IF(G47&lt;I47,I47/G47-1,G47/I47-1)</f>
        <v>0.14941876949248645</v>
      </c>
      <c r="H52" s="500" t="str">
        <f>IF(OR(G52&gt;=0.2,G52&lt;=-0.2),"超过20%","")</f>
        <v/>
      </c>
      <c r="I52" s="499">
        <f>IF(I47&lt;E47,E47/I47-1,I47/E47-1)</f>
        <v>0.25471990095945518</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0.1488043904351235</v>
      </c>
      <c r="F53" s="500" t="str">
        <f>IF(OR(E53&gt;=0.3,E53&lt;=-0.3),"超过30%","")</f>
        <v/>
      </c>
      <c r="G53" s="499">
        <f>IF(G46&lt;I46,I46/G46-1,G46/I46-1)</f>
        <v>9.3359721558725184E-2</v>
      </c>
      <c r="H53" s="500" t="str">
        <f>IF(OR(G53&gt;=0.3,G53&lt;=-0.3),"超过30%","")</f>
        <v/>
      </c>
      <c r="I53" s="499">
        <f>IF(I46&lt;E46,E46/I46-1,I46/E46-1)</f>
        <v>0.2560564484515877</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3" t="s">
        <v>2759</v>
      </c>
      <c r="D55" s="2704" t="s">
        <v>2760</v>
      </c>
      <c r="E55" s="686" t="s">
        <v>2761</v>
      </c>
      <c r="F55" s="1110" t="s">
        <v>2762</v>
      </c>
      <c r="G55" s="3173" t="s">
        <v>2763</v>
      </c>
      <c r="H55" s="3195"/>
      <c r="I55" s="144" t="s">
        <v>2764</v>
      </c>
      <c r="J55" s="2705">
        <f>项目基本情况!F35</f>
        <v>0</v>
      </c>
      <c r="K55" s="2706" t="s">
        <v>2765</v>
      </c>
      <c r="L55" s="1109"/>
      <c r="M55" s="1147"/>
      <c r="N55" s="1147"/>
      <c r="O55" s="1147"/>
    </row>
    <row r="56" spans="1:15" s="692" customFormat="1">
      <c r="A56" s="688" t="s">
        <v>2766</v>
      </c>
      <c r="B56" s="689">
        <f>C48</f>
        <v>10812</v>
      </c>
      <c r="C56" s="690">
        <v>1</v>
      </c>
      <c r="D56" s="1166">
        <v>1</v>
      </c>
      <c r="E56" s="690">
        <f>'数据-汇总表'!E8+'数据-汇总表'!E9</f>
        <v>66946.100000000006</v>
      </c>
      <c r="F56" s="1106">
        <f t="shared" ref="F56:F65" si="15">ROUND(B56*E56/10000,0)</f>
        <v>72382</v>
      </c>
      <c r="G56" s="3196"/>
      <c r="H56" s="3172"/>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97"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97"/>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97"/>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97"/>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07" t="s">
        <v>2773</v>
      </c>
      <c r="H61" s="1107">
        <f>项目基本情况!C37</f>
        <v>0</v>
      </c>
      <c r="I61" s="1111">
        <f>SUMIF(修正!A45:A56,H61,修正!F45:F56)</f>
        <v>0</v>
      </c>
      <c r="J61" s="1115"/>
      <c r="K61" s="1147"/>
      <c r="L61" s="944"/>
      <c r="M61" s="944"/>
      <c r="N61" s="944"/>
      <c r="O61" s="944"/>
    </row>
    <row r="62" spans="1:15" s="692" customFormat="1">
      <c r="A62" s="693" t="s">
        <v>2774</v>
      </c>
      <c r="B62" s="262">
        <f t="shared" si="17"/>
        <v>676</v>
      </c>
      <c r="C62" s="200">
        <f t="shared" si="16"/>
        <v>0.25</v>
      </c>
      <c r="D62" s="1167">
        <v>0.25</v>
      </c>
      <c r="E62" s="261">
        <f>'数据-汇总表'!E12</f>
        <v>10888.3</v>
      </c>
      <c r="F62" s="1106">
        <f t="shared" si="15"/>
        <v>736</v>
      </c>
      <c r="G62" s="1112" t="s">
        <v>3058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2776</v>
      </c>
      <c r="B63" s="262">
        <f t="shared" si="17"/>
        <v>541</v>
      </c>
      <c r="C63" s="200">
        <f t="shared" si="16"/>
        <v>0.2</v>
      </c>
      <c r="D63" s="1167">
        <v>0.25</v>
      </c>
      <c r="E63" s="261">
        <f>'数据-汇总表'!E13</f>
        <v>29858.400000000001</v>
      </c>
      <c r="F63" s="1106">
        <f t="shared" si="15"/>
        <v>1615</v>
      </c>
      <c r="G63" s="1112" t="s">
        <v>2777</v>
      </c>
      <c r="H63" s="1107" t="str">
        <f>IF(G63="商业",项目基本情况!B37,IF(G63="办公",项目基本情况!C37,IF(G63="住宅",项目基本情况!D37,项目基本情况!E37)))</f>
        <v>六级</v>
      </c>
      <c r="I63" s="1111">
        <f>SUMIF(修正!A45:A56,H63,修正!H45:H56)</f>
        <v>0.2</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07"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08"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107692.80000000002</v>
      </c>
      <c r="F66" s="697">
        <f>IF(B46="楼面地价",SUM(F56:F65),ROUND(C48*E66/10000,0))</f>
        <v>74733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09" t="s">
        <v>2781</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0" t="s">
        <v>2782</v>
      </c>
      <c r="B71" s="332" t="str">
        <f>"北京市平均增长率"&amp;TEXT(SUMIF(基准地价修正!N21:N25,A71,基准地价修正!P21:P25),"0.00%")</f>
        <v>北京市平均增长率2.45%</v>
      </c>
      <c r="C71" s="603">
        <v>100</v>
      </c>
      <c r="D71" s="595">
        <f>C71-0.5</f>
        <v>99.5</v>
      </c>
      <c r="E71" s="595">
        <f t="shared" ref="E71:I71" si="20">D71-0.5</f>
        <v>99</v>
      </c>
      <c r="F71" s="595">
        <f t="shared" si="20"/>
        <v>98.5</v>
      </c>
      <c r="G71" s="595">
        <f t="shared" si="20"/>
        <v>98</v>
      </c>
      <c r="H71" s="595">
        <f t="shared" si="20"/>
        <v>97.5</v>
      </c>
      <c r="I71" s="595">
        <f t="shared" si="20"/>
        <v>97</v>
      </c>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52" t="s">
        <v>3222</v>
      </c>
      <c r="D75" s="2952" t="s">
        <v>3223</v>
      </c>
      <c r="E75" s="2952" t="s">
        <v>3197</v>
      </c>
      <c r="F75" s="530"/>
      <c r="G75" s="530"/>
      <c r="H75" s="530"/>
      <c r="I75" s="530"/>
      <c r="J75" s="530"/>
      <c r="K75" s="531"/>
      <c r="L75" s="532"/>
      <c r="M75" s="533"/>
      <c r="N75" s="1155"/>
      <c r="O75" s="1155"/>
      <c r="P75" s="45"/>
      <c r="Q75" s="504"/>
    </row>
    <row r="76" spans="1:17" ht="15.75" thickBot="1">
      <c r="A76" s="534"/>
      <c r="B76" s="535"/>
      <c r="C76" s="536">
        <v>100</v>
      </c>
      <c r="D76" s="536">
        <v>98</v>
      </c>
      <c r="E76" s="536">
        <v>96</v>
      </c>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5.75" thickTop="1">
      <c r="A82" s="553"/>
      <c r="B82" s="538" t="str">
        <f>B12</f>
        <v>配建</v>
      </c>
      <c r="C82" s="2959" t="s">
        <v>3200</v>
      </c>
      <c r="D82" s="2958" t="s">
        <v>3199</v>
      </c>
      <c r="E82" s="554"/>
      <c r="F82" s="554"/>
      <c r="G82" s="554"/>
      <c r="H82" s="555"/>
      <c r="I82" s="555"/>
      <c r="J82" s="555"/>
      <c r="K82" s="555"/>
      <c r="L82" s="556"/>
      <c r="M82" s="557"/>
      <c r="N82" s="1157"/>
      <c r="O82" s="1157"/>
      <c r="P82" s="558"/>
      <c r="Q82" s="559"/>
    </row>
    <row r="83" spans="1:17" s="471" customFormat="1" ht="15.75" thickBot="1">
      <c r="A83" s="553"/>
      <c r="B83" s="543"/>
      <c r="C83" s="560">
        <v>100</v>
      </c>
      <c r="D83" s="536">
        <v>70</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7.75" thickTop="1">
      <c r="A106" s="534"/>
      <c r="B106" s="538" t="s">
        <v>2690</v>
      </c>
      <c r="C106" s="2951" t="s">
        <v>3202</v>
      </c>
      <c r="D106" s="2951" t="s">
        <v>3203</v>
      </c>
      <c r="E106" s="2951" t="s">
        <v>3204</v>
      </c>
      <c r="F106" s="2951" t="s">
        <v>3205</v>
      </c>
      <c r="G106" s="2951" t="s">
        <v>3207</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0(含)-30000</v>
      </c>
      <c r="D116" s="529" t="str">
        <f t="shared" ref="D116:M116" si="26">D117&amp;"(含)"&amp;"-"&amp;E117</f>
        <v>30000(含)-60000</v>
      </c>
      <c r="E116" s="529" t="str">
        <f t="shared" si="26"/>
        <v>60000(含)-90000</v>
      </c>
      <c r="F116" s="529" t="str">
        <f t="shared" si="26"/>
        <v>90000(含)-120000</v>
      </c>
      <c r="G116" s="529" t="str">
        <f t="shared" si="26"/>
        <v>120000(含)-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5"/>
      <c r="O117" s="1155"/>
      <c r="P117" s="45"/>
      <c r="Q117" s="504"/>
    </row>
    <row r="118" spans="1:17" ht="15.75" thickBot="1">
      <c r="A118" s="534"/>
      <c r="B118" s="543"/>
      <c r="C118" s="570">
        <v>100</v>
      </c>
      <c r="D118" s="591">
        <f>C118+2</f>
        <v>102</v>
      </c>
      <c r="E118" s="591">
        <f t="shared" ref="E118:G118" si="27">D118+2</f>
        <v>104</v>
      </c>
      <c r="F118" s="591">
        <f t="shared" si="27"/>
        <v>106</v>
      </c>
      <c r="G118" s="591">
        <f t="shared" si="27"/>
        <v>108</v>
      </c>
      <c r="H118" s="591"/>
      <c r="I118" s="591"/>
      <c r="J118" s="591"/>
      <c r="K118" s="591"/>
      <c r="L118" s="591"/>
      <c r="M118" s="592"/>
      <c r="N118" s="1156"/>
      <c r="O118" s="1156"/>
      <c r="P118" s="45"/>
      <c r="Q118" s="504"/>
    </row>
    <row r="119" spans="1:17" ht="15" thickTop="1">
      <c r="A119" s="599"/>
      <c r="B119" s="538" t="s">
        <v>2791</v>
      </c>
      <c r="C119" s="2953" t="s">
        <v>3208</v>
      </c>
      <c r="D119" s="2953" t="s">
        <v>3210</v>
      </c>
      <c r="E119" s="2953" t="s">
        <v>3211</v>
      </c>
      <c r="F119" s="2953" t="s">
        <v>3212</v>
      </c>
      <c r="G119" s="583"/>
      <c r="H119" s="583"/>
      <c r="I119" s="583"/>
      <c r="J119" s="583"/>
      <c r="K119" s="584"/>
      <c r="L119" s="585"/>
      <c r="M119" s="586"/>
      <c r="N119" s="1155"/>
      <c r="O119" s="1155"/>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6"/>
      <c r="O120" s="1156"/>
      <c r="P120" s="45"/>
      <c r="Q120" s="504"/>
    </row>
    <row r="121" spans="1:17" ht="15" thickTop="1">
      <c r="A121" s="599"/>
      <c r="B121" s="538" t="s">
        <v>2792</v>
      </c>
      <c r="C121" s="2951" t="s">
        <v>3213</v>
      </c>
      <c r="D121" s="2951" t="s">
        <v>3215</v>
      </c>
      <c r="E121" s="2951" t="s">
        <v>3216</v>
      </c>
      <c r="F121" s="2953" t="s">
        <v>3217</v>
      </c>
      <c r="G121" s="583"/>
      <c r="H121" s="583"/>
      <c r="I121" s="583"/>
      <c r="J121" s="583"/>
      <c r="K121" s="584"/>
      <c r="L121" s="585"/>
      <c r="M121" s="586"/>
      <c r="N121" s="1155"/>
      <c r="O121" s="1155"/>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6"/>
      <c r="O122" s="1156"/>
      <c r="P122" s="45"/>
      <c r="Q122" s="504"/>
    </row>
    <row r="123" spans="1:17" s="471" customFormat="1" ht="15" thickTop="1">
      <c r="A123" s="593"/>
      <c r="B123" s="538" t="s">
        <v>2793</v>
      </c>
      <c r="C123" s="554" t="s">
        <v>3159</v>
      </c>
      <c r="D123" s="554" t="s">
        <v>3172</v>
      </c>
      <c r="E123" s="554" t="s">
        <v>3173</v>
      </c>
      <c r="F123" s="554" t="s">
        <v>3174</v>
      </c>
      <c r="G123" s="554" t="s">
        <v>3175</v>
      </c>
      <c r="H123" s="583"/>
      <c r="I123" s="583"/>
      <c r="J123" s="583"/>
      <c r="K123" s="584"/>
      <c r="L123" s="585"/>
      <c r="M123" s="586"/>
      <c r="N123" s="1157"/>
      <c r="O123" s="1157"/>
      <c r="P123" s="558"/>
      <c r="Q123" s="559"/>
    </row>
    <row r="124" spans="1:17" s="471" customFormat="1" ht="15.75" thickBot="1">
      <c r="A124" s="553"/>
      <c r="B124" s="543"/>
      <c r="C124" s="544">
        <v>100</v>
      </c>
      <c r="D124" s="544">
        <f>C124-$K41</f>
        <v>99.5</v>
      </c>
      <c r="E124" s="544">
        <f t="shared" ref="E124:M124" si="30">D124-$K41</f>
        <v>99</v>
      </c>
      <c r="F124" s="544">
        <f t="shared" si="30"/>
        <v>98.5</v>
      </c>
      <c r="G124" s="544">
        <f t="shared" si="30"/>
        <v>98</v>
      </c>
      <c r="H124" s="544">
        <f t="shared" si="30"/>
        <v>97.5</v>
      </c>
      <c r="I124" s="544">
        <f t="shared" si="30"/>
        <v>97</v>
      </c>
      <c r="J124" s="544">
        <f t="shared" si="30"/>
        <v>96.5</v>
      </c>
      <c r="K124" s="544">
        <f t="shared" si="30"/>
        <v>96</v>
      </c>
      <c r="L124" s="544">
        <f t="shared" si="30"/>
        <v>95.5</v>
      </c>
      <c r="M124" s="545">
        <f t="shared" si="30"/>
        <v>95</v>
      </c>
      <c r="N124" s="1157"/>
      <c r="O124" s="1157"/>
      <c r="P124" s="558"/>
      <c r="Q124" s="559"/>
    </row>
    <row r="125" spans="1:17" ht="15" thickTop="1">
      <c r="A125" s="599"/>
      <c r="B125" s="538" t="s">
        <v>2794</v>
      </c>
      <c r="C125" s="554" t="s">
        <v>3218</v>
      </c>
      <c r="D125" s="554" t="s">
        <v>3162</v>
      </c>
      <c r="E125" s="583" t="s">
        <v>3163</v>
      </c>
      <c r="F125" s="583" t="s">
        <v>3187</v>
      </c>
      <c r="G125" s="583" t="s">
        <v>3219</v>
      </c>
      <c r="H125" s="583"/>
      <c r="I125" s="583"/>
      <c r="J125" s="583"/>
      <c r="K125" s="584"/>
      <c r="L125" s="585"/>
      <c r="M125" s="586"/>
      <c r="N125" s="1155"/>
      <c r="O125" s="1155"/>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9" t="str">
        <f>项目基本情况!B1</f>
        <v>北京市通州区潞河镇（武夷花园东区）限价住宅及地下车库用房房地产市场价值房地产市场价值预评估</v>
      </c>
      <c r="C37" s="2969"/>
      <c r="D37" s="2969"/>
      <c r="E37" s="2969"/>
      <c r="F37" s="2969"/>
      <c r="G37" s="2969"/>
      <c r="H37" s="2969"/>
      <c r="I37" s="2969"/>
    </row>
    <row r="38" spans="1:9">
      <c r="A38" s="1019"/>
      <c r="B38" s="1019"/>
    </row>
    <row r="39" spans="1:9">
      <c r="A39" s="1017" t="s">
        <v>818</v>
      </c>
      <c r="B39" s="1017" t="s">
        <v>820</v>
      </c>
    </row>
    <row r="40" spans="1:9">
      <c r="A40" s="1017"/>
      <c r="B40" s="1945" t="str">
        <f>项目基本情况!B5</f>
        <v>北京市保障性住房建设投资中心</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9" sqref="E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3074</v>
      </c>
      <c r="C1" s="242"/>
      <c r="D1" s="242"/>
      <c r="E1" s="242"/>
      <c r="F1" s="242"/>
      <c r="G1" s="1382">
        <f>MATCH(B1,'数据-取费表'!A6:A16,0)+5</f>
        <v>6</v>
      </c>
    </row>
    <row r="2" spans="1:9" s="244" customFormat="1" ht="18" customHeight="1">
      <c r="A2" s="245" t="s">
        <v>2326</v>
      </c>
      <c r="B2" s="246">
        <f ca="1">IF(D2="——",C52,C52-E2)</f>
        <v>114159</v>
      </c>
      <c r="C2" s="243" t="s">
        <v>2327</v>
      </c>
      <c r="D2" s="2548" t="s">
        <v>70</v>
      </c>
      <c r="E2" s="1443"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17052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75661</v>
      </c>
      <c r="D5" s="255" t="s">
        <v>2333</v>
      </c>
      <c r="E5" s="256" t="s">
        <v>2334</v>
      </c>
      <c r="F5" s="256" t="s">
        <v>2335</v>
      </c>
      <c r="G5" s="257"/>
    </row>
    <row r="6" spans="1:9" s="258" customFormat="1" ht="13.5" customHeight="1">
      <c r="A6" s="952" t="s">
        <v>2336</v>
      </c>
      <c r="B6" s="259" t="s">
        <v>2337</v>
      </c>
      <c r="C6" s="260">
        <f>'土地比较法-住宅、综合'!F56</f>
        <v>72382</v>
      </c>
      <c r="D6" s="261"/>
      <c r="E6" s="262"/>
      <c r="F6" s="262"/>
      <c r="G6" s="263"/>
    </row>
    <row r="7" spans="1:9" s="258" customFormat="1" ht="13.5" customHeight="1">
      <c r="A7" s="952" t="s">
        <v>2338</v>
      </c>
      <c r="B7" s="259" t="s">
        <v>2339</v>
      </c>
      <c r="C7" s="264">
        <f>ROUND(C6*F7,0)</f>
        <v>2208</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1071</v>
      </c>
      <c r="D8" s="266"/>
      <c r="E8" s="264"/>
      <c r="F8" s="265"/>
      <c r="G8" s="2551" t="s">
        <v>3238</v>
      </c>
    </row>
    <row r="9" spans="1:9" s="258" customFormat="1" ht="13.5" customHeight="1">
      <c r="A9" s="953" t="s">
        <v>800</v>
      </c>
      <c r="B9" s="268" t="s">
        <v>2342</v>
      </c>
      <c r="C9" s="269">
        <f ca="1">ROUND(D9*E9/10000,0)</f>
        <v>1071</v>
      </c>
      <c r="D9" s="1035">
        <f ca="1">IF(B1="",'数据-汇总表'!E5,IF(INDIRECT("'数据-取费表'!c"&amp;$G$1)="住宅",INDIRECT("'数据-取费表'!k"&amp;$G$1),0))</f>
        <v>66946.100000000006</v>
      </c>
      <c r="E9" s="269">
        <f>'数据-取费表'!B27</f>
        <v>160</v>
      </c>
      <c r="F9" s="265"/>
      <c r="G9" s="2552" t="s">
        <v>3239</v>
      </c>
      <c r="H9" s="1393">
        <v>1071</v>
      </c>
      <c r="I9" s="2553" t="s">
        <v>2343</v>
      </c>
    </row>
    <row r="10" spans="1:9" s="258" customFormat="1" ht="13.5" customHeight="1">
      <c r="A10" s="953" t="s">
        <v>801</v>
      </c>
      <c r="B10" s="268" t="s">
        <v>2344</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66946.100000000006</v>
      </c>
      <c r="E19" s="255">
        <f>'数据-取费表'!B31</f>
        <v>150</v>
      </c>
      <c r="F19" s="275"/>
      <c r="G19" s="2551" t="s">
        <v>3240</v>
      </c>
    </row>
    <row r="20" spans="1:7" s="258" customFormat="1" ht="13.5" customHeight="1">
      <c r="A20" s="299" t="s">
        <v>2357</v>
      </c>
      <c r="B20" s="254" t="s">
        <v>2358</v>
      </c>
      <c r="C20" s="276">
        <f>ROUND((C5+C19)*F20,0)</f>
        <v>757</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5481</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5454</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27</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2293</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2293</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89862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21154</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18745</v>
      </c>
      <c r="D34" s="261"/>
      <c r="E34" s="264"/>
      <c r="F34" s="301">
        <f ca="1">IF('数据-取费表'!B24=0,1,IF(B1="",'数据-取费表'!N16,INDIRECT("'数据-取费表'!n"&amp;$G$1)))</f>
        <v>1</v>
      </c>
      <c r="G34" s="263" t="s">
        <v>2390</v>
      </c>
    </row>
    <row r="35" spans="1:7" ht="13.5" customHeight="1">
      <c r="A35" s="954" t="s">
        <v>796</v>
      </c>
      <c r="B35" s="259" t="s">
        <v>2391</v>
      </c>
      <c r="C35" s="264">
        <f ca="1">ROUND(C34*F35,0)</f>
        <v>562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562</v>
      </c>
      <c r="D36" s="264"/>
      <c r="E36" s="264"/>
      <c r="F36" s="303">
        <f>'数据-取费表'!B34</f>
        <v>0.03</v>
      </c>
      <c r="G36" s="304" t="s">
        <v>2394</v>
      </c>
    </row>
    <row r="37" spans="1:7" s="302" customFormat="1" ht="13.5" customHeight="1">
      <c r="A37" s="954" t="s">
        <v>798</v>
      </c>
      <c r="B37" s="259" t="s">
        <v>2395</v>
      </c>
      <c r="C37" s="293">
        <f ca="1">ROUND(E37*D37*F34/10000,0)</f>
        <v>1004</v>
      </c>
      <c r="D37" s="261">
        <f ca="1">D19</f>
        <v>66946.100000000006</v>
      </c>
      <c r="E37" s="293">
        <f>'数据-取费表'!B35</f>
        <v>150</v>
      </c>
      <c r="F37" s="303"/>
      <c r="G37" s="305" t="s">
        <v>2396</v>
      </c>
    </row>
    <row r="38" spans="1:7" ht="13.5" customHeight="1">
      <c r="A38" s="954" t="s">
        <v>799</v>
      </c>
      <c r="B38" s="259" t="s">
        <v>2397</v>
      </c>
      <c r="C38" s="264">
        <f ca="1">ROUND(C34*F38,0)</f>
        <v>281</v>
      </c>
      <c r="D38" s="264"/>
      <c r="E38" s="264"/>
      <c r="F38" s="303">
        <f>'数据-取费表'!B36</f>
        <v>1.4999999999999999E-2</v>
      </c>
      <c r="G38" s="263" t="s">
        <v>2392</v>
      </c>
    </row>
    <row r="39" spans="1:7" s="258" customFormat="1" ht="13.5" customHeight="1">
      <c r="A39" s="299" t="s">
        <v>2398</v>
      </c>
      <c r="B39" s="254" t="s">
        <v>2399</v>
      </c>
      <c r="C39" s="276">
        <f ca="1">ROUND(C33*F20,0)</f>
        <v>212</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757</v>
      </c>
      <c r="D41" s="279">
        <f ca="1">C44</f>
        <v>4.0000000000000002E-4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749</v>
      </c>
      <c r="D42" s="282"/>
      <c r="E42" s="282"/>
      <c r="F42" s="283"/>
      <c r="G42" s="3198" t="s">
        <v>2408</v>
      </c>
    </row>
    <row r="43" spans="1:7" ht="13.5" customHeight="1">
      <c r="A43" s="954" t="s">
        <v>792</v>
      </c>
      <c r="B43" s="259" t="s">
        <v>2409</v>
      </c>
      <c r="C43" s="282">
        <f ca="1">ROUND(IF('数据-取费表'!B22&lt;=1,C39*F22*'数据-取费表'!B21/2,C39*(POWER((1+F22),'数据-取费表'!B21/2)-1)),0)</f>
        <v>8</v>
      </c>
      <c r="D43" s="282"/>
      <c r="E43" s="282"/>
      <c r="F43" s="283"/>
      <c r="G43" s="3199"/>
    </row>
    <row r="44" spans="1:7" ht="13.5" customHeight="1">
      <c r="A44" s="954" t="s">
        <v>793</v>
      </c>
      <c r="B44" s="259" t="s">
        <v>2410</v>
      </c>
      <c r="C44" s="282">
        <f ca="1">ROUND(IF('数据-取费表'!B22&lt;=1,C40*F22*'数据-取费表'!B21/2,C40*(POWER((1+F22),'数据-取费表'!B21/2)-1)),4)</f>
        <v>4.0000000000000002E-4</v>
      </c>
      <c r="D44" s="282"/>
      <c r="E44" s="282"/>
      <c r="F44" s="283"/>
      <c r="G44" s="3200"/>
    </row>
    <row r="45" spans="1:7" s="258" customFormat="1" ht="13.5" customHeight="1">
      <c r="A45" s="299" t="s">
        <v>2411</v>
      </c>
      <c r="B45" s="288" t="s">
        <v>2377</v>
      </c>
      <c r="C45" s="289">
        <f ca="1">C46</f>
        <v>641</v>
      </c>
      <c r="D45" s="279">
        <f ca="1">C47</f>
        <v>2.9999999999999997E-4</v>
      </c>
      <c r="E45" s="280" t="s">
        <v>2403</v>
      </c>
      <c r="F45" s="290"/>
      <c r="G45" s="291" t="s">
        <v>2412</v>
      </c>
    </row>
    <row r="46" spans="1:7" s="258" customFormat="1" ht="13.5" customHeight="1">
      <c r="A46" s="954" t="s">
        <v>791</v>
      </c>
      <c r="B46" s="292" t="s">
        <v>2413</v>
      </c>
      <c r="C46" s="293">
        <f ca="1">ROUND((C33+C39)*F27,0)</f>
        <v>641</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24297</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24297</v>
      </c>
      <c r="D51" s="276"/>
      <c r="E51" s="276"/>
      <c r="F51" s="308"/>
      <c r="G51" s="278" t="s">
        <v>2424</v>
      </c>
    </row>
    <row r="52" spans="1:7" s="252" customFormat="1" ht="16.5" thickBot="1">
      <c r="A52" s="309" t="s">
        <v>2425</v>
      </c>
      <c r="B52" s="310"/>
      <c r="C52" s="311">
        <f ca="1">C31+C51</f>
        <v>114159</v>
      </c>
      <c r="D52" s="310"/>
      <c r="E52" s="310"/>
      <c r="F52" s="310"/>
      <c r="G52" s="312"/>
    </row>
    <row r="55" spans="1:7" ht="15">
      <c r="B55" s="314" t="s">
        <v>2426</v>
      </c>
      <c r="C55" s="315"/>
    </row>
    <row r="56" spans="1:7">
      <c r="B56" s="317" t="s">
        <v>1513</v>
      </c>
      <c r="C56" s="319">
        <f ca="1">1-C57</f>
        <v>0.78700000000000003</v>
      </c>
    </row>
    <row r="57" spans="1:7">
      <c r="B57" s="317" t="s">
        <v>1514</v>
      </c>
      <c r="C57" s="318">
        <f ca="1">ROUND(C51/C52,3)</f>
        <v>0.21299999999999999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4" t="s">
        <v>2427</v>
      </c>
      <c r="D1" s="242"/>
      <c r="E1" s="242"/>
      <c r="F1" s="242"/>
      <c r="G1" s="1382">
        <f>MATCH(B1,'数据-取费表'!A6:A16,0)+5</f>
        <v>9</v>
      </c>
      <c r="H1" s="1285" t="str">
        <f>IF(ISERROR(FIND("住宅",B1)),"非住宅","住宅")</f>
        <v>非住宅</v>
      </c>
    </row>
    <row r="2" spans="1:8" s="244" customFormat="1" ht="18" customHeight="1">
      <c r="A2" s="245" t="s">
        <v>2326</v>
      </c>
      <c r="B2" s="246">
        <f ca="1">ROUND(IF(D2="——",C52/10000,C52/10000-E2),0)</f>
        <v>39917</v>
      </c>
      <c r="C2" s="243" t="s">
        <v>2327</v>
      </c>
      <c r="D2" s="2548" t="s">
        <v>70</v>
      </c>
      <c r="E2" s="1443"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3707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18860716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18860716</v>
      </c>
      <c r="D8" s="266"/>
      <c r="E8" s="264"/>
      <c r="F8" s="265"/>
      <c r="G8" s="2551"/>
    </row>
    <row r="9" spans="1:8" s="258" customFormat="1" ht="13.5" customHeight="1">
      <c r="A9" s="953" t="s">
        <v>800</v>
      </c>
      <c r="B9" s="268" t="s">
        <v>2342</v>
      </c>
      <c r="C9" s="269">
        <f ca="1">ROUND(D9*E9,0)</f>
        <v>10711376</v>
      </c>
      <c r="D9" s="1035">
        <f ca="1">IF(B1="",'数据-汇总表'!E5,IF(INDIRECT("'数据-取费表'!c"&amp;$G$1)="住宅",INDIRECT("'数据-取费表'!k"&amp;$G$1),0))</f>
        <v>66946.100000000006</v>
      </c>
      <c r="E9" s="269">
        <f>'数据-取费表'!B27</f>
        <v>160</v>
      </c>
      <c r="F9" s="265"/>
      <c r="G9" s="270"/>
    </row>
    <row r="10" spans="1:8" s="258" customFormat="1" ht="13.5" customHeight="1">
      <c r="A10" s="953" t="s">
        <v>801</v>
      </c>
      <c r="B10" s="268" t="s">
        <v>2344</v>
      </c>
      <c r="C10" s="269">
        <f ca="1">ROUND(D10*E10,0)</f>
        <v>8149340</v>
      </c>
      <c r="D10" s="1035">
        <f ca="1">IF(B1="",'数据-汇总表'!E6,IF(INDIRECT("'数据-取费表'!c"&amp;$G$1)="住宅",INDIRECT("'数据-取费表'!s"&amp;$G$1),INDIRECT("'数据-取费表'!k"&amp;$G$1)+INDIRECT("'数据-取费表'!s"&amp;$G$1)))</f>
        <v>40746.699999999997</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16153920</v>
      </c>
      <c r="D19" s="1039">
        <f ca="1">D9+D10</f>
        <v>107692.8</v>
      </c>
      <c r="E19" s="255">
        <f>'数据-取费表'!B31</f>
        <v>150</v>
      </c>
      <c r="F19" s="275"/>
      <c r="G19" s="2551"/>
    </row>
    <row r="20" spans="1:7" s="258" customFormat="1" ht="13.5" customHeight="1">
      <c r="A20" s="299" t="s">
        <v>2438</v>
      </c>
      <c r="B20" s="254" t="s">
        <v>2439</v>
      </c>
      <c r="C20" s="276">
        <f ca="1">ROUND((C5+C19)*F20,0)</f>
        <v>350146</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3">
        <f ca="1">ROUND(SUM(C23:C25),0)</f>
        <v>2536589</v>
      </c>
      <c r="D22" s="279">
        <f ca="1">C26</f>
        <v>4.0000000000000002E-4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1359660</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1164528</v>
      </c>
      <c r="D24" s="282"/>
      <c r="E24" s="282"/>
      <c r="F24" s="283"/>
      <c r="G24" s="284" t="s">
        <v>2450</v>
      </c>
    </row>
    <row r="25" spans="1:7" s="258" customFormat="1" ht="24">
      <c r="A25" s="954" t="s">
        <v>2340</v>
      </c>
      <c r="B25" s="259" t="s">
        <v>2451</v>
      </c>
      <c r="C25" s="1384">
        <f ca="1">ROUND(IF('数据-取费表'!B22&lt;=1,C20*F22*'数据-取费表'!B22/2,C20*(POWER((1+F22),'数据-取费表'!B22/2)-1)),0)</f>
        <v>12401</v>
      </c>
      <c r="D25" s="282"/>
      <c r="E25" s="285"/>
      <c r="F25" s="283"/>
      <c r="G25" s="286" t="s">
        <v>2452</v>
      </c>
    </row>
    <row r="26" spans="1:7" s="258" customFormat="1">
      <c r="A26" s="954"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1060943</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ROUND((C5+C19+C20)*F27,0)</f>
        <v>1060943</v>
      </c>
      <c r="D28" s="279"/>
      <c r="E28" s="280"/>
      <c r="F28" s="290"/>
      <c r="G28" s="291"/>
    </row>
    <row r="29" spans="1:7" s="258" customFormat="1" ht="13.5" customHeight="1">
      <c r="A29" s="954" t="s">
        <v>792</v>
      </c>
      <c r="B29" s="292" t="s">
        <v>2381</v>
      </c>
      <c r="C29" s="282">
        <f ca="1">ROUND(C21*F27,4)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41586417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311338344</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277091820</v>
      </c>
      <c r="D34" s="261"/>
      <c r="E34" s="264"/>
      <c r="F34" s="301"/>
      <c r="G34" s="263"/>
    </row>
    <row r="35" spans="1:7" ht="13.5" customHeight="1">
      <c r="A35" s="954" t="s">
        <v>796</v>
      </c>
      <c r="B35" s="259" t="s">
        <v>2391</v>
      </c>
      <c r="C35" s="264">
        <f ca="1">ROUND(C34*F35,0)</f>
        <v>8312755</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5623472</v>
      </c>
      <c r="D36" s="264"/>
      <c r="E36" s="264"/>
      <c r="F36" s="303">
        <f>'数据-取费表'!B34</f>
        <v>0.03</v>
      </c>
      <c r="G36" s="304" t="s">
        <v>2394</v>
      </c>
    </row>
    <row r="37" spans="1:7" s="302" customFormat="1" ht="13.5" customHeight="1">
      <c r="A37" s="954" t="s">
        <v>798</v>
      </c>
      <c r="B37" s="259" t="s">
        <v>2395</v>
      </c>
      <c r="C37" s="293">
        <f ca="1">ROUND(E37*D37,0)</f>
        <v>16153920</v>
      </c>
      <c r="D37" s="261">
        <f ca="1">D19</f>
        <v>107692.8</v>
      </c>
      <c r="E37" s="293">
        <f>'数据-取费表'!B35</f>
        <v>150</v>
      </c>
      <c r="F37" s="303"/>
      <c r="G37" s="305"/>
    </row>
    <row r="38" spans="1:7" ht="13.5" customHeight="1">
      <c r="A38" s="954" t="s">
        <v>799</v>
      </c>
      <c r="B38" s="259" t="s">
        <v>2397</v>
      </c>
      <c r="C38" s="264">
        <f ca="1">ROUND(C34*F38,0)</f>
        <v>4156377</v>
      </c>
      <c r="D38" s="264"/>
      <c r="E38" s="264"/>
      <c r="F38" s="303">
        <f>'数据-取费表'!B36</f>
        <v>1.4999999999999999E-2</v>
      </c>
      <c r="G38" s="263" t="s">
        <v>2392</v>
      </c>
    </row>
    <row r="39" spans="1:7" s="258" customFormat="1" ht="13.5" customHeight="1">
      <c r="A39" s="299" t="s">
        <v>2398</v>
      </c>
      <c r="B39" s="254" t="s">
        <v>2399</v>
      </c>
      <c r="C39" s="276">
        <f ca="1">ROUND(C33*F20,0)</f>
        <v>3113383</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11137111</v>
      </c>
      <c r="D41" s="279">
        <f ca="1">C44</f>
        <v>4.0000000000000002E-4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11026843</v>
      </c>
      <c r="D42" s="282"/>
      <c r="E42" s="282"/>
      <c r="F42" s="283"/>
      <c r="G42" s="3198" t="s">
        <v>2455</v>
      </c>
    </row>
    <row r="43" spans="1:7" ht="13.5" customHeight="1">
      <c r="A43" s="954" t="s">
        <v>792</v>
      </c>
      <c r="B43" s="259" t="s">
        <v>2409</v>
      </c>
      <c r="C43" s="282">
        <f ca="1">ROUND(IF('数据-取费表'!B22&lt;=1,C39*F22*'数据-取费表'!B20/2,C39*(POWER((1+F22),'数据-取费表'!B20/2)-1)),0)</f>
        <v>110268</v>
      </c>
      <c r="D43" s="282"/>
      <c r="E43" s="282"/>
      <c r="F43" s="283"/>
      <c r="G43" s="3199"/>
    </row>
    <row r="44" spans="1:7" ht="13.5" customHeight="1">
      <c r="A44" s="954" t="s">
        <v>793</v>
      </c>
      <c r="B44" s="259" t="s">
        <v>2410</v>
      </c>
      <c r="C44" s="282">
        <f ca="1">ROUND(IF('数据-取费表'!B22&lt;=1,C40*F22*'数据-取费表'!B20/2,C40*(POWER((1+F22),'数据-取费表'!B20/2)-1)),4)</f>
        <v>4.0000000000000002E-4</v>
      </c>
      <c r="D44" s="282"/>
      <c r="E44" s="282"/>
      <c r="F44" s="283"/>
      <c r="G44" s="3200"/>
    </row>
    <row r="45" spans="1:7" s="258" customFormat="1" ht="13.5" customHeight="1">
      <c r="A45" s="299" t="s">
        <v>2411</v>
      </c>
      <c r="B45" s="288" t="s">
        <v>2377</v>
      </c>
      <c r="C45" s="289">
        <f ca="1">C46</f>
        <v>9433552</v>
      </c>
      <c r="D45" s="279">
        <f ca="1">C47</f>
        <v>2.9999999999999997E-4</v>
      </c>
      <c r="E45" s="280" t="s">
        <v>2403</v>
      </c>
      <c r="F45" s="290"/>
      <c r="G45" s="291" t="s">
        <v>2412</v>
      </c>
    </row>
    <row r="46" spans="1:7" s="258" customFormat="1" ht="13.5" customHeight="1">
      <c r="A46" s="954" t="s">
        <v>791</v>
      </c>
      <c r="B46" s="292" t="s">
        <v>2413</v>
      </c>
      <c r="C46" s="293">
        <f ca="1">ROUND((C33+C39)*F27,0)</f>
        <v>9433552</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357586071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357586071</v>
      </c>
      <c r="D51" s="276"/>
      <c r="E51" s="276"/>
      <c r="F51" s="308"/>
      <c r="G51" s="278" t="s">
        <v>2424</v>
      </c>
    </row>
    <row r="52" spans="1:7" s="252" customFormat="1" ht="16.5" thickBot="1">
      <c r="A52" s="309" t="s">
        <v>2425</v>
      </c>
      <c r="B52" s="310"/>
      <c r="C52" s="311">
        <f ca="1">C31+C51</f>
        <v>399172488</v>
      </c>
      <c r="D52" s="310"/>
      <c r="E52" s="310"/>
      <c r="F52" s="310"/>
      <c r="G52" s="312"/>
    </row>
    <row r="55" spans="1:7" ht="15">
      <c r="B55" s="314" t="s">
        <v>2426</v>
      </c>
      <c r="C55" s="315"/>
    </row>
    <row r="56" spans="1:7">
      <c r="B56" s="317" t="s">
        <v>1513</v>
      </c>
      <c r="C56" s="319">
        <f ca="1">1-C57</f>
        <v>0.10399999999999998</v>
      </c>
    </row>
    <row r="57" spans="1:7">
      <c r="B57" s="317" t="s">
        <v>1514</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9</v>
      </c>
    </row>
    <row r="2" spans="1:33" ht="18" customHeight="1">
      <c r="A2" s="245" t="s">
        <v>2326</v>
      </c>
      <c r="B2" s="248">
        <f ca="1">C32</f>
        <v>-1907</v>
      </c>
      <c r="C2" s="320" t="s">
        <v>2459</v>
      </c>
      <c r="D2" s="320"/>
      <c r="E2" s="320"/>
      <c r="F2" s="320"/>
      <c r="G2" s="320"/>
      <c r="H2" s="320"/>
      <c r="I2" s="320"/>
      <c r="J2" s="320"/>
      <c r="K2" s="320"/>
    </row>
    <row r="3" spans="1:33" ht="18" customHeight="1" thickBot="1">
      <c r="A3" s="247" t="s">
        <v>2328</v>
      </c>
      <c r="B3" s="248">
        <f ca="1">ROUND(B2*10000/IF(C1="",'数据-汇总表'!E3,INDIRECT("'数据-取费表'!K"&amp;$K$1)),0)</f>
        <v>-177</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5" t="s">
        <v>2464</v>
      </c>
      <c r="D5" s="2555" t="s">
        <v>2465</v>
      </c>
      <c r="E5" s="2555" t="s">
        <v>2466</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29858.400000000001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0.03</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107692.8</v>
      </c>
      <c r="E14" s="24">
        <f>'数据-取费表'!B35</f>
        <v>150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107692.8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1886</v>
      </c>
      <c r="D18" s="1036"/>
      <c r="E18" s="24"/>
      <c r="F18" s="979"/>
      <c r="G18" s="2557"/>
      <c r="H18" s="1580"/>
      <c r="I18" s="2558" t="s">
        <v>2492</v>
      </c>
      <c r="J18" s="982"/>
      <c r="K18" s="983"/>
    </row>
    <row r="19" spans="1:33" s="978" customFormat="1" ht="13.5" customHeight="1">
      <c r="A19" s="974" t="s">
        <v>805</v>
      </c>
      <c r="B19" s="975" t="s">
        <v>2493</v>
      </c>
      <c r="C19" s="24">
        <f ca="1">ROUND(D19*E19/10000,0)</f>
        <v>1071</v>
      </c>
      <c r="D19" s="1036">
        <f ca="1">IF(C1="",'数据-汇总表'!E5,IF(INDIRECT("'数据-取费表'!c"&amp;$K$1)="住宅",INDIRECT("'数据-取费表'!k"&amp;$K$1),0))</f>
        <v>66946.100000000006</v>
      </c>
      <c r="E19" s="24">
        <f>'数据-取费表'!B27</f>
        <v>160</v>
      </c>
      <c r="F19" s="979"/>
      <c r="G19" s="15"/>
      <c r="H19" s="1582"/>
      <c r="I19" s="984"/>
      <c r="J19" s="984"/>
      <c r="K19" s="985"/>
    </row>
    <row r="20" spans="1:33" s="978" customFormat="1" ht="13.5" customHeight="1">
      <c r="A20" s="974" t="s">
        <v>806</v>
      </c>
      <c r="B20" s="975" t="s">
        <v>2494</v>
      </c>
      <c r="C20" s="24">
        <f ca="1">ROUND(D20*E20/10000,0)</f>
        <v>815</v>
      </c>
      <c r="D20" s="1036">
        <f ca="1">IF(C1="",'数据-汇总表'!E6,IF(INDIRECT("'数据-取费表'!c"&amp;$K$1)="住宅",INDIRECT("'数据-取费表'!s"&amp;$K$1),INDIRECT("'数据-取费表'!k"&amp;$K$1)+INDIRECT("'数据-取费表'!s"&amp;$K$1)))</f>
        <v>40746.699999999997</v>
      </c>
      <c r="E20" s="24">
        <f>'数据-取费表'!B28</f>
        <v>200</v>
      </c>
      <c r="F20" s="979"/>
      <c r="G20" s="15"/>
      <c r="H20" s="984"/>
      <c r="I20" s="984"/>
      <c r="J20" s="984"/>
      <c r="K20" s="985"/>
    </row>
    <row r="21" spans="1:33" s="978" customFormat="1" ht="13.5" customHeight="1">
      <c r="A21" s="964" t="s">
        <v>802</v>
      </c>
      <c r="B21" s="988" t="s">
        <v>2495</v>
      </c>
      <c r="C21" s="989">
        <f ca="1">C16+C17+C18</f>
        <v>1886</v>
      </c>
      <c r="D21" s="990"/>
      <c r="E21" s="325"/>
      <c r="F21" s="325"/>
      <c r="G21" s="140" t="s">
        <v>2496</v>
      </c>
      <c r="H21" s="982"/>
      <c r="I21" s="982"/>
      <c r="J21" s="982"/>
      <c r="K21" s="983"/>
    </row>
    <row r="22" spans="1:33" s="978" customFormat="1" ht="13.5" customHeight="1">
      <c r="A22" s="964" t="s">
        <v>2468</v>
      </c>
      <c r="B22" s="988" t="s">
        <v>2497</v>
      </c>
      <c r="C22" s="989">
        <f ca="1">ROUND(C21*F22,0)</f>
        <v>19</v>
      </c>
      <c r="D22" s="325"/>
      <c r="E22" s="325"/>
      <c r="F22" s="991">
        <f>'数据-取费表'!B37</f>
        <v>0.01</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0.01</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2508</v>
      </c>
      <c r="B28" s="2560" t="s">
        <v>2509</v>
      </c>
      <c r="C28" s="331">
        <f ca="1">C30</f>
        <v>57</v>
      </c>
      <c r="D28" s="324">
        <f ca="1">C29</f>
        <v>0</v>
      </c>
      <c r="E28" s="326" t="s">
        <v>15</v>
      </c>
      <c r="F28" s="332">
        <f ca="1">IF(C1="",'数据-取费表'!Q16,INDIRECT("'数据-取费表'!q"&amp;$K$1))</f>
        <v>0.03</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57</v>
      </c>
      <c r="D30" s="328"/>
      <c r="E30" s="329"/>
      <c r="F30" s="334"/>
      <c r="G30" s="140"/>
      <c r="H30" s="982"/>
      <c r="I30" s="982"/>
      <c r="J30" s="982"/>
      <c r="K30" s="983"/>
    </row>
    <row r="31" spans="1:33" s="978" customFormat="1" ht="13.5" customHeight="1" thickBot="1">
      <c r="A31" s="2561"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-1907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03" t="s">
        <v>1403</v>
      </c>
      <c r="C6" s="1299">
        <f ca="1">ROUND(F6*F8*F7*(1-F9)/10000,0)</f>
        <v>0</v>
      </c>
      <c r="D6" s="164" t="s">
        <v>3033</v>
      </c>
      <c r="E6" s="347" t="s">
        <v>1405</v>
      </c>
      <c r="F6" s="348">
        <f ca="1">INDIRECT("'数据-取费表'!u"&amp;$G$1)</f>
        <v>0</v>
      </c>
      <c r="G6" s="1854"/>
      <c r="H6" s="1294" t="s">
        <v>1035</v>
      </c>
      <c r="I6" s="3203" t="s">
        <v>1403</v>
      </c>
      <c r="J6" s="346">
        <f ca="1">ROUND(M6*M8*M7*(1-M9)/10000,0)</f>
        <v>0</v>
      </c>
      <c r="K6" s="164" t="s">
        <v>3032</v>
      </c>
      <c r="L6" s="347" t="s">
        <v>1405</v>
      </c>
      <c r="M6" s="348">
        <f ca="1">INDIRECT("'数据-取费表'!z"&amp;$G$1)</f>
        <v>0</v>
      </c>
    </row>
    <row r="7" spans="1:37" ht="18" customHeight="1">
      <c r="A7" s="1298"/>
      <c r="B7" s="3204"/>
      <c r="C7" s="1300"/>
      <c r="D7" s="352"/>
      <c r="E7" s="1301" t="s">
        <v>1406</v>
      </c>
      <c r="F7" s="348">
        <f ca="1">IF(INDIRECT("'数据-取费表'!ah"&amp;$G$1)="",INDIRECT("'数据-取费表'!k"&amp;$G$1),INDIRECT("'数据-取费表'!ah"&amp;$G$1))</f>
        <v>0</v>
      </c>
      <c r="G7" s="1854"/>
      <c r="H7" s="349"/>
      <c r="I7" s="3204"/>
      <c r="J7" s="351"/>
      <c r="K7" s="352"/>
      <c r="L7" s="347" t="s">
        <v>1406</v>
      </c>
      <c r="M7" s="348">
        <f ca="1">F7</f>
        <v>0</v>
      </c>
    </row>
    <row r="8" spans="1:37" ht="18" customHeight="1">
      <c r="A8" s="349"/>
      <c r="B8" s="3204"/>
      <c r="C8" s="351"/>
      <c r="D8" s="352"/>
      <c r="E8" s="347" t="s">
        <v>1407</v>
      </c>
      <c r="F8" s="348">
        <f ca="1">INDIRECT("'数据-取费表'!ai"&amp;$G$1)</f>
        <v>0</v>
      </c>
      <c r="G8" s="1854"/>
      <c r="H8" s="349"/>
      <c r="I8" s="3204"/>
      <c r="J8" s="351"/>
      <c r="K8" s="352"/>
      <c r="L8" s="347" t="s">
        <v>1407</v>
      </c>
      <c r="M8" s="348">
        <f ca="1">INDIRECT("'数据-取费表'!ai"&amp;$G$1)</f>
        <v>0</v>
      </c>
    </row>
    <row r="9" spans="1:37" ht="18" customHeight="1">
      <c r="A9" s="349"/>
      <c r="B9" s="3205"/>
      <c r="C9" s="351"/>
      <c r="D9" s="352"/>
      <c r="E9" s="347" t="s">
        <v>1408</v>
      </c>
      <c r="F9" s="357">
        <f ca="1">INDIRECT("'数据-取费表'!w"&amp;$G$1)</f>
        <v>0</v>
      </c>
      <c r="G9" s="1854"/>
      <c r="H9" s="349"/>
      <c r="I9" s="320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150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ROUND(M20*M21/10000,2)</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1" t="s">
        <v>1548</v>
      </c>
      <c r="L53" s="3202"/>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3" t="s">
        <v>1403</v>
      </c>
      <c r="C6" s="1299">
        <f ca="1">ROUND(F6*F8*F7*(1-F9),0)</f>
        <v>0</v>
      </c>
      <c r="D6" s="164" t="s">
        <v>3030</v>
      </c>
      <c r="E6" s="347" t="s">
        <v>1405</v>
      </c>
      <c r="F6" s="348">
        <f ca="1">INDIRECT("'数据-取费表'!u"&amp;$G$1)</f>
        <v>0</v>
      </c>
      <c r="G6" s="1854"/>
      <c r="H6" s="1294" t="s">
        <v>1035</v>
      </c>
      <c r="I6" s="3203" t="s">
        <v>1403</v>
      </c>
      <c r="J6" s="346">
        <f ca="1">ROUND(M6*M8*M7*(1-M9),0)</f>
        <v>0</v>
      </c>
      <c r="K6" s="1837" t="s">
        <v>3031</v>
      </c>
      <c r="L6" s="347" t="s">
        <v>1405</v>
      </c>
      <c r="M6" s="348">
        <f ca="1">INDIRECT("'数据-取费表'!z"&amp;$G$1)</f>
        <v>0</v>
      </c>
    </row>
    <row r="7" spans="1:37" ht="18" customHeight="1">
      <c r="A7" s="1298"/>
      <c r="B7" s="3204"/>
      <c r="C7" s="1300"/>
      <c r="D7" s="352"/>
      <c r="E7" s="1301" t="s">
        <v>1406</v>
      </c>
      <c r="F7" s="348">
        <f ca="1">IF(INDIRECT("'数据-取费表'!ah"&amp;$G$1)="",INDIRECT("'数据-取费表'!k"&amp;$G$1),INDIRECT("'数据-取费表'!ah"&amp;$G$1))</f>
        <v>0</v>
      </c>
      <c r="G7" s="1854"/>
      <c r="H7" s="349"/>
      <c r="I7" s="3204"/>
      <c r="J7" s="351"/>
      <c r="K7" s="352"/>
      <c r="L7" s="347" t="s">
        <v>1406</v>
      </c>
      <c r="M7" s="348">
        <f ca="1">F7</f>
        <v>0</v>
      </c>
    </row>
    <row r="8" spans="1:37" ht="18" customHeight="1">
      <c r="A8" s="349"/>
      <c r="B8" s="3204"/>
      <c r="C8" s="351"/>
      <c r="D8" s="352"/>
      <c r="E8" s="347" t="s">
        <v>1407</v>
      </c>
      <c r="F8" s="348">
        <f ca="1">INDIRECT("'数据-取费表'!ai"&amp;$G$1)</f>
        <v>0</v>
      </c>
      <c r="G8" s="1854"/>
      <c r="H8" s="349"/>
      <c r="I8" s="3204"/>
      <c r="J8" s="351"/>
      <c r="K8" s="352"/>
      <c r="L8" s="347" t="s">
        <v>1407</v>
      </c>
      <c r="M8" s="348">
        <f ca="1">INDIRECT("'数据-取费表'!ai"&amp;$G$1)</f>
        <v>0</v>
      </c>
    </row>
    <row r="9" spans="1:37" ht="18" customHeight="1">
      <c r="A9" s="349"/>
      <c r="B9" s="3205"/>
      <c r="C9" s="351"/>
      <c r="D9" s="352"/>
      <c r="E9" s="347" t="s">
        <v>1408</v>
      </c>
      <c r="F9" s="357">
        <f ca="1">INDIRECT("'数据-取费表'!w"&amp;$G$1)</f>
        <v>0</v>
      </c>
      <c r="G9" s="1854"/>
      <c r="H9" s="349"/>
      <c r="I9" s="320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1" t="s">
        <v>1548</v>
      </c>
      <c r="L53" s="320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17" sqref="K17"/>
    </sheetView>
  </sheetViews>
  <sheetFormatPr defaultRowHeight="14.25"/>
  <cols>
    <col min="1" max="1" width="10.5" style="403" customWidth="1"/>
    <col min="2" max="2" width="15.75" style="403" customWidth="1"/>
    <col min="3" max="3" width="21.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2528</v>
      </c>
      <c r="C1" s="1637" t="s">
        <v>2529</v>
      </c>
      <c r="D1" s="1624" t="s">
        <v>3074</v>
      </c>
      <c r="E1" s="2584"/>
      <c r="F1" s="2585" t="s">
        <v>2530</v>
      </c>
      <c r="G1" s="1634" t="s">
        <v>2531</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93919</v>
      </c>
      <c r="C2" s="2587" t="s">
        <v>70</v>
      </c>
      <c r="D2" s="1368" t="e">
        <f ca="1">SUMIF(INDIRECT("'"&amp;F2&amp;"'"&amp;"!A:A"),"承租人权益价值",INDIRECT("'"&amp;F2&amp;"'"&amp;"!c:c"))</f>
        <v>#REF!</v>
      </c>
      <c r="E2" s="2588" t="s">
        <v>2532</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14029</v>
      </c>
      <c r="C3" s="400" t="s">
        <v>2533</v>
      </c>
      <c r="D3" s="399">
        <f>IF(D1="",'数据-汇总表'!E3,SUMIF('数据-汇总表'!$C19:$C33,D1,'数据-汇总表'!$E19:$E33))</f>
        <v>66946.100000000006</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2534</v>
      </c>
      <c r="B4" s="402"/>
      <c r="C4" s="3173" t="s">
        <v>2535</v>
      </c>
      <c r="D4" s="3174"/>
      <c r="E4" s="3175" t="s">
        <v>2536</v>
      </c>
      <c r="F4" s="3176"/>
      <c r="G4" s="3173" t="s">
        <v>2537</v>
      </c>
      <c r="H4" s="3174"/>
      <c r="I4" s="3173" t="s">
        <v>2538</v>
      </c>
      <c r="J4" s="3174"/>
      <c r="K4" s="2597" t="s">
        <v>2539</v>
      </c>
      <c r="L4" s="1133"/>
      <c r="M4" s="1134"/>
      <c r="N4" s="1134"/>
      <c r="O4" s="1134"/>
      <c r="P4" s="3177" t="s">
        <v>2540</v>
      </c>
      <c r="Q4" s="3178"/>
      <c r="R4" s="3160" t="s">
        <v>2536</v>
      </c>
      <c r="S4" s="3161"/>
      <c r="T4" s="3160" t="s">
        <v>2537</v>
      </c>
      <c r="U4" s="3161"/>
      <c r="V4" s="3185" t="s">
        <v>2538</v>
      </c>
      <c r="W4" s="3185"/>
      <c r="X4" s="1816"/>
      <c r="Y4" s="3160" t="s">
        <v>2540</v>
      </c>
      <c r="Z4" s="3161"/>
      <c r="AA4" s="3155" t="s">
        <v>2536</v>
      </c>
      <c r="AB4" s="3155" t="s">
        <v>2537</v>
      </c>
      <c r="AC4" s="3155" t="s">
        <v>2538</v>
      </c>
    </row>
    <row r="5" spans="1:29" ht="15">
      <c r="A5" s="404"/>
      <c r="B5" s="405"/>
      <c r="C5" s="3207" t="s">
        <v>3150</v>
      </c>
      <c r="D5" s="3167"/>
      <c r="E5" s="3206" t="s">
        <v>3151</v>
      </c>
      <c r="F5" s="3165"/>
      <c r="G5" s="3207" t="s">
        <v>3184</v>
      </c>
      <c r="H5" s="3167"/>
      <c r="I5" s="3207" t="s">
        <v>3242</v>
      </c>
      <c r="J5" s="3167"/>
      <c r="K5" s="2598"/>
      <c r="L5" s="1133"/>
      <c r="M5" s="1134"/>
      <c r="N5" s="1134"/>
      <c r="O5" s="1134"/>
      <c r="P5" s="3179"/>
      <c r="Q5" s="3180"/>
      <c r="R5" s="3162"/>
      <c r="S5" s="3163"/>
      <c r="T5" s="3162"/>
      <c r="U5" s="3163"/>
      <c r="V5" s="3185"/>
      <c r="W5" s="3185"/>
      <c r="X5" s="1816"/>
      <c r="Y5" s="3162"/>
      <c r="Z5" s="3163"/>
      <c r="AA5" s="3156"/>
      <c r="AB5" s="3156"/>
      <c r="AC5" s="3156"/>
    </row>
    <row r="6" spans="1:29" ht="15.75" thickBot="1">
      <c r="A6" s="406"/>
      <c r="B6" s="407"/>
      <c r="C6" s="3168" t="s">
        <v>2545</v>
      </c>
      <c r="D6" s="3169"/>
      <c r="E6" s="3208" t="s">
        <v>3152</v>
      </c>
      <c r="F6" s="3171"/>
      <c r="G6" s="3209" t="s">
        <v>3185</v>
      </c>
      <c r="H6" s="3169"/>
      <c r="I6" s="3209" t="s">
        <v>3241</v>
      </c>
      <c r="J6" s="3169"/>
      <c r="K6" s="2598" t="s">
        <v>2546</v>
      </c>
      <c r="L6" s="1133"/>
      <c r="M6" s="1134"/>
      <c r="N6" s="1134"/>
      <c r="O6" s="1134"/>
      <c r="P6" s="3181"/>
      <c r="Q6" s="3182"/>
      <c r="R6" s="3162"/>
      <c r="S6" s="3163"/>
      <c r="T6" s="3183"/>
      <c r="U6" s="3184"/>
      <c r="V6" s="3185"/>
      <c r="W6" s="3185"/>
      <c r="X6" s="1816"/>
      <c r="Y6" s="3183"/>
      <c r="Z6" s="3184"/>
      <c r="AA6" s="3157"/>
      <c r="AB6" s="3157"/>
      <c r="AC6" s="3157"/>
    </row>
    <row r="7" spans="1:29" s="117" customFormat="1" ht="15.75" thickBot="1">
      <c r="A7" s="408" t="s">
        <v>2547</v>
      </c>
      <c r="B7" s="409"/>
      <c r="C7" s="410">
        <f>'数据-取费表'!B2</f>
        <v>43341</v>
      </c>
      <c r="D7" s="411">
        <v>100</v>
      </c>
      <c r="E7" s="412">
        <v>43313</v>
      </c>
      <c r="F7" s="413">
        <f>SUMIF(58:58,YEAR(E7)&amp;"-"&amp;MONTH(E7),59:59)</f>
        <v>100</v>
      </c>
      <c r="G7" s="412">
        <f>E7</f>
        <v>43313</v>
      </c>
      <c r="H7" s="411">
        <f>SUMIF(58:58,YEAR(G7)&amp;"-"&amp;MONTH(G7),59:59)</f>
        <v>100</v>
      </c>
      <c r="I7" s="412">
        <f>G7</f>
        <v>43313</v>
      </c>
      <c r="J7" s="411">
        <f>SUMIF(58:58,YEAR(I7)&amp;"-"&amp;MONTH(I7),59:59)</f>
        <v>100</v>
      </c>
      <c r="K7" s="2599"/>
      <c r="L7" s="1135"/>
      <c r="M7" s="1136"/>
      <c r="N7" s="1136"/>
      <c r="O7" s="1136"/>
      <c r="P7" s="3158" t="s">
        <v>2548</v>
      </c>
      <c r="Q7" s="3186"/>
      <c r="R7" s="770" t="s">
        <v>23</v>
      </c>
      <c r="S7" s="771">
        <f t="shared" ref="S7:S15" si="0">F7</f>
        <v>100</v>
      </c>
      <c r="T7" s="770" t="s">
        <v>23</v>
      </c>
      <c r="U7" s="771">
        <f t="shared" ref="U7:U15" si="1">H7</f>
        <v>100</v>
      </c>
      <c r="V7" s="770" t="s">
        <v>23</v>
      </c>
      <c r="W7" s="771">
        <f t="shared" ref="W7:W15" si="2">J7</f>
        <v>100</v>
      </c>
      <c r="X7" s="772"/>
      <c r="Y7" s="3158" t="s">
        <v>2548</v>
      </c>
      <c r="Z7" s="3159"/>
      <c r="AA7" s="773">
        <f>D7/F7</f>
        <v>1</v>
      </c>
      <c r="AB7" s="773">
        <f>D7/H7</f>
        <v>1</v>
      </c>
      <c r="AC7" s="773">
        <f>D7/J7</f>
        <v>1</v>
      </c>
    </row>
    <row r="8" spans="1:29" s="117" customFormat="1" ht="15.75" thickBot="1">
      <c r="A8" s="408" t="s">
        <v>2549</v>
      </c>
      <c r="B8" s="409"/>
      <c r="C8" s="414" t="s">
        <v>2550</v>
      </c>
      <c r="D8" s="411">
        <v>100</v>
      </c>
      <c r="E8" s="414" t="s">
        <v>2550</v>
      </c>
      <c r="F8" s="413">
        <f>SUMIF(61:61,E8,62:62)-SUMIF(61:61,C8,62:62)+100</f>
        <v>100</v>
      </c>
      <c r="G8" s="414" t="s">
        <v>2550</v>
      </c>
      <c r="H8" s="411">
        <f>SUMIF(61:61,G8,62:62)-SUMIF(61:61,C8,62:62)+100</f>
        <v>100</v>
      </c>
      <c r="I8" s="414" t="s">
        <v>2550</v>
      </c>
      <c r="J8" s="411">
        <f>SUMIF(61:61,I8,62:62)-SUMIF(61:61,C8,62:62)+100</f>
        <v>100</v>
      </c>
      <c r="K8" s="2599"/>
      <c r="L8" s="1135"/>
      <c r="M8" s="1136"/>
      <c r="N8" s="1136"/>
      <c r="O8" s="1136"/>
      <c r="P8" s="3158" t="s">
        <v>2551</v>
      </c>
      <c r="Q8" s="3159"/>
      <c r="R8" s="770" t="s">
        <v>23</v>
      </c>
      <c r="S8" s="771">
        <f t="shared" si="0"/>
        <v>100</v>
      </c>
      <c r="T8" s="770" t="s">
        <v>23</v>
      </c>
      <c r="U8" s="771">
        <f t="shared" si="1"/>
        <v>100</v>
      </c>
      <c r="V8" s="770" t="s">
        <v>23</v>
      </c>
      <c r="W8" s="771">
        <f t="shared" si="2"/>
        <v>100</v>
      </c>
      <c r="X8" s="772"/>
      <c r="Y8" s="3158" t="s">
        <v>2551</v>
      </c>
      <c r="Z8" s="3159"/>
      <c r="AA8" s="773">
        <f t="shared" ref="AA8:AA19" si="3">D8/F8</f>
        <v>1</v>
      </c>
      <c r="AB8" s="773">
        <f t="shared" ref="AB8:AB19" si="4">D8/H8</f>
        <v>1</v>
      </c>
      <c r="AC8" s="773">
        <f t="shared" ref="AC8:AC19" si="5">D8/J8</f>
        <v>1</v>
      </c>
    </row>
    <row r="9" spans="1:29" s="117" customFormat="1">
      <c r="A9" s="415" t="s">
        <v>2552</v>
      </c>
      <c r="B9" s="71" t="s">
        <v>2553</v>
      </c>
      <c r="C9" s="2946" t="s">
        <v>3153</v>
      </c>
      <c r="D9" s="135">
        <v>100</v>
      </c>
      <c r="E9" s="417" t="s">
        <v>3058</v>
      </c>
      <c r="F9" s="418">
        <f>SUMIF(63:63,E9,64:64)-SUMIF(63:63,C9,64:64)+100</f>
        <v>100</v>
      </c>
      <c r="G9" s="417" t="s">
        <v>3058</v>
      </c>
      <c r="H9" s="135">
        <f>SUMIF(63:63,G9,64:64)-SUMIF(63:63,C9,64:64)+100</f>
        <v>100</v>
      </c>
      <c r="I9" s="417" t="s">
        <v>3058</v>
      </c>
      <c r="J9" s="135">
        <f>SUMIF(63:63,I9,64:64)-SUMIF(63:63,C9,64:64)+100</f>
        <v>100</v>
      </c>
      <c r="K9" s="2599"/>
      <c r="L9" s="1135"/>
      <c r="M9" s="1136"/>
      <c r="N9" s="1136"/>
      <c r="O9" s="1136"/>
      <c r="P9" s="3196" t="s">
        <v>2554</v>
      </c>
      <c r="Q9" s="1798" t="str">
        <f t="shared" ref="Q9:Q15" si="6">B9</f>
        <v>用途</v>
      </c>
      <c r="R9" s="770" t="s">
        <v>17</v>
      </c>
      <c r="S9" s="771">
        <f t="shared" si="0"/>
        <v>100</v>
      </c>
      <c r="T9" s="770" t="s">
        <v>17</v>
      </c>
      <c r="U9" s="771">
        <f t="shared" si="1"/>
        <v>100</v>
      </c>
      <c r="V9" s="770" t="s">
        <v>17</v>
      </c>
      <c r="W9" s="771">
        <f t="shared" si="2"/>
        <v>100</v>
      </c>
      <c r="X9" s="772"/>
      <c r="Y9" s="3035" t="s">
        <v>2555</v>
      </c>
      <c r="Z9" s="55" t="str">
        <f t="shared" ref="Z9:Z15" si="7">Q9</f>
        <v>用途</v>
      </c>
      <c r="AA9" s="773">
        <f t="shared" si="3"/>
        <v>1</v>
      </c>
      <c r="AB9" s="773">
        <f t="shared" si="4"/>
        <v>1</v>
      </c>
      <c r="AC9" s="773">
        <f t="shared" si="5"/>
        <v>1</v>
      </c>
    </row>
    <row r="10" spans="1:29" s="427" customFormat="1" ht="27">
      <c r="A10" s="421"/>
      <c r="B10" s="422" t="s">
        <v>2556</v>
      </c>
      <c r="C10" s="423" t="s">
        <v>3154</v>
      </c>
      <c r="D10" s="136">
        <v>100</v>
      </c>
      <c r="E10" s="424" t="s">
        <v>3155</v>
      </c>
      <c r="F10" s="425">
        <f>SUMIF(65:65,E10,66:66)-SUMIF(65:65,C10,66:66)+100</f>
        <v>101</v>
      </c>
      <c r="G10" s="424" t="s">
        <v>3155</v>
      </c>
      <c r="H10" s="136">
        <f>SUMIF(65:65,G10,66:66)-SUMIF(65:65,C10,66:66)+100</f>
        <v>101</v>
      </c>
      <c r="I10" s="424" t="s">
        <v>3155</v>
      </c>
      <c r="J10" s="136">
        <f>SUMIF(65:65,I10,66:66)-SUMIF(65:65,C10,66:66)+100</f>
        <v>101</v>
      </c>
      <c r="K10" s="426">
        <v>1</v>
      </c>
      <c r="L10" s="1138"/>
      <c r="M10" s="1139"/>
      <c r="N10" s="1139"/>
      <c r="O10" s="1139"/>
      <c r="P10" s="3196"/>
      <c r="Q10" s="1798" t="str">
        <f t="shared" si="6"/>
        <v>土地使用年限（年）</v>
      </c>
      <c r="R10" s="770" t="s">
        <v>17</v>
      </c>
      <c r="S10" s="771">
        <f t="shared" si="0"/>
        <v>101</v>
      </c>
      <c r="T10" s="770" t="s">
        <v>17</v>
      </c>
      <c r="U10" s="771">
        <f t="shared" si="1"/>
        <v>101</v>
      </c>
      <c r="V10" s="770" t="s">
        <v>17</v>
      </c>
      <c r="W10" s="771">
        <f t="shared" si="2"/>
        <v>101</v>
      </c>
      <c r="X10" s="772"/>
      <c r="Y10" s="3035"/>
      <c r="Z10" s="55" t="str">
        <f t="shared" si="7"/>
        <v>土地使用年限（年）</v>
      </c>
      <c r="AA10" s="773">
        <f t="shared" si="3"/>
        <v>0.99009900990099009</v>
      </c>
      <c r="AB10" s="773">
        <f t="shared" si="4"/>
        <v>0.99009900990099009</v>
      </c>
      <c r="AC10" s="773">
        <f t="shared" si="5"/>
        <v>0.99009900990099009</v>
      </c>
    </row>
    <row r="11" spans="1:29" ht="15">
      <c r="A11" s="428"/>
      <c r="B11" s="422" t="s">
        <v>2557</v>
      </c>
      <c r="C11" s="429">
        <f>'数据-汇总表'!I7</f>
        <v>2.71</v>
      </c>
      <c r="D11" s="136">
        <v>100</v>
      </c>
      <c r="E11" s="430">
        <f>C11</f>
        <v>2.71</v>
      </c>
      <c r="F11" s="425">
        <f>LOOKUP(E11,68:68,69:69)-LOOKUP(C11,68:68,69:69)+100</f>
        <v>100</v>
      </c>
      <c r="G11" s="429">
        <f>E11</f>
        <v>2.71</v>
      </c>
      <c r="H11" s="136">
        <f>LOOKUP(G11,68:68,69:69)-LOOKUP(C11,68:68,69:69)+100</f>
        <v>100</v>
      </c>
      <c r="I11" s="429">
        <f>G11</f>
        <v>2.71</v>
      </c>
      <c r="J11" s="136">
        <f>LOOKUP(I11,68:68,69:69)-LOOKUP(C11,68:68,69:69)+100</f>
        <v>100</v>
      </c>
      <c r="K11" s="426"/>
      <c r="L11" s="1141"/>
      <c r="M11" s="1134"/>
      <c r="N11" s="1134"/>
      <c r="O11" s="1134"/>
      <c r="P11" s="3196"/>
      <c r="Q11" s="1798" t="str">
        <f t="shared" si="6"/>
        <v>容积率</v>
      </c>
      <c r="R11" s="770" t="s">
        <v>21</v>
      </c>
      <c r="S11" s="771">
        <f t="shared" si="0"/>
        <v>100</v>
      </c>
      <c r="T11" s="770" t="s">
        <v>21</v>
      </c>
      <c r="U11" s="771">
        <f t="shared" si="1"/>
        <v>100</v>
      </c>
      <c r="V11" s="770" t="s">
        <v>21</v>
      </c>
      <c r="W11" s="771">
        <f t="shared" si="2"/>
        <v>100</v>
      </c>
      <c r="X11" s="772"/>
      <c r="Y11" s="3035"/>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96"/>
      <c r="Q12" s="1798">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96"/>
      <c r="Q13" s="1798">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96"/>
      <c r="Q14" s="1798">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99.75">
      <c r="A15" s="440" t="s">
        <v>2558</v>
      </c>
      <c r="B15" s="69" t="s">
        <v>2087</v>
      </c>
      <c r="C15" s="2603" t="str">
        <f>估价对象房地状况!C3</f>
        <v>估价对象周边居住用地比例较高、居住小区规模较大、社区发展完善程度较好，有月季园、荔景园等多个住宅项目，综合评价居住社区成熟度较好</v>
      </c>
      <c r="D15" s="441">
        <v>100</v>
      </c>
      <c r="E15" s="2954" t="s">
        <v>3181</v>
      </c>
      <c r="F15" s="441">
        <f>SUMIF(76:76,E16,77:77)-SUMIF(76:76,C16,77:77)+100</f>
        <v>100</v>
      </c>
      <c r="G15" s="2956" t="s">
        <v>3189</v>
      </c>
      <c r="H15" s="441">
        <f>SUMIF(76:76,G16,77:77)-SUMIF(76:76,C16,77:77)+100</f>
        <v>100</v>
      </c>
      <c r="I15" s="2956" t="s">
        <v>3189</v>
      </c>
      <c r="J15" s="441">
        <f>SUMIF(76:76,I16,77:77)-SUMIF(76:76,C16,77:77)+100</f>
        <v>100</v>
      </c>
      <c r="K15" s="445">
        <f>'土地比较法-住宅、综合'!K15</f>
        <v>2</v>
      </c>
      <c r="L15" s="1143"/>
      <c r="M15" s="1134"/>
      <c r="N15" s="1134"/>
      <c r="O15" s="1134"/>
      <c r="P15" s="3216" t="s">
        <v>2559</v>
      </c>
      <c r="Q15" s="1813" t="str">
        <f t="shared" si="6"/>
        <v>居住社区成熟度</v>
      </c>
      <c r="R15" s="774" t="s">
        <v>21</v>
      </c>
      <c r="S15" s="775">
        <f t="shared" si="0"/>
        <v>100</v>
      </c>
      <c r="T15" s="774" t="s">
        <v>21</v>
      </c>
      <c r="U15" s="775">
        <f t="shared" si="1"/>
        <v>100</v>
      </c>
      <c r="V15" s="774" t="s">
        <v>21</v>
      </c>
      <c r="W15" s="775">
        <f t="shared" si="2"/>
        <v>100</v>
      </c>
      <c r="X15" s="1816"/>
      <c r="Y15" s="3187" t="s">
        <v>2559</v>
      </c>
      <c r="Z15" s="1817" t="str">
        <f t="shared" si="7"/>
        <v>居住社区成熟度</v>
      </c>
      <c r="AA15" s="1814">
        <f t="shared" si="3"/>
        <v>1</v>
      </c>
      <c r="AB15" s="1814">
        <f t="shared" si="4"/>
        <v>1</v>
      </c>
      <c r="AC15" s="1814">
        <f t="shared" si="5"/>
        <v>1</v>
      </c>
    </row>
    <row r="16" spans="1:29" ht="15">
      <c r="A16" s="428"/>
      <c r="B16" s="446"/>
      <c r="C16" s="447" t="s">
        <v>3162</v>
      </c>
      <c r="D16" s="448"/>
      <c r="E16" s="447" t="s">
        <v>3162</v>
      </c>
      <c r="F16" s="448"/>
      <c r="G16" s="447" t="s">
        <v>3162</v>
      </c>
      <c r="H16" s="450"/>
      <c r="I16" s="447" t="s">
        <v>3162</v>
      </c>
      <c r="J16" s="448"/>
      <c r="K16" s="2606"/>
      <c r="L16" s="1143"/>
      <c r="M16" s="1134"/>
      <c r="N16" s="1134"/>
      <c r="O16" s="1134"/>
      <c r="P16" s="3217"/>
      <c r="Q16" s="1813"/>
      <c r="R16" s="774"/>
      <c r="S16" s="775"/>
      <c r="T16" s="774"/>
      <c r="U16" s="775"/>
      <c r="V16" s="774"/>
      <c r="W16" s="775"/>
      <c r="X16" s="1816"/>
      <c r="Y16" s="3188"/>
      <c r="Z16" s="1817"/>
      <c r="AA16" s="1814">
        <v>1</v>
      </c>
      <c r="AB16" s="1814">
        <v>1</v>
      </c>
      <c r="AC16" s="1814">
        <v>1</v>
      </c>
    </row>
    <row r="17" spans="1:29" ht="99.75" customHeight="1">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4" t="s">
        <v>3182</v>
      </c>
      <c r="F17" s="450">
        <f>SUMIF(78:78,E18,79:79)-SUMIF(78:78,C18,79:79)+100</f>
        <v>100</v>
      </c>
      <c r="G17" s="452" t="s">
        <v>3186</v>
      </c>
      <c r="H17" s="455">
        <f>SUMIF(78:78,G18,79:79)-SUMIF(78:78,C18,79:79)+100</f>
        <v>96</v>
      </c>
      <c r="I17" s="452" t="s">
        <v>3186</v>
      </c>
      <c r="J17" s="455">
        <f>SUMIF(78:78,I18,79:79)-SUMIF(78:78,C18,79:79)+100</f>
        <v>96</v>
      </c>
      <c r="K17" s="445">
        <f>'土地比较法-住宅、综合'!K21</f>
        <v>2</v>
      </c>
      <c r="L17" s="1143"/>
      <c r="M17" s="1134"/>
      <c r="N17" s="1134"/>
      <c r="O17" s="1134"/>
      <c r="P17" s="3217"/>
      <c r="Q17" s="1813" t="str">
        <f>B17</f>
        <v>交通便捷度</v>
      </c>
      <c r="R17" s="774" t="s">
        <v>21</v>
      </c>
      <c r="S17" s="775">
        <f>F17</f>
        <v>100</v>
      </c>
      <c r="T17" s="774" t="s">
        <v>21</v>
      </c>
      <c r="U17" s="775">
        <f>H17</f>
        <v>96</v>
      </c>
      <c r="V17" s="774" t="s">
        <v>21</v>
      </c>
      <c r="W17" s="775">
        <f>J17</f>
        <v>96</v>
      </c>
      <c r="X17" s="1816"/>
      <c r="Y17" s="3188"/>
      <c r="Z17" s="1817" t="str">
        <f>Q17</f>
        <v>交通便捷度</v>
      </c>
      <c r="AA17" s="1814">
        <f t="shared" si="3"/>
        <v>1</v>
      </c>
      <c r="AB17" s="1814">
        <f t="shared" si="4"/>
        <v>1.0416666666666667</v>
      </c>
      <c r="AC17" s="1814">
        <f t="shared" si="5"/>
        <v>1.0416666666666667</v>
      </c>
    </row>
    <row r="18" spans="1:29" ht="15">
      <c r="A18" s="428"/>
      <c r="B18" s="456"/>
      <c r="C18" s="2608" t="s">
        <v>3162</v>
      </c>
      <c r="D18" s="450"/>
      <c r="E18" s="2609" t="s">
        <v>3162</v>
      </c>
      <c r="F18" s="450"/>
      <c r="G18" s="2610" t="s">
        <v>3187</v>
      </c>
      <c r="H18" s="448"/>
      <c r="I18" s="2610" t="s">
        <v>3187</v>
      </c>
      <c r="J18" s="448"/>
      <c r="K18" s="2606"/>
      <c r="L18" s="1143"/>
      <c r="M18" s="1134"/>
      <c r="N18" s="1134"/>
      <c r="O18" s="1134"/>
      <c r="P18" s="3217"/>
      <c r="Q18" s="1813"/>
      <c r="R18" s="774"/>
      <c r="S18" s="775"/>
      <c r="T18" s="774"/>
      <c r="U18" s="775"/>
      <c r="V18" s="774"/>
      <c r="W18" s="775"/>
      <c r="X18" s="1816"/>
      <c r="Y18" s="3188"/>
      <c r="Z18" s="1817"/>
      <c r="AA18" s="1814">
        <v>1</v>
      </c>
      <c r="AB18" s="1814">
        <v>1</v>
      </c>
      <c r="AC18" s="1814">
        <v>1</v>
      </c>
    </row>
    <row r="19" spans="1:29" ht="28.5">
      <c r="A19" s="428"/>
      <c r="B19" s="451" t="s">
        <v>2094</v>
      </c>
      <c r="C19" s="2607"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f>'土地比较法-住宅、综合'!K27</f>
        <v>2</v>
      </c>
      <c r="L19" s="1143"/>
      <c r="M19" s="1134"/>
      <c r="N19" s="1134"/>
      <c r="O19" s="1134"/>
      <c r="P19" s="3217"/>
      <c r="Q19" s="1813" t="str">
        <f>B19</f>
        <v>公共配套设施</v>
      </c>
      <c r="R19" s="774" t="s">
        <v>21</v>
      </c>
      <c r="S19" s="775">
        <f>F19</f>
        <v>100</v>
      </c>
      <c r="T19" s="774" t="s">
        <v>21</v>
      </c>
      <c r="U19" s="775">
        <f>H19</f>
        <v>100</v>
      </c>
      <c r="V19" s="774" t="s">
        <v>21</v>
      </c>
      <c r="W19" s="775">
        <f>J19</f>
        <v>100</v>
      </c>
      <c r="X19" s="1816"/>
      <c r="Y19" s="3188"/>
      <c r="Z19" s="1817" t="str">
        <f>Q19</f>
        <v>公共配套设施</v>
      </c>
      <c r="AA19" s="1814">
        <f t="shared" si="3"/>
        <v>1</v>
      </c>
      <c r="AB19" s="1814">
        <f t="shared" si="4"/>
        <v>1</v>
      </c>
      <c r="AC19" s="1814">
        <f t="shared" si="5"/>
        <v>1</v>
      </c>
    </row>
    <row r="20" spans="1:29" ht="15">
      <c r="A20" s="428"/>
      <c r="B20" s="456"/>
      <c r="C20" s="447" t="s">
        <v>3163</v>
      </c>
      <c r="D20" s="448"/>
      <c r="E20" s="447" t="s">
        <v>3163</v>
      </c>
      <c r="F20" s="448"/>
      <c r="G20" s="447" t="s">
        <v>3163</v>
      </c>
      <c r="H20" s="448"/>
      <c r="I20" s="447" t="s">
        <v>3163</v>
      </c>
      <c r="J20" s="448"/>
      <c r="K20" s="2606"/>
      <c r="L20" s="1143"/>
      <c r="M20" s="1134"/>
      <c r="N20" s="1134"/>
      <c r="O20" s="1134"/>
      <c r="P20" s="3217"/>
      <c r="Q20" s="1813"/>
      <c r="R20" s="774"/>
      <c r="S20" s="775"/>
      <c r="T20" s="774"/>
      <c r="U20" s="775"/>
      <c r="V20" s="774"/>
      <c r="W20" s="775"/>
      <c r="X20" s="1816"/>
      <c r="Y20" s="3188"/>
      <c r="Z20" s="1817"/>
      <c r="AA20" s="1814">
        <v>1</v>
      </c>
      <c r="AB20" s="1814">
        <v>1</v>
      </c>
      <c r="AC20" s="1814">
        <v>1</v>
      </c>
    </row>
    <row r="21" spans="1:29" ht="15">
      <c r="A21" s="428"/>
      <c r="B21" s="1387" t="s">
        <v>2097</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7"/>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7"/>
      <c r="C22" s="2608" t="s">
        <v>3159</v>
      </c>
      <c r="D22" s="448"/>
      <c r="E22" s="2608" t="s">
        <v>3159</v>
      </c>
      <c r="F22" s="448"/>
      <c r="G22" s="2608" t="s">
        <v>3159</v>
      </c>
      <c r="H22" s="448"/>
      <c r="I22" s="2608" t="s">
        <v>3159</v>
      </c>
      <c r="J22" s="448"/>
      <c r="K22" s="2612"/>
      <c r="L22" s="1143"/>
      <c r="M22" s="1134"/>
      <c r="N22" s="1134"/>
      <c r="O22" s="1134"/>
      <c r="P22" s="3217"/>
      <c r="Q22" s="1813"/>
      <c r="R22" s="774"/>
      <c r="S22" s="775"/>
      <c r="T22" s="774"/>
      <c r="U22" s="775"/>
      <c r="V22" s="774"/>
      <c r="W22" s="775"/>
      <c r="X22" s="1816"/>
      <c r="Y22" s="3188"/>
      <c r="Z22" s="1817"/>
      <c r="AA22" s="1814">
        <v>1</v>
      </c>
      <c r="AB22" s="1814">
        <v>1</v>
      </c>
      <c r="AC22" s="1814">
        <v>1</v>
      </c>
    </row>
    <row r="23" spans="1:29" ht="78" customHeight="1">
      <c r="A23" s="428"/>
      <c r="B23" s="451" t="s">
        <v>2101</v>
      </c>
      <c r="C23" s="2607" t="str">
        <f>估价对象房地状况!C9</f>
        <v>区域自然环境：减河公园、运河奥体公园、潞河中学公园；人文环境：大运河美术馆；综合评价环境状况较好</v>
      </c>
      <c r="D23" s="450">
        <v>100</v>
      </c>
      <c r="E23" s="2955" t="s">
        <v>3183</v>
      </c>
      <c r="F23" s="450">
        <f>SUMIF(84:84,E24,85:85)-SUMIF(84:84,C24,85:85)+100</f>
        <v>99</v>
      </c>
      <c r="G23" s="2957" t="s">
        <v>3188</v>
      </c>
      <c r="H23" s="450">
        <f>SUMIF(84:84,G24,85:85)-SUMIF(84:84,C24,85:85)+100</f>
        <v>99</v>
      </c>
      <c r="I23" s="2957" t="s">
        <v>3188</v>
      </c>
      <c r="J23" s="450">
        <f>SUMIF(84:84,I24,85:85)-SUMIF(84:84,C24,85:85)+100</f>
        <v>99</v>
      </c>
      <c r="K23" s="445">
        <f>'土地比较法-住宅、综合'!K25</f>
        <v>1</v>
      </c>
      <c r="L23" s="1143"/>
      <c r="M23" s="1134"/>
      <c r="N23" s="1134"/>
      <c r="O23" s="1134"/>
      <c r="P23" s="3217"/>
      <c r="Q23" s="1813" t="str">
        <f>B23</f>
        <v>自然及人文环境</v>
      </c>
      <c r="R23" s="774" t="s">
        <v>21</v>
      </c>
      <c r="S23" s="775">
        <f>F23</f>
        <v>99</v>
      </c>
      <c r="T23" s="774" t="s">
        <v>21</v>
      </c>
      <c r="U23" s="775">
        <f>H23</f>
        <v>99</v>
      </c>
      <c r="V23" s="774" t="s">
        <v>21</v>
      </c>
      <c r="W23" s="775">
        <f>J23</f>
        <v>99</v>
      </c>
      <c r="X23" s="1816"/>
      <c r="Y23" s="3188"/>
      <c r="Z23" s="1817" t="str">
        <f>Q23</f>
        <v>自然及人文环境</v>
      </c>
      <c r="AA23" s="1814">
        <f>D23/F23</f>
        <v>1.0101010101010102</v>
      </c>
      <c r="AB23" s="1814">
        <f>D23/H23</f>
        <v>1.0101010101010102</v>
      </c>
      <c r="AC23" s="1814">
        <f>D23/J23</f>
        <v>1.0101010101010102</v>
      </c>
    </row>
    <row r="24" spans="1:29" ht="15">
      <c r="A24" s="428"/>
      <c r="B24" s="456"/>
      <c r="C24" s="447" t="s">
        <v>3162</v>
      </c>
      <c r="D24" s="448"/>
      <c r="E24" s="2604" t="s">
        <v>3163</v>
      </c>
      <c r="F24" s="448"/>
      <c r="G24" s="2605" t="s">
        <v>3163</v>
      </c>
      <c r="H24" s="448"/>
      <c r="I24" s="2605" t="s">
        <v>3163</v>
      </c>
      <c r="J24" s="448"/>
      <c r="K24" s="2606"/>
      <c r="L24" s="1143"/>
      <c r="M24" s="1134"/>
      <c r="N24" s="1134"/>
      <c r="O24" s="1134"/>
      <c r="P24" s="3217"/>
      <c r="Q24" s="1813"/>
      <c r="R24" s="774"/>
      <c r="S24" s="775"/>
      <c r="T24" s="774"/>
      <c r="U24" s="775"/>
      <c r="V24" s="774"/>
      <c r="W24" s="775"/>
      <c r="X24" s="1816"/>
      <c r="Y24" s="3188"/>
      <c r="Z24" s="1817"/>
      <c r="AA24" s="1814">
        <v>1</v>
      </c>
      <c r="AB24" s="1814">
        <v>1</v>
      </c>
      <c r="AC24" s="1814">
        <v>1</v>
      </c>
    </row>
    <row r="25" spans="1:29" ht="15">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8"/>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17"/>
      <c r="Q26" s="1813" t="str">
        <f t="shared" si="11"/>
        <v>朝向</v>
      </c>
      <c r="R26" s="774" t="s">
        <v>21</v>
      </c>
      <c r="S26" s="775">
        <f t="shared" si="12"/>
        <v>100</v>
      </c>
      <c r="T26" s="774" t="s">
        <v>21</v>
      </c>
      <c r="U26" s="775">
        <f t="shared" si="13"/>
        <v>100</v>
      </c>
      <c r="V26" s="774" t="s">
        <v>21</v>
      </c>
      <c r="W26" s="775">
        <f t="shared" si="14"/>
        <v>100</v>
      </c>
      <c r="X26" s="1816"/>
      <c r="Y26" s="3188"/>
      <c r="Z26" s="1817" t="str">
        <f>Q26</f>
        <v>朝向</v>
      </c>
      <c r="AA26" s="1814">
        <f t="shared" si="15"/>
        <v>1</v>
      </c>
      <c r="AB26" s="1814">
        <f t="shared" si="16"/>
        <v>1</v>
      </c>
      <c r="AC26" s="1814">
        <f t="shared" si="17"/>
        <v>1</v>
      </c>
    </row>
    <row r="27" spans="1:29" s="117" customFormat="1" ht="15">
      <c r="A27" s="431"/>
      <c r="B27" s="2950"/>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17"/>
      <c r="Q27" s="1798">
        <f t="shared" si="11"/>
        <v>0</v>
      </c>
      <c r="R27" s="770" t="s">
        <v>21</v>
      </c>
      <c r="S27" s="771">
        <f t="shared" si="12"/>
        <v>100</v>
      </c>
      <c r="T27" s="770" t="s">
        <v>21</v>
      </c>
      <c r="U27" s="771">
        <f t="shared" si="13"/>
        <v>100</v>
      </c>
      <c r="V27" s="770" t="s">
        <v>21</v>
      </c>
      <c r="W27" s="771">
        <f t="shared" si="14"/>
        <v>100</v>
      </c>
      <c r="X27" s="772"/>
      <c r="Y27" s="3188"/>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7"/>
      <c r="Q28" s="1813">
        <f t="shared" si="11"/>
        <v>0</v>
      </c>
      <c r="R28" s="774" t="s">
        <v>21</v>
      </c>
      <c r="S28" s="775">
        <f t="shared" si="12"/>
        <v>100</v>
      </c>
      <c r="T28" s="774" t="s">
        <v>21</v>
      </c>
      <c r="U28" s="775">
        <f t="shared" si="13"/>
        <v>100</v>
      </c>
      <c r="V28" s="774" t="s">
        <v>21</v>
      </c>
      <c r="W28" s="775">
        <f t="shared" si="14"/>
        <v>100</v>
      </c>
      <c r="X28" s="1816"/>
      <c r="Y28" s="3188"/>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7"/>
      <c r="Q29" s="1813">
        <f t="shared" si="11"/>
        <v>0</v>
      </c>
      <c r="R29" s="774" t="s">
        <v>21</v>
      </c>
      <c r="S29" s="775">
        <f t="shared" si="12"/>
        <v>100</v>
      </c>
      <c r="T29" s="774" t="s">
        <v>21</v>
      </c>
      <c r="U29" s="775">
        <f t="shared" si="13"/>
        <v>100</v>
      </c>
      <c r="V29" s="774" t="s">
        <v>21</v>
      </c>
      <c r="W29" s="775">
        <f t="shared" si="14"/>
        <v>100</v>
      </c>
      <c r="X29" s="1816"/>
      <c r="Y29" s="3188"/>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7"/>
      <c r="Q30" s="1813">
        <f t="shared" si="11"/>
        <v>0</v>
      </c>
      <c r="R30" s="774" t="s">
        <v>21</v>
      </c>
      <c r="S30" s="775">
        <f t="shared" si="12"/>
        <v>100</v>
      </c>
      <c r="T30" s="774" t="s">
        <v>21</v>
      </c>
      <c r="U30" s="775">
        <f t="shared" si="13"/>
        <v>100</v>
      </c>
      <c r="V30" s="774" t="s">
        <v>21</v>
      </c>
      <c r="W30" s="775">
        <f t="shared" si="14"/>
        <v>100</v>
      </c>
      <c r="X30" s="1816"/>
      <c r="Y30" s="3188"/>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7"/>
      <c r="Q31" s="1813">
        <f t="shared" si="11"/>
        <v>0</v>
      </c>
      <c r="R31" s="774" t="s">
        <v>21</v>
      </c>
      <c r="S31" s="775">
        <f t="shared" si="12"/>
        <v>100</v>
      </c>
      <c r="T31" s="774" t="s">
        <v>21</v>
      </c>
      <c r="U31" s="775">
        <f t="shared" si="13"/>
        <v>100</v>
      </c>
      <c r="V31" s="774" t="s">
        <v>21</v>
      </c>
      <c r="W31" s="775">
        <f t="shared" si="14"/>
        <v>100</v>
      </c>
      <c r="X31" s="1816"/>
      <c r="Y31" s="3188"/>
      <c r="Z31" s="1817">
        <f t="shared" si="18"/>
        <v>0</v>
      </c>
      <c r="AA31" s="1814">
        <f t="shared" si="15"/>
        <v>1</v>
      </c>
      <c r="AB31" s="1814">
        <f t="shared" si="16"/>
        <v>1</v>
      </c>
      <c r="AC31" s="1814">
        <f t="shared" si="17"/>
        <v>1</v>
      </c>
    </row>
    <row r="32" spans="1:29" ht="15">
      <c r="A32" s="440" t="s">
        <v>2562</v>
      </c>
      <c r="B32" s="71" t="s">
        <v>2563</v>
      </c>
      <c r="C32" s="2617" t="s">
        <v>3074</v>
      </c>
      <c r="D32" s="467">
        <v>100</v>
      </c>
      <c r="E32" s="2617" t="s">
        <v>3074</v>
      </c>
      <c r="F32" s="461">
        <f>SUMIF(100:100,E32,101:101)-SUMIF(100:100,C32,101:101)+100</f>
        <v>100</v>
      </c>
      <c r="G32" s="2617" t="s">
        <v>3074</v>
      </c>
      <c r="H32" s="467">
        <f>SUMIF(100:100,G32,101:101)-SUMIF(100:100,C32,101:101)+100</f>
        <v>100</v>
      </c>
      <c r="I32" s="2617" t="s">
        <v>3074</v>
      </c>
      <c r="J32" s="435">
        <f>SUMIF(100:100,I32,101:101)-SUMIF(100:100,C32,101:101)+100</f>
        <v>100</v>
      </c>
      <c r="K32" s="426">
        <v>3</v>
      </c>
      <c r="L32" s="1143"/>
      <c r="M32" s="1134"/>
      <c r="N32" s="1134"/>
      <c r="O32" s="1134"/>
      <c r="P32" s="3212" t="s">
        <v>2564</v>
      </c>
      <c r="Q32" s="1813" t="str">
        <f t="shared" si="11"/>
        <v>建筑类型</v>
      </c>
      <c r="R32" s="774" t="s">
        <v>21</v>
      </c>
      <c r="S32" s="775">
        <f t="shared" si="12"/>
        <v>100</v>
      </c>
      <c r="T32" s="774" t="s">
        <v>21</v>
      </c>
      <c r="U32" s="775">
        <f t="shared" si="13"/>
        <v>100</v>
      </c>
      <c r="V32" s="774" t="s">
        <v>21</v>
      </c>
      <c r="W32" s="775">
        <f t="shared" si="14"/>
        <v>100</v>
      </c>
      <c r="X32" s="1816"/>
      <c r="Y32" s="3190"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41"/>
      <c r="M33" s="1144"/>
      <c r="N33" s="1144"/>
      <c r="O33" s="1144"/>
      <c r="P33" s="3213"/>
      <c r="Q33" s="776" t="str">
        <f t="shared" si="11"/>
        <v>项目建筑规模</v>
      </c>
      <c r="R33" s="777" t="s">
        <v>21</v>
      </c>
      <c r="S33" s="778">
        <f t="shared" si="12"/>
        <v>100</v>
      </c>
      <c r="T33" s="777" t="s">
        <v>21</v>
      </c>
      <c r="U33" s="778">
        <f t="shared" si="13"/>
        <v>100</v>
      </c>
      <c r="V33" s="777" t="s">
        <v>21</v>
      </c>
      <c r="W33" s="778">
        <f t="shared" si="14"/>
        <v>100</v>
      </c>
      <c r="X33" s="779"/>
      <c r="Y33" s="3190"/>
      <c r="Z33" s="780" t="str">
        <f t="shared" si="18"/>
        <v>项目建筑规模</v>
      </c>
      <c r="AA33" s="1814">
        <f t="shared" si="15"/>
        <v>1</v>
      </c>
      <c r="AB33" s="1814">
        <f t="shared" si="16"/>
        <v>1</v>
      </c>
      <c r="AC33" s="1814">
        <f t="shared" si="17"/>
        <v>1</v>
      </c>
    </row>
    <row r="34" spans="1:29" ht="15">
      <c r="A34" s="472"/>
      <c r="B34" s="422" t="s">
        <v>2566</v>
      </c>
      <c r="C34" s="2618" t="s">
        <v>3164</v>
      </c>
      <c r="D34" s="435">
        <v>100</v>
      </c>
      <c r="E34" s="2618" t="s">
        <v>3164</v>
      </c>
      <c r="F34" s="461">
        <f>SUMIF(105:105,E34,106:106)-SUMIF(105:105,C34,106:106)+100</f>
        <v>100</v>
      </c>
      <c r="G34" s="2618" t="s">
        <v>3164</v>
      </c>
      <c r="H34" s="435">
        <f>SUMIF(105:105,G34,106:106)-SUMIF(105:105,C34,106:106)+100</f>
        <v>100</v>
      </c>
      <c r="I34" s="2618" t="s">
        <v>3164</v>
      </c>
      <c r="J34" s="435">
        <f>SUMIF(105:105,I34,106:106)-SUMIF(105:105,C34,106:106)+100</f>
        <v>100</v>
      </c>
      <c r="K34" s="426">
        <v>2</v>
      </c>
      <c r="L34" s="1143"/>
      <c r="M34" s="1134"/>
      <c r="N34" s="1134"/>
      <c r="O34" s="1134"/>
      <c r="P34" s="3213"/>
      <c r="Q34" s="1813" t="str">
        <f t="shared" si="11"/>
        <v>建筑结构</v>
      </c>
      <c r="R34" s="774" t="s">
        <v>21</v>
      </c>
      <c r="S34" s="775">
        <f t="shared" si="12"/>
        <v>100</v>
      </c>
      <c r="T34" s="774" t="s">
        <v>21</v>
      </c>
      <c r="U34" s="775">
        <f t="shared" si="13"/>
        <v>100</v>
      </c>
      <c r="V34" s="774" t="s">
        <v>21</v>
      </c>
      <c r="W34" s="775">
        <f t="shared" si="14"/>
        <v>100</v>
      </c>
      <c r="X34" s="1816"/>
      <c r="Y34" s="3190"/>
      <c r="Z34" s="1817" t="str">
        <f t="shared" si="18"/>
        <v>建筑结构</v>
      </c>
      <c r="AA34" s="1814">
        <f t="shared" si="15"/>
        <v>1</v>
      </c>
      <c r="AB34" s="1814">
        <f t="shared" si="16"/>
        <v>1</v>
      </c>
      <c r="AC34" s="1814">
        <f t="shared" si="17"/>
        <v>1</v>
      </c>
    </row>
    <row r="35" spans="1:29" ht="15">
      <c r="A35" s="472"/>
      <c r="B35" s="422" t="s">
        <v>2567</v>
      </c>
      <c r="C35" s="2613" t="s">
        <v>3166</v>
      </c>
      <c r="D35" s="435">
        <v>100</v>
      </c>
      <c r="E35" s="2613" t="s">
        <v>3166</v>
      </c>
      <c r="F35" s="461">
        <f>SUMIF(107:107,E35,108:108)-SUMIF(107:107,C35,108:108)+100</f>
        <v>100</v>
      </c>
      <c r="G35" s="2613" t="s">
        <v>3166</v>
      </c>
      <c r="H35" s="435">
        <f>SUMIF(107:107,G35,108:108)-SUMIF(107:107,C35,108:108)+100</f>
        <v>100</v>
      </c>
      <c r="I35" s="2613" t="s">
        <v>3166</v>
      </c>
      <c r="J35" s="435">
        <f>SUMIF(107:107,I35,108:108)-SUMIF(107:107,C35,108:108)+100</f>
        <v>100</v>
      </c>
      <c r="K35" s="426">
        <v>2</v>
      </c>
      <c r="L35" s="1143"/>
      <c r="M35" s="1134"/>
      <c r="N35" s="1134"/>
      <c r="O35" s="1134"/>
      <c r="P35" s="3213"/>
      <c r="Q35" s="1813" t="str">
        <f t="shared" si="11"/>
        <v>建筑品质</v>
      </c>
      <c r="R35" s="774" t="s">
        <v>21</v>
      </c>
      <c r="S35" s="775">
        <f t="shared" si="12"/>
        <v>100</v>
      </c>
      <c r="T35" s="774" t="s">
        <v>21</v>
      </c>
      <c r="U35" s="775">
        <f t="shared" si="13"/>
        <v>100</v>
      </c>
      <c r="V35" s="774" t="s">
        <v>21</v>
      </c>
      <c r="W35" s="775">
        <f t="shared" si="14"/>
        <v>100</v>
      </c>
      <c r="X35" s="1816"/>
      <c r="Y35" s="3190"/>
      <c r="Z35" s="1817" t="str">
        <f t="shared" si="18"/>
        <v>建筑品质</v>
      </c>
      <c r="AA35" s="1814">
        <f t="shared" si="15"/>
        <v>1</v>
      </c>
      <c r="AB35" s="1814">
        <f t="shared" si="16"/>
        <v>1</v>
      </c>
      <c r="AC35" s="1814">
        <f t="shared" si="17"/>
        <v>1</v>
      </c>
    </row>
    <row r="36" spans="1:29" ht="15">
      <c r="A36" s="472"/>
      <c r="B36" s="422" t="s">
        <v>2568</v>
      </c>
      <c r="C36" s="2613" t="s">
        <v>3168</v>
      </c>
      <c r="D36" s="435">
        <v>100</v>
      </c>
      <c r="E36" s="2613" t="s">
        <v>3168</v>
      </c>
      <c r="F36" s="461">
        <f>SUMIF(109:109,E36,110:110)-SUMIF(109:109,C36,110:110)+100</f>
        <v>100</v>
      </c>
      <c r="G36" s="2613" t="s">
        <v>3168</v>
      </c>
      <c r="H36" s="435">
        <f>SUMIF(109:109,G36,110:110)-SUMIF(109:109,C36,110:110)+100</f>
        <v>100</v>
      </c>
      <c r="I36" s="2613" t="s">
        <v>3168</v>
      </c>
      <c r="J36" s="435">
        <f>SUMIF(109:109,I36,110:110)-SUMIF(109:109,C36,110:110)+100</f>
        <v>100</v>
      </c>
      <c r="K36" s="426">
        <v>2</v>
      </c>
      <c r="L36" s="1143"/>
      <c r="M36" s="1134"/>
      <c r="N36" s="1134"/>
      <c r="O36" s="1134"/>
      <c r="P36" s="3213"/>
      <c r="Q36" s="1813" t="str">
        <f t="shared" si="11"/>
        <v>公共部分装修</v>
      </c>
      <c r="R36" s="774" t="s">
        <v>21</v>
      </c>
      <c r="S36" s="775">
        <f t="shared" si="12"/>
        <v>100</v>
      </c>
      <c r="T36" s="774" t="s">
        <v>21</v>
      </c>
      <c r="U36" s="775">
        <f t="shared" si="13"/>
        <v>100</v>
      </c>
      <c r="V36" s="774" t="s">
        <v>21</v>
      </c>
      <c r="W36" s="775">
        <f t="shared" si="14"/>
        <v>100</v>
      </c>
      <c r="X36" s="1816"/>
      <c r="Y36" s="3190"/>
      <c r="Z36" s="1817" t="str">
        <f t="shared" si="18"/>
        <v>公共部分装修</v>
      </c>
      <c r="AA36" s="1814">
        <f t="shared" si="15"/>
        <v>1</v>
      </c>
      <c r="AB36" s="1814">
        <f t="shared" si="16"/>
        <v>1</v>
      </c>
      <c r="AC36" s="1814">
        <f t="shared" si="17"/>
        <v>1</v>
      </c>
    </row>
    <row r="37" spans="1:29" s="117" customFormat="1" ht="15">
      <c r="A37" s="473"/>
      <c r="B37" s="422" t="s">
        <v>2569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13"/>
      <c r="Q37" s="1798" t="str">
        <f t="shared" si="11"/>
        <v>成新度</v>
      </c>
      <c r="R37" s="770" t="s">
        <v>21</v>
      </c>
      <c r="S37" s="771">
        <f t="shared" si="12"/>
        <v>100</v>
      </c>
      <c r="T37" s="770" t="s">
        <v>21</v>
      </c>
      <c r="U37" s="771">
        <f t="shared" si="13"/>
        <v>100</v>
      </c>
      <c r="V37" s="770" t="s">
        <v>21</v>
      </c>
      <c r="W37" s="771">
        <f t="shared" si="14"/>
        <v>100</v>
      </c>
      <c r="X37" s="772"/>
      <c r="Y37" s="3190"/>
      <c r="Z37" s="55" t="str">
        <f t="shared" si="18"/>
        <v>成新度</v>
      </c>
      <c r="AA37" s="773">
        <f t="shared" si="15"/>
        <v>1</v>
      </c>
      <c r="AB37" s="773">
        <f t="shared" si="16"/>
        <v>1</v>
      </c>
      <c r="AC37" s="773">
        <f t="shared" si="17"/>
        <v>1</v>
      </c>
    </row>
    <row r="38" spans="1:29" ht="15">
      <c r="A38" s="472"/>
      <c r="B38" s="422" t="s">
        <v>2570</v>
      </c>
      <c r="C38" s="2613" t="s">
        <v>3170</v>
      </c>
      <c r="D38" s="435">
        <v>100</v>
      </c>
      <c r="E38" s="2613" t="s">
        <v>3170</v>
      </c>
      <c r="F38" s="461">
        <f>SUMIF(114:114,E38,115:115)-SUMIF(114:114,C38,115:115)+100</f>
        <v>100</v>
      </c>
      <c r="G38" s="2613" t="s">
        <v>3170</v>
      </c>
      <c r="H38" s="435">
        <f>SUMIF(114:114,G38,115:115)-SUMIF(114:114,C38,115:115)+100</f>
        <v>100</v>
      </c>
      <c r="I38" s="2613" t="s">
        <v>3170</v>
      </c>
      <c r="J38" s="435">
        <f>SUMIF(114:114,I38,115:115)-SUMIF(114:114,C38,115:115)+100</f>
        <v>100</v>
      </c>
      <c r="K38" s="426">
        <v>2</v>
      </c>
      <c r="L38" s="1143"/>
      <c r="M38" s="1134"/>
      <c r="N38" s="1134"/>
      <c r="O38" s="1134"/>
      <c r="P38" s="3213" t="s">
        <v>2564</v>
      </c>
      <c r="Q38" s="1813" t="str">
        <f t="shared" si="11"/>
        <v>物业管理</v>
      </c>
      <c r="R38" s="774" t="s">
        <v>21</v>
      </c>
      <c r="S38" s="775">
        <f t="shared" si="12"/>
        <v>100</v>
      </c>
      <c r="T38" s="774" t="s">
        <v>21</v>
      </c>
      <c r="U38" s="775">
        <f t="shared" si="13"/>
        <v>100</v>
      </c>
      <c r="V38" s="774" t="s">
        <v>21</v>
      </c>
      <c r="W38" s="775">
        <f t="shared" si="14"/>
        <v>100</v>
      </c>
      <c r="X38" s="1816"/>
      <c r="Y38" s="3190" t="s">
        <v>2564</v>
      </c>
      <c r="Z38" s="1817" t="str">
        <f t="shared" si="18"/>
        <v>物业管理</v>
      </c>
      <c r="AA38" s="1814">
        <f t="shared" si="15"/>
        <v>1</v>
      </c>
      <c r="AB38" s="1814">
        <f t="shared" si="16"/>
        <v>1</v>
      </c>
      <c r="AC38" s="1814">
        <f t="shared" si="17"/>
        <v>1</v>
      </c>
    </row>
    <row r="39" spans="1:29" ht="15">
      <c r="A39" s="472"/>
      <c r="B39" s="422" t="s">
        <v>2571</v>
      </c>
      <c r="C39" s="2613" t="s">
        <v>3159</v>
      </c>
      <c r="D39" s="435">
        <v>100</v>
      </c>
      <c r="E39" s="2613" t="s">
        <v>3159</v>
      </c>
      <c r="F39" s="461">
        <f>SUMIF(116:116,E39,117:117)-SUMIF(116:116,C39,117:117)+100</f>
        <v>100</v>
      </c>
      <c r="G39" s="2613" t="s">
        <v>3159</v>
      </c>
      <c r="H39" s="435">
        <f>SUMIF(116:116,G39,117:117)-SUMIF(116:116,C39,117:117)+100</f>
        <v>100</v>
      </c>
      <c r="I39" s="2613" t="s">
        <v>3159</v>
      </c>
      <c r="J39" s="435">
        <f>SUMIF(116:116,I39,117:117)-SUMIF(116:116,C39,117:117)+100</f>
        <v>100</v>
      </c>
      <c r="K39" s="426">
        <v>1</v>
      </c>
      <c r="L39" s="1143"/>
      <c r="M39" s="1134"/>
      <c r="N39" s="1134"/>
      <c r="O39" s="1134"/>
      <c r="P39" s="3213"/>
      <c r="Q39" s="1813" t="str">
        <f t="shared" si="11"/>
        <v>市政基础设施</v>
      </c>
      <c r="R39" s="774" t="s">
        <v>21</v>
      </c>
      <c r="S39" s="775">
        <f t="shared" si="12"/>
        <v>100</v>
      </c>
      <c r="T39" s="774" t="s">
        <v>21</v>
      </c>
      <c r="U39" s="775">
        <f t="shared" si="13"/>
        <v>100</v>
      </c>
      <c r="V39" s="774" t="s">
        <v>21</v>
      </c>
      <c r="W39" s="775">
        <f t="shared" si="14"/>
        <v>100</v>
      </c>
      <c r="X39" s="1816"/>
      <c r="Y39" s="3190"/>
      <c r="Z39" s="1817" t="str">
        <f t="shared" si="18"/>
        <v>市政基础设施</v>
      </c>
      <c r="AA39" s="1814">
        <f t="shared" si="15"/>
        <v>1</v>
      </c>
      <c r="AB39" s="1814">
        <f t="shared" si="16"/>
        <v>1</v>
      </c>
      <c r="AC39" s="1814">
        <f t="shared" si="17"/>
        <v>1</v>
      </c>
    </row>
    <row r="40" spans="1:29" ht="15">
      <c r="A40" s="472"/>
      <c r="B40" s="422" t="s">
        <v>2572</v>
      </c>
      <c r="C40" s="2613" t="s">
        <v>3176</v>
      </c>
      <c r="D40" s="435">
        <v>100</v>
      </c>
      <c r="E40" s="2613" t="s">
        <v>3176</v>
      </c>
      <c r="F40" s="461">
        <f>SUMIF(118:118,E40,119:119)-SUMIF(118:118,C40,119:119)+100</f>
        <v>100</v>
      </c>
      <c r="G40" s="2613" t="s">
        <v>3176</v>
      </c>
      <c r="H40" s="435">
        <f>SUMIF(118:118,G40,119:119)-SUMIF(118:118,C40,119:119)+100</f>
        <v>100</v>
      </c>
      <c r="I40" s="2613" t="s">
        <v>3176</v>
      </c>
      <c r="J40" s="435">
        <f>SUMIF(118:118,I40,119:119)-SUMIF(118:118,C40,119:119)+100</f>
        <v>100</v>
      </c>
      <c r="K40" s="426">
        <v>2</v>
      </c>
      <c r="L40" s="1143"/>
      <c r="M40" s="1134"/>
      <c r="N40" s="1134"/>
      <c r="O40" s="1134"/>
      <c r="P40" s="3213"/>
      <c r="Q40" s="1813" t="str">
        <f t="shared" si="11"/>
        <v>房型</v>
      </c>
      <c r="R40" s="774" t="s">
        <v>21</v>
      </c>
      <c r="S40" s="775">
        <f t="shared" si="12"/>
        <v>100</v>
      </c>
      <c r="T40" s="774" t="s">
        <v>21</v>
      </c>
      <c r="U40" s="775">
        <f t="shared" si="13"/>
        <v>100</v>
      </c>
      <c r="V40" s="774" t="s">
        <v>21</v>
      </c>
      <c r="W40" s="775">
        <f t="shared" si="14"/>
        <v>100</v>
      </c>
      <c r="X40" s="1816"/>
      <c r="Y40" s="3190"/>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13"/>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4">
        <f t="shared" si="15"/>
        <v>1</v>
      </c>
      <c r="AB41" s="1814">
        <f t="shared" si="16"/>
        <v>1</v>
      </c>
      <c r="AC41" s="1814">
        <f t="shared" si="17"/>
        <v>1</v>
      </c>
    </row>
    <row r="42" spans="1:29" ht="15">
      <c r="A42" s="472"/>
      <c r="B42" s="422" t="s">
        <v>2574</v>
      </c>
      <c r="C42" s="2613" t="s">
        <v>3168</v>
      </c>
      <c r="D42" s="435">
        <v>100</v>
      </c>
      <c r="E42" s="2613" t="s">
        <v>3168</v>
      </c>
      <c r="F42" s="461">
        <f>SUMIF(122:122,E42,123:123)-SUMIF(122:122,C42,123:123)+100</f>
        <v>100</v>
      </c>
      <c r="G42" s="2613" t="s">
        <v>3168</v>
      </c>
      <c r="H42" s="435">
        <f>SUMIF(122:122,G42,123:123)-SUMIF(122:122,C42,123:123)+100</f>
        <v>100</v>
      </c>
      <c r="I42" s="2613" t="s">
        <v>3168</v>
      </c>
      <c r="J42" s="435">
        <f>SUMIF(122:122,I42,123:123)-SUMIF(122:122,C42,123:123)+100</f>
        <v>100</v>
      </c>
      <c r="K42" s="426">
        <v>2</v>
      </c>
      <c r="L42" s="1143"/>
      <c r="M42" s="1134"/>
      <c r="N42" s="1134"/>
      <c r="O42" s="1134"/>
      <c r="P42" s="3213"/>
      <c r="Q42" s="1813" t="str">
        <f t="shared" si="11"/>
        <v>内部装修</v>
      </c>
      <c r="R42" s="774" t="s">
        <v>21</v>
      </c>
      <c r="S42" s="775">
        <f t="shared" si="12"/>
        <v>100</v>
      </c>
      <c r="T42" s="774" t="s">
        <v>21</v>
      </c>
      <c r="U42" s="775">
        <f t="shared" si="13"/>
        <v>100</v>
      </c>
      <c r="V42" s="774" t="s">
        <v>21</v>
      </c>
      <c r="W42" s="775">
        <f t="shared" si="14"/>
        <v>100</v>
      </c>
      <c r="X42" s="1816"/>
      <c r="Y42" s="3190"/>
      <c r="Z42" s="1817" t="str">
        <f t="shared" si="18"/>
        <v>内部装修</v>
      </c>
      <c r="AA42" s="1814">
        <f t="shared" si="15"/>
        <v>1</v>
      </c>
      <c r="AB42" s="1814">
        <f t="shared" si="16"/>
        <v>1</v>
      </c>
      <c r="AC42" s="1814">
        <f t="shared" si="17"/>
        <v>1</v>
      </c>
    </row>
    <row r="43" spans="1:29" ht="15">
      <c r="A43" s="472"/>
      <c r="B43" s="422" t="s">
        <v>2575</v>
      </c>
      <c r="C43" s="2613" t="s">
        <v>3162</v>
      </c>
      <c r="D43" s="435">
        <v>100</v>
      </c>
      <c r="E43" s="2613" t="s">
        <v>3162</v>
      </c>
      <c r="F43" s="461">
        <f>SUMIF(124:124,E43,125:125)-SUMIF(124:124,C43,125:125)+100</f>
        <v>100</v>
      </c>
      <c r="G43" s="2613" t="s">
        <v>3162</v>
      </c>
      <c r="H43" s="435">
        <f>SUMIF(124:124,G43,125:125)-SUMIF(124:124,C43,125:125)+100</f>
        <v>100</v>
      </c>
      <c r="I43" s="2613" t="s">
        <v>3162</v>
      </c>
      <c r="J43" s="435">
        <f>SUMIF(124:124,I43,125:125)-SUMIF(124:124,C43,125:125)+100</f>
        <v>100</v>
      </c>
      <c r="K43" s="426">
        <v>2</v>
      </c>
      <c r="L43" s="1143"/>
      <c r="M43" s="1134"/>
      <c r="N43" s="1134"/>
      <c r="O43" s="1134"/>
      <c r="P43" s="3213"/>
      <c r="Q43" s="1813" t="str">
        <f t="shared" si="11"/>
        <v>内部装修维护情况</v>
      </c>
      <c r="R43" s="774" t="s">
        <v>21</v>
      </c>
      <c r="S43" s="775">
        <f t="shared" si="12"/>
        <v>100</v>
      </c>
      <c r="T43" s="774" t="s">
        <v>21</v>
      </c>
      <c r="U43" s="775">
        <f t="shared" si="13"/>
        <v>100</v>
      </c>
      <c r="V43" s="774" t="s">
        <v>21</v>
      </c>
      <c r="W43" s="775">
        <f t="shared" si="14"/>
        <v>100</v>
      </c>
      <c r="X43" s="1816"/>
      <c r="Y43" s="319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13"/>
      <c r="Q44" s="1798">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13"/>
      <c r="Q45" s="1813">
        <f t="shared" si="11"/>
        <v>111</v>
      </c>
      <c r="R45" s="774" t="s">
        <v>21</v>
      </c>
      <c r="S45" s="775">
        <f t="shared" si="12"/>
        <v>100</v>
      </c>
      <c r="T45" s="774" t="s">
        <v>21</v>
      </c>
      <c r="U45" s="775">
        <f t="shared" si="13"/>
        <v>100</v>
      </c>
      <c r="V45" s="774" t="s">
        <v>21</v>
      </c>
      <c r="W45" s="775">
        <f t="shared" si="14"/>
        <v>100</v>
      </c>
      <c r="X45" s="1816"/>
      <c r="Y45" s="3190"/>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14"/>
      <c r="Q46" s="1813">
        <f t="shared" si="11"/>
        <v>111</v>
      </c>
      <c r="R46" s="774" t="s">
        <v>20</v>
      </c>
      <c r="S46" s="775">
        <f t="shared" si="12"/>
        <v>100</v>
      </c>
      <c r="T46" s="774" t="s">
        <v>20</v>
      </c>
      <c r="U46" s="775">
        <f t="shared" si="13"/>
        <v>100</v>
      </c>
      <c r="V46" s="774" t="s">
        <v>20</v>
      </c>
      <c r="W46" s="775">
        <f t="shared" si="14"/>
        <v>100</v>
      </c>
      <c r="X46" s="1816"/>
      <c r="Y46" s="3215"/>
      <c r="Z46" s="1817">
        <f t="shared" si="18"/>
        <v>111</v>
      </c>
      <c r="AA46" s="1814">
        <f t="shared" si="15"/>
        <v>1</v>
      </c>
      <c r="AB46" s="1814">
        <f t="shared" si="16"/>
        <v>1</v>
      </c>
      <c r="AC46" s="1814">
        <f t="shared" si="17"/>
        <v>1</v>
      </c>
    </row>
    <row r="47" spans="1:29" ht="15">
      <c r="A47" s="479" t="s">
        <v>2576</v>
      </c>
      <c r="B47" s="480"/>
      <c r="C47" s="1410" t="s">
        <v>19</v>
      </c>
      <c r="D47" s="1411"/>
      <c r="E47" s="1412">
        <v>15000</v>
      </c>
      <c r="F47" s="1413"/>
      <c r="G47" s="1414">
        <v>13000</v>
      </c>
      <c r="H47" s="1415"/>
      <c r="I47" s="1412">
        <v>13000</v>
      </c>
      <c r="J47" s="1415"/>
      <c r="K47" s="2619"/>
      <c r="L47" s="1146"/>
      <c r="M47" s="1147"/>
      <c r="N47" s="1134"/>
      <c r="O47" s="1147"/>
      <c r="P47" s="3172" t="str">
        <f>A47</f>
        <v>成交单价（元/平方米）</v>
      </c>
      <c r="Q47" s="3172"/>
      <c r="R47" s="3211">
        <f>E47</f>
        <v>15000</v>
      </c>
      <c r="S47" s="3211"/>
      <c r="T47" s="3211">
        <f>G47</f>
        <v>13000</v>
      </c>
      <c r="U47" s="3211"/>
      <c r="V47" s="3211">
        <f>I47</f>
        <v>13000</v>
      </c>
      <c r="W47" s="3211"/>
      <c r="X47" s="759"/>
      <c r="Y47" s="781"/>
      <c r="Z47" s="759"/>
      <c r="AA47" s="759"/>
      <c r="AB47" s="759"/>
      <c r="AC47" s="759"/>
    </row>
    <row r="48" spans="1:29" ht="15.75" thickBot="1">
      <c r="A48" s="486" t="s">
        <v>2577</v>
      </c>
      <c r="B48" s="487"/>
      <c r="C48" s="1416">
        <f>R49</f>
        <v>14029</v>
      </c>
      <c r="D48" s="1417"/>
      <c r="E48" s="1418">
        <f>R48</f>
        <v>15002</v>
      </c>
      <c r="F48" s="1418"/>
      <c r="G48" s="1416">
        <f>T48</f>
        <v>13543</v>
      </c>
      <c r="H48" s="1417"/>
      <c r="I48" s="1418">
        <f>V48</f>
        <v>13543</v>
      </c>
      <c r="J48" s="1417"/>
      <c r="K48" s="2620"/>
      <c r="L48" s="1146"/>
      <c r="M48" s="1147"/>
      <c r="N48" s="1147"/>
      <c r="O48" s="1147"/>
      <c r="P48" s="3172" t="str">
        <f>A48</f>
        <v>比较价值（元/平方米）</v>
      </c>
      <c r="Q48" s="3172"/>
      <c r="R48" s="3211">
        <f>IF(F1="售价",ROUND(PRODUCT(R47,AA7:AA46),0),ROUND(PRODUCT(R47,AA7:AA46),1))</f>
        <v>15002</v>
      </c>
      <c r="S48" s="3211"/>
      <c r="T48" s="3211">
        <f>IF(F1="售价",ROUND(PRODUCT(T47,AB7:AB46),0),ROUND(PRODUCT(T47,AB7:AB46),1))</f>
        <v>13543</v>
      </c>
      <c r="U48" s="3211"/>
      <c r="V48" s="3211">
        <f>IF(F1="售价",ROUND(PRODUCT(V47,AC7:AC46),0),ROUND(PRODUCT(V47,AC7:AC46),1))</f>
        <v>13543</v>
      </c>
      <c r="W48" s="3211"/>
      <c r="X48" s="759"/>
      <c r="Y48" s="759"/>
      <c r="Z48" s="759"/>
      <c r="AA48" s="759"/>
      <c r="AB48" s="759"/>
      <c r="AC48" s="759"/>
    </row>
    <row r="49" spans="1:29" ht="15.75" thickBot="1">
      <c r="A49" s="492" t="s">
        <v>2578</v>
      </c>
      <c r="B49" s="493"/>
      <c r="C49" s="1419">
        <f>R49</f>
        <v>14029</v>
      </c>
      <c r="D49" s="1420"/>
      <c r="E49" s="1420"/>
      <c r="F49" s="1420"/>
      <c r="G49" s="1420"/>
      <c r="H49" s="1420"/>
      <c r="I49" s="1420"/>
      <c r="J49" s="1420"/>
      <c r="K49" s="2621"/>
      <c r="L49" s="1146"/>
      <c r="M49" s="1147"/>
      <c r="N49" s="1147"/>
      <c r="O49" s="1147"/>
      <c r="P49" s="3192" t="str">
        <f>A49</f>
        <v>估价对象XX用房的比较价值（楼面单价，元/平方米）</v>
      </c>
      <c r="Q49" s="3193"/>
      <c r="R49" s="3210">
        <f>IF(F1="售价",ROUND(AVERAGE(R48:V48),0),ROUND(AVERAGE(R48:V48),1))</f>
        <v>14029</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1.3333333333331865E-4</v>
      </c>
      <c r="F52" s="500" t="str">
        <f>IF(OR(E52&gt;=0.3,E52&lt;=-0.3),"超过30%","")</f>
        <v/>
      </c>
      <c r="G52" s="499">
        <f>IF(G47&lt;G48,G48/G47-1,G47/G48-1)</f>
        <v>4.1769230769230781E-2</v>
      </c>
      <c r="H52" s="500" t="str">
        <f>IF(OR(G52&gt;=0.3,G52&lt;=-0.3),"超过30%","")</f>
        <v/>
      </c>
      <c r="I52" s="499">
        <f>IF(I47&lt;I48,I48/I47-1,I47/I48-1)</f>
        <v>4.1769230769230781E-2</v>
      </c>
      <c r="J52" s="500" t="str">
        <f>IF(OR(I52&gt;=0.3,I52&lt;=-0.3),"超过30%","")</f>
        <v/>
      </c>
      <c r="K52" s="1108"/>
      <c r="L52" s="1109"/>
      <c r="M52" s="1147"/>
      <c r="N52" s="1147"/>
      <c r="O52" s="1147"/>
    </row>
    <row r="53" spans="1:29" ht="13.5" customHeight="1">
      <c r="A53" s="1147"/>
      <c r="B53" s="1147"/>
      <c r="C53" s="497" t="s">
        <v>2580</v>
      </c>
      <c r="D53" s="501"/>
      <c r="E53" s="499">
        <f>IF(E48&lt;G48,G48/E48-1,E48/G48-1)</f>
        <v>0.10773093110832166</v>
      </c>
      <c r="F53" s="500" t="str">
        <f>IF(OR(E53&gt;=0.2,E53&lt;=-0.2),"超过20%","")</f>
        <v/>
      </c>
      <c r="G53" s="499">
        <f>IF(G48&lt;I48,I48/G48-1,G48/I48-1)</f>
        <v>0</v>
      </c>
      <c r="H53" s="500" t="str">
        <f>IF(OR(G53&gt;=0.2,G53&lt;=-0.2),"超过20%","")</f>
        <v/>
      </c>
      <c r="I53" s="499">
        <f>IF(I48&lt;E48,E48/I48-1,I48/E48-1)</f>
        <v>0.10773093110832166</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0.15384615384615374</v>
      </c>
      <c r="F54" s="500" t="str">
        <f>IF(OR(E54&gt;=0.3,E54&lt;=-0.3),"超过30%","")</f>
        <v/>
      </c>
      <c r="G54" s="499">
        <f>IF(G47&lt;I47,I47/G47-1,G47/I47-1)</f>
        <v>0</v>
      </c>
      <c r="H54" s="500" t="str">
        <f>IF(OR(G54&gt;=0.3,G54&lt;=-0.3),"超过30%","")</f>
        <v/>
      </c>
      <c r="I54" s="499">
        <f>IF(I47&lt;E47,E47/I47-1,I47/E47-1)</f>
        <v>0.15384615384615374</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4"/>
      <c r="Q57" s="504"/>
    </row>
    <row r="58" spans="1:29" s="508" customFormat="1" ht="15">
      <c r="A58" s="505" t="s">
        <v>2583</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5"/>
      <c r="C59" s="1576">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28"/>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v>2</v>
      </c>
      <c r="F68" s="549">
        <v>3</v>
      </c>
      <c r="G68" s="549">
        <v>4</v>
      </c>
      <c r="H68" s="549">
        <v>5</v>
      </c>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28"/>
      <c r="Q85" s="504"/>
    </row>
    <row r="86" spans="1:17" s="117" customFormat="1" ht="15.75" thickTop="1">
      <c r="A86" s="579"/>
      <c r="B86" s="538" t="s">
        <v>2609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2610</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0</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0</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0</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0</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0</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2562</v>
      </c>
      <c r="B100" s="528" t="s">
        <v>2611</v>
      </c>
      <c r="C100" s="2952" t="s">
        <v>3228</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6"/>
      <c r="O101" s="1156"/>
      <c r="P101" s="2628"/>
      <c r="Q101" s="504"/>
    </row>
    <row r="102" spans="1:17" ht="15.75" thickTop="1">
      <c r="A102" s="534"/>
      <c r="B102" s="538" t="s">
        <v>2612</v>
      </c>
      <c r="C102" s="578" t="str">
        <f>C103&amp;"(含)"&amp;"-"&amp;D103</f>
        <v>0(含)-10000</v>
      </c>
      <c r="D102" s="578" t="str">
        <f t="shared" ref="D102:L102" si="27">D103&amp;"(含)"&amp;"-"&amp;E103</f>
        <v>10000(含)-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10000</v>
      </c>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2613</v>
      </c>
      <c r="C105" s="2951" t="s">
        <v>3165</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2614</v>
      </c>
      <c r="C107" s="2953" t="s">
        <v>3167</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8"/>
      <c r="Q108" s="504"/>
    </row>
    <row r="109" spans="1:17" ht="15" thickTop="1">
      <c r="A109" s="599"/>
      <c r="B109" s="538" t="s">
        <v>2615</v>
      </c>
      <c r="C109" s="2951" t="s">
        <v>3169</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2616</v>
      </c>
      <c r="C114" s="2951" t="s">
        <v>3171</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2617</v>
      </c>
      <c r="C116" s="554" t="s">
        <v>3159</v>
      </c>
      <c r="D116" s="554" t="s">
        <v>3172</v>
      </c>
      <c r="E116" s="554" t="s">
        <v>3173</v>
      </c>
      <c r="F116" s="554" t="s">
        <v>3174</v>
      </c>
      <c r="G116" s="554" t="s">
        <v>3175</v>
      </c>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2618</v>
      </c>
      <c r="C118" s="2953" t="s">
        <v>3177</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28"/>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2619</v>
      </c>
      <c r="C122" s="2951" t="s">
        <v>3178</v>
      </c>
      <c r="D122" s="2951" t="s">
        <v>3169</v>
      </c>
      <c r="E122" s="2951" t="s">
        <v>3179</v>
      </c>
      <c r="F122" s="2953" t="s">
        <v>3180</v>
      </c>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7">
        <v>6</v>
      </c>
      <c r="C139" s="1088">
        <v>96</v>
      </c>
      <c r="D139" s="2646" t="s">
        <v>2630</v>
      </c>
      <c r="E139" s="1089">
        <v>100</v>
      </c>
      <c r="F139" s="1090">
        <v>102.5</v>
      </c>
      <c r="G139" s="2646" t="s">
        <v>2630</v>
      </c>
      <c r="H139" s="1091">
        <v>105</v>
      </c>
      <c r="I139" s="2647" t="s">
        <v>2631</v>
      </c>
      <c r="J139" s="1088">
        <v>20</v>
      </c>
      <c r="K139" s="1092">
        <f>C145/(J139-2)</f>
        <v>4.0555555555555553E-3</v>
      </c>
    </row>
    <row r="140" spans="1:17" ht="15">
      <c r="B140" s="1093">
        <v>5</v>
      </c>
      <c r="C140" s="1094">
        <v>100</v>
      </c>
      <c r="D140" s="1094"/>
      <c r="E140" s="1095"/>
      <c r="F140" s="1096">
        <v>102</v>
      </c>
      <c r="G140" s="1094"/>
      <c r="H140" s="1097"/>
      <c r="I140" s="2648" t="s">
        <v>2632</v>
      </c>
      <c r="J140" s="315">
        <f>ROUNDUP((J139-1)/2,0)</f>
        <v>10</v>
      </c>
      <c r="K140" s="1098">
        <v>100</v>
      </c>
    </row>
    <row r="141" spans="1:17" ht="15">
      <c r="B141" s="1093">
        <v>4</v>
      </c>
      <c r="C141" s="1094">
        <v>102</v>
      </c>
      <c r="D141" s="1094"/>
      <c r="E141" s="1095"/>
      <c r="F141" s="1096">
        <v>101.5</v>
      </c>
      <c r="G141" s="1094"/>
      <c r="H141" s="1097"/>
      <c r="I141" s="2648" t="s">
        <v>2633</v>
      </c>
      <c r="J141" s="315">
        <v>1</v>
      </c>
      <c r="K141" s="1099">
        <f>ROUND(100+(J141-J140)*K139*100,1)</f>
        <v>96.4</v>
      </c>
    </row>
    <row r="142" spans="1:17" ht="15">
      <c r="B142" s="1093">
        <v>3</v>
      </c>
      <c r="C142" s="1094">
        <v>103</v>
      </c>
      <c r="D142" s="1094"/>
      <c r="E142" s="1095"/>
      <c r="F142" s="1096">
        <v>101</v>
      </c>
      <c r="G142" s="1094"/>
      <c r="H142" s="1097"/>
      <c r="I142" s="2648" t="s">
        <v>2634</v>
      </c>
      <c r="J142" s="315">
        <f>J139</f>
        <v>20</v>
      </c>
      <c r="K142" s="1100">
        <v>95</v>
      </c>
    </row>
    <row r="143" spans="1:17" ht="15">
      <c r="B143" s="1093">
        <v>2</v>
      </c>
      <c r="C143" s="1094">
        <v>100</v>
      </c>
      <c r="D143" s="1094"/>
      <c r="E143" s="1095"/>
      <c r="F143" s="1096">
        <v>100.5</v>
      </c>
      <c r="G143" s="1094"/>
      <c r="H143" s="1097"/>
      <c r="I143" s="2648" t="s">
        <v>2635</v>
      </c>
      <c r="J143" s="1094">
        <v>15</v>
      </c>
      <c r="K143" s="1099">
        <f>ROUND(100+(J143-J140)*K139*100,1)</f>
        <v>102</v>
      </c>
    </row>
    <row r="144" spans="1:17" ht="15">
      <c r="B144" s="1093">
        <v>1</v>
      </c>
      <c r="C144" s="1094">
        <v>98</v>
      </c>
      <c r="D144" s="2649" t="s">
        <v>2636</v>
      </c>
      <c r="E144" s="1095">
        <v>102</v>
      </c>
      <c r="F144" s="1101">
        <v>100</v>
      </c>
      <c r="G144" s="2649" t="s">
        <v>2636</v>
      </c>
      <c r="H144" s="1097">
        <v>105</v>
      </c>
      <c r="I144" s="2648" t="s">
        <v>2635</v>
      </c>
      <c r="J144" s="1094">
        <v>18</v>
      </c>
      <c r="K144" s="1099">
        <f>ROUND(100+(J144-J140)*K139*100,1)</f>
        <v>103.2</v>
      </c>
    </row>
    <row r="145" spans="2:11" ht="15.75" thickBot="1">
      <c r="B145" s="2650" t="s">
        <v>2637</v>
      </c>
      <c r="C145" s="1102">
        <f>ROUND(MAX(C139:C144)/MIN(C139:C144)-1,3)</f>
        <v>7.2999999999999995E-2</v>
      </c>
      <c r="D145" s="1103"/>
      <c r="E145" s="1103"/>
      <c r="F145" s="2651" t="s">
        <v>2638</v>
      </c>
      <c r="G145" s="2652"/>
      <c r="H145" s="2653"/>
      <c r="I145" s="2654" t="s">
        <v>2635</v>
      </c>
      <c r="J145" s="1104">
        <v>8</v>
      </c>
      <c r="K145" s="1105">
        <f>ROUND(100+(J145-J140)*K139*100,1)</f>
        <v>99.2</v>
      </c>
    </row>
    <row r="147" spans="2:11">
      <c r="B147" s="2635" t="s">
        <v>2639</v>
      </c>
    </row>
    <row r="148" spans="2:11">
      <c r="B148" s="263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E57" sqref="E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48</v>
      </c>
      <c r="C1" s="242"/>
      <c r="D1" s="242"/>
      <c r="E1" s="242"/>
      <c r="F1" s="242"/>
      <c r="G1" s="1382">
        <f>MATCH(B1,'数据-取费表'!A6:A16,0)+5</f>
        <v>7</v>
      </c>
    </row>
    <row r="2" spans="1:9" s="244" customFormat="1" ht="18" customHeight="1">
      <c r="A2" s="245" t="s">
        <v>1394</v>
      </c>
      <c r="B2" s="246">
        <f ca="1">IF(D2="——",C52,C52-E2)</f>
        <v>11087</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3713</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 ca="1">C6+C7+C8</f>
        <v>2261</v>
      </c>
      <c r="D5" s="255" t="s">
        <v>2333</v>
      </c>
      <c r="E5" s="256" t="s">
        <v>2334</v>
      </c>
      <c r="F5" s="256" t="s">
        <v>2335</v>
      </c>
      <c r="G5" s="257"/>
    </row>
    <row r="6" spans="1:9" s="258" customFormat="1" ht="13.5" customHeight="1">
      <c r="A6" s="952" t="s">
        <v>791</v>
      </c>
      <c r="B6" s="259" t="s">
        <v>2337</v>
      </c>
      <c r="C6" s="260">
        <f>'土地比较法-住宅、综合'!F63</f>
        <v>1615</v>
      </c>
      <c r="D6" s="261"/>
      <c r="E6" s="262"/>
      <c r="F6" s="262"/>
      <c r="G6" s="263"/>
    </row>
    <row r="7" spans="1:9" s="258" customFormat="1" ht="13.5" customHeight="1">
      <c r="A7" s="952" t="s">
        <v>792</v>
      </c>
      <c r="B7" s="259" t="s">
        <v>2339</v>
      </c>
      <c r="C7" s="264">
        <f>ROUND(C6*F7,0)</f>
        <v>49</v>
      </c>
      <c r="D7" s="264"/>
      <c r="E7" s="262"/>
      <c r="F7" s="265">
        <f>'数据-取费表'!B48+'数据-取费表'!B49</f>
        <v>3.0499999999999999E-2</v>
      </c>
      <c r="G7" s="263"/>
    </row>
    <row r="8" spans="1:9" s="267" customFormat="1">
      <c r="A8" s="952" t="s">
        <v>793</v>
      </c>
      <c r="B8" s="259" t="s">
        <v>2341</v>
      </c>
      <c r="C8" s="264">
        <f ca="1">IF(G8="已包含在土地购买价格中","0",IF(B1="",'数据-取费表'!B29,IF(G9="全部缴纳",C9+C10,H9)))</f>
        <v>597</v>
      </c>
      <c r="D8" s="266"/>
      <c r="E8" s="264"/>
      <c r="F8" s="265"/>
      <c r="G8" s="2551" t="s">
        <v>3238</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t="s">
        <v>3239</v>
      </c>
      <c r="H9" s="2966">
        <f ca="1">C10</f>
        <v>597</v>
      </c>
      <c r="I9" s="2553" t="s">
        <v>2343</v>
      </c>
    </row>
    <row r="10" spans="1:9" s="258" customFormat="1" ht="13.5" customHeight="1">
      <c r="A10" s="953" t="s">
        <v>801</v>
      </c>
      <c r="B10" s="268" t="s">
        <v>2344</v>
      </c>
      <c r="C10" s="269">
        <f ca="1">ROUND(D10*E10/10000,0)</f>
        <v>597</v>
      </c>
      <c r="D10" s="1035">
        <f ca="1">IF(B1="",'数据-汇总表'!E6,IF(INDIRECT("'数据-取费表'!c"&amp;$G$1)="住宅",INDIRECT("'数据-取费表'!s"&amp;$G$1),INDIRECT("'数据-取费表'!k"&amp;$G$1)+INDIRECT("'数据-取费表'!s"&amp;$G$1)))</f>
        <v>29858.400000000001</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29858.400000000001</v>
      </c>
      <c r="E19" s="255">
        <f>'数据-取费表'!B31</f>
        <v>150</v>
      </c>
      <c r="F19" s="275"/>
      <c r="G19" s="2551" t="s">
        <v>3240</v>
      </c>
    </row>
    <row r="20" spans="1:7" s="258" customFormat="1" ht="13.5" customHeight="1">
      <c r="A20" s="299" t="s">
        <v>2357</v>
      </c>
      <c r="B20" s="254" t="s">
        <v>2358</v>
      </c>
      <c r="C20" s="276">
        <f ca="1">ROUND((C5+C19)*F20,0)</f>
        <v>23</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164</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163</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793</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69</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69</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f ca="1">ROUND((C5+C19+C20+C22+C27)/(1-C21-D22-D27-C30),0)</f>
        <v>2687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7313</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6569</v>
      </c>
      <c r="D34" s="261"/>
      <c r="E34" s="264"/>
      <c r="F34" s="301">
        <f ca="1">IF('数据-取费表'!B24=0,1,IF(B1="",'数据-取费表'!N16,INDIRECT("'数据-取费表'!n"&amp;$G$1)))</f>
        <v>1</v>
      </c>
      <c r="G34" s="263" t="s">
        <v>2390</v>
      </c>
    </row>
    <row r="35" spans="1:7" ht="13.5" customHeight="1">
      <c r="A35" s="954" t="s">
        <v>796</v>
      </c>
      <c r="B35" s="259" t="s">
        <v>2391</v>
      </c>
      <c r="C35" s="264">
        <f ca="1">ROUND(C34*F35,0)</f>
        <v>197</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448</v>
      </c>
      <c r="D37" s="261">
        <f ca="1">D19</f>
        <v>29858.400000000001</v>
      </c>
      <c r="E37" s="293">
        <f>'数据-取费表'!B35</f>
        <v>150</v>
      </c>
      <c r="F37" s="303"/>
      <c r="G37" s="305" t="s">
        <v>2396</v>
      </c>
    </row>
    <row r="38" spans="1:7" ht="13.5" customHeight="1">
      <c r="A38" s="954" t="s">
        <v>799</v>
      </c>
      <c r="B38" s="259" t="s">
        <v>2397</v>
      </c>
      <c r="C38" s="264">
        <f ca="1">ROUND(C34*F38,0)</f>
        <v>99</v>
      </c>
      <c r="D38" s="264"/>
      <c r="E38" s="264"/>
      <c r="F38" s="303">
        <f>'数据-取费表'!B36</f>
        <v>1.4999999999999999E-2</v>
      </c>
      <c r="G38" s="263" t="s">
        <v>2392</v>
      </c>
    </row>
    <row r="39" spans="1:7" s="258" customFormat="1" ht="13.5" customHeight="1">
      <c r="A39" s="299" t="s">
        <v>2355</v>
      </c>
      <c r="B39" s="254" t="s">
        <v>2358</v>
      </c>
      <c r="C39" s="276">
        <f ca="1">ROUND(C33*F20,0)</f>
        <v>73</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262</v>
      </c>
      <c r="D41" s="279">
        <f ca="1">C44</f>
        <v>4.0000000000000002E-4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259</v>
      </c>
      <c r="D42" s="282"/>
      <c r="E42" s="282"/>
      <c r="F42" s="283"/>
      <c r="G42" s="3198" t="s">
        <v>2408</v>
      </c>
    </row>
    <row r="43" spans="1:7" ht="13.5" customHeight="1">
      <c r="A43" s="954" t="s">
        <v>792</v>
      </c>
      <c r="B43" s="259" t="s">
        <v>2370</v>
      </c>
      <c r="C43" s="282">
        <f ca="1">ROUND(IF('数据-取费表'!B22&lt;=1,C39*F22*'数据-取费表'!B21/2,C39*(POWER((1+F22),'数据-取费表'!B21/2)-1)),0)</f>
        <v>3</v>
      </c>
      <c r="D43" s="282"/>
      <c r="E43" s="282"/>
      <c r="F43" s="283"/>
      <c r="G43" s="3199"/>
    </row>
    <row r="44" spans="1:7" ht="13.5" customHeight="1">
      <c r="A44" s="954" t="s">
        <v>793</v>
      </c>
      <c r="B44" s="259" t="s">
        <v>2373</v>
      </c>
      <c r="C44" s="282">
        <f ca="1">ROUND(IF('数据-取费表'!B22&lt;=1,C40*F22*'数据-取费表'!B21/2,C40*(POWER((1+F22),'数据-取费表'!B21/2)-1)),4)</f>
        <v>4.0000000000000002E-4</v>
      </c>
      <c r="D44" s="282"/>
      <c r="E44" s="282"/>
      <c r="F44" s="283"/>
      <c r="G44" s="3200"/>
    </row>
    <row r="45" spans="1:7" s="258" customFormat="1" ht="13.5" customHeight="1">
      <c r="A45" s="299" t="s">
        <v>2364</v>
      </c>
      <c r="B45" s="288" t="s">
        <v>2377</v>
      </c>
      <c r="C45" s="289">
        <f ca="1">C46</f>
        <v>222</v>
      </c>
      <c r="D45" s="279">
        <f ca="1">C47</f>
        <v>2.9999999999999997E-4</v>
      </c>
      <c r="E45" s="280" t="s">
        <v>2403</v>
      </c>
      <c r="F45" s="290"/>
      <c r="G45" s="291" t="s">
        <v>2412</v>
      </c>
    </row>
    <row r="46" spans="1:7" s="258" customFormat="1" ht="13.5" customHeight="1">
      <c r="A46" s="954" t="s">
        <v>791</v>
      </c>
      <c r="B46" s="292" t="s">
        <v>2413</v>
      </c>
      <c r="C46" s="293">
        <f ca="1">ROUND((C33+C39)*F27,0)</f>
        <v>222</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8400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8400</v>
      </c>
      <c r="D51" s="276"/>
      <c r="E51" s="276"/>
      <c r="F51" s="308"/>
      <c r="G51" s="278" t="s">
        <v>2424</v>
      </c>
    </row>
    <row r="52" spans="1:7" s="252" customFormat="1" ht="16.5" thickBot="1">
      <c r="A52" s="309" t="s">
        <v>2425</v>
      </c>
      <c r="B52" s="310"/>
      <c r="C52" s="311">
        <f ca="1">C31+C51</f>
        <v>11087</v>
      </c>
      <c r="D52" s="310"/>
      <c r="E52" s="310"/>
      <c r="F52" s="310"/>
      <c r="G52" s="312"/>
    </row>
    <row r="55" spans="1:7" ht="15">
      <c r="B55" s="314" t="s">
        <v>2426</v>
      </c>
      <c r="C55" s="315"/>
    </row>
    <row r="56" spans="1:7">
      <c r="B56" s="317" t="s">
        <v>1513</v>
      </c>
      <c r="C56" s="319">
        <f ca="1">1-C57</f>
        <v>0.24199999999999999</v>
      </c>
      <c r="E56" s="2968">
        <f ca="1">B3*C56</f>
        <v>898.54599999999994</v>
      </c>
    </row>
    <row r="57" spans="1:7">
      <c r="B57" s="317" t="s">
        <v>1514</v>
      </c>
      <c r="C57" s="318">
        <f ca="1">ROUND(C51/C52,3)</f>
        <v>0.75800000000000001</v>
      </c>
      <c r="E57" s="2967">
        <f ca="1">B3-E56</f>
        <v>2814.4540000000002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5" sqref="F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3235</v>
      </c>
      <c r="C1" s="242"/>
      <c r="D1" s="242"/>
      <c r="E1" s="242"/>
      <c r="F1" s="242"/>
      <c r="G1" s="1382">
        <f>MATCH(B1,'数据-取费表'!A6:A16,0)+5</f>
        <v>8</v>
      </c>
    </row>
    <row r="2" spans="1:9" s="244" customFormat="1" ht="18" customHeight="1">
      <c r="A2" s="245" t="s">
        <v>1394</v>
      </c>
      <c r="B2" s="246">
        <f ca="1">IF(D2="——",C52,C52-E2)</f>
        <v>4221</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3877</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 ca="1">C6+C7+C8</f>
        <v>976</v>
      </c>
      <c r="D5" s="255" t="s">
        <v>2333</v>
      </c>
      <c r="E5" s="256" t="s">
        <v>2334</v>
      </c>
      <c r="F5" s="256" t="s">
        <v>2335</v>
      </c>
      <c r="G5" s="257"/>
    </row>
    <row r="6" spans="1:9" s="258" customFormat="1" ht="13.5" customHeight="1">
      <c r="A6" s="952" t="s">
        <v>791</v>
      </c>
      <c r="B6" s="259" t="s">
        <v>2337</v>
      </c>
      <c r="C6" s="260">
        <f>'土地比较法-住宅、综合'!F62</f>
        <v>736</v>
      </c>
      <c r="D6" s="261"/>
      <c r="E6" s="262"/>
      <c r="F6" s="262"/>
      <c r="G6" s="263"/>
    </row>
    <row r="7" spans="1:9" s="258" customFormat="1" ht="13.5" customHeight="1">
      <c r="A7" s="952" t="s">
        <v>792</v>
      </c>
      <c r="B7" s="259" t="s">
        <v>2339</v>
      </c>
      <c r="C7" s="264">
        <f>ROUND(C6*F7,0)</f>
        <v>22</v>
      </c>
      <c r="D7" s="264"/>
      <c r="E7" s="262"/>
      <c r="F7" s="265">
        <f>'数据-取费表'!B48+'数据-取费表'!B49</f>
        <v>3.0499999999999999E-2</v>
      </c>
      <c r="G7" s="263"/>
    </row>
    <row r="8" spans="1:9" s="267" customFormat="1">
      <c r="A8" s="952" t="s">
        <v>793</v>
      </c>
      <c r="B8" s="259" t="s">
        <v>2341</v>
      </c>
      <c r="C8" s="264">
        <f ca="1">IF(G8="已包含在土地购买价格中","0",IF(B1="",'数据-取费表'!B29,IF(G9="全部缴纳",C9+C10,H9)))</f>
        <v>218</v>
      </c>
      <c r="D8" s="266"/>
      <c r="E8" s="264"/>
      <c r="F8" s="265"/>
      <c r="G8" s="2551" t="s">
        <v>3238</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t="s">
        <v>3239</v>
      </c>
      <c r="H9" s="2966">
        <f ca="1">C10</f>
        <v>218</v>
      </c>
      <c r="I9" s="2553" t="s">
        <v>2343</v>
      </c>
    </row>
    <row r="10" spans="1:9" s="258" customFormat="1" ht="13.5" customHeight="1">
      <c r="A10" s="953" t="s">
        <v>801</v>
      </c>
      <c r="B10" s="268" t="s">
        <v>2344</v>
      </c>
      <c r="C10" s="269">
        <f ca="1">ROUND(D10*E10/10000,0)</f>
        <v>218</v>
      </c>
      <c r="D10" s="1035">
        <f ca="1">IF(B1="",'数据-汇总表'!E6,IF(INDIRECT("'数据-取费表'!c"&amp;$G$1)="住宅",INDIRECT("'数据-取费表'!s"&amp;$G$1),INDIRECT("'数据-取费表'!k"&amp;$G$1)+INDIRECT("'数据-取费表'!s"&amp;$G$1)))</f>
        <v>10888.3</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10888.3</v>
      </c>
      <c r="E19" s="255">
        <f>'数据-取费表'!B31</f>
        <v>150</v>
      </c>
      <c r="F19" s="275"/>
      <c r="G19" s="2551" t="s">
        <v>3240</v>
      </c>
    </row>
    <row r="20" spans="1:7" s="258" customFormat="1" ht="13.5" customHeight="1">
      <c r="A20" s="299" t="s">
        <v>2357</v>
      </c>
      <c r="B20" s="254" t="s">
        <v>2358</v>
      </c>
      <c r="C20" s="276">
        <f ca="1">ROUND((C5+C19)*F20,0)</f>
        <v>10</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70</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70</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793</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30</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30</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f ca="1">ROUND((C5+C19+C20+C22+C27)/(1-C21-D22-D27-C30),0)</f>
        <v>1159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2666</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2395</v>
      </c>
      <c r="D34" s="261"/>
      <c r="E34" s="264"/>
      <c r="F34" s="301">
        <f ca="1">IF('数据-取费表'!B24=0,1,IF(B1="",'数据-取费表'!N16,INDIRECT("'数据-取费表'!n"&amp;$G$1)))</f>
        <v>1</v>
      </c>
      <c r="G34" s="263" t="s">
        <v>2390</v>
      </c>
    </row>
    <row r="35" spans="1:7" ht="13.5" customHeight="1">
      <c r="A35" s="954" t="s">
        <v>796</v>
      </c>
      <c r="B35" s="259" t="s">
        <v>2391</v>
      </c>
      <c r="C35" s="264">
        <f ca="1">ROUND(C34*F35,0)</f>
        <v>72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163</v>
      </c>
      <c r="D37" s="261">
        <f ca="1">D19</f>
        <v>10888.3</v>
      </c>
      <c r="E37" s="293">
        <f>'数据-取费表'!B35</f>
        <v>150</v>
      </c>
      <c r="F37" s="303"/>
      <c r="G37" s="305" t="s">
        <v>2396</v>
      </c>
    </row>
    <row r="38" spans="1:7" ht="13.5" customHeight="1">
      <c r="A38" s="954" t="s">
        <v>799</v>
      </c>
      <c r="B38" s="259" t="s">
        <v>2397</v>
      </c>
      <c r="C38" s="264">
        <f ca="1">ROUND(C34*F38,0)</f>
        <v>36</v>
      </c>
      <c r="D38" s="264"/>
      <c r="E38" s="264"/>
      <c r="F38" s="303">
        <f>'数据-取费表'!B36</f>
        <v>1.4999999999999999E-2</v>
      </c>
      <c r="G38" s="263" t="s">
        <v>2392</v>
      </c>
    </row>
    <row r="39" spans="1:7" s="258" customFormat="1" ht="13.5" customHeight="1">
      <c r="A39" s="299" t="s">
        <v>2355</v>
      </c>
      <c r="B39" s="254" t="s">
        <v>2358</v>
      </c>
      <c r="C39" s="276">
        <f ca="1">ROUND(C33*F20,0)</f>
        <v>27</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95</v>
      </c>
      <c r="D41" s="279">
        <f ca="1">C44</f>
        <v>4.0000000000000002E-4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94</v>
      </c>
      <c r="D42" s="282"/>
      <c r="E42" s="282"/>
      <c r="F42" s="283"/>
      <c r="G42" s="3198" t="s">
        <v>2408</v>
      </c>
    </row>
    <row r="43" spans="1:7" ht="13.5" customHeight="1">
      <c r="A43" s="954" t="s">
        <v>792</v>
      </c>
      <c r="B43" s="259" t="s">
        <v>2370</v>
      </c>
      <c r="C43" s="282">
        <f ca="1">ROUND(IF('数据-取费表'!B22&lt;=1,C39*F22*'数据-取费表'!B21/2,C39*(POWER((1+F22),'数据-取费表'!B21/2)-1)),0)</f>
        <v>1</v>
      </c>
      <c r="D43" s="282"/>
      <c r="E43" s="282"/>
      <c r="F43" s="283"/>
      <c r="G43" s="3199"/>
    </row>
    <row r="44" spans="1:7" ht="13.5" customHeight="1">
      <c r="A44" s="954" t="s">
        <v>793</v>
      </c>
      <c r="B44" s="259" t="s">
        <v>2373</v>
      </c>
      <c r="C44" s="282">
        <f ca="1">ROUND(IF('数据-取费表'!B22&lt;=1,C40*F22*'数据-取费表'!B21/2,C40*(POWER((1+F22),'数据-取费表'!B21/2)-1)),4)</f>
        <v>4.0000000000000002E-4</v>
      </c>
      <c r="D44" s="282"/>
      <c r="E44" s="282"/>
      <c r="F44" s="283"/>
      <c r="G44" s="3200"/>
    </row>
    <row r="45" spans="1:7" s="258" customFormat="1" ht="13.5" customHeight="1">
      <c r="A45" s="299" t="s">
        <v>2364</v>
      </c>
      <c r="B45" s="288" t="s">
        <v>2377</v>
      </c>
      <c r="C45" s="289">
        <f ca="1">C46</f>
        <v>81</v>
      </c>
      <c r="D45" s="279">
        <f ca="1">C47</f>
        <v>2.9999999999999997E-4</v>
      </c>
      <c r="E45" s="280" t="s">
        <v>2403</v>
      </c>
      <c r="F45" s="290"/>
      <c r="G45" s="291" t="s">
        <v>2412</v>
      </c>
    </row>
    <row r="46" spans="1:7" s="258" customFormat="1" ht="13.5" customHeight="1">
      <c r="A46" s="954" t="s">
        <v>791</v>
      </c>
      <c r="B46" s="292" t="s">
        <v>2413</v>
      </c>
      <c r="C46" s="293">
        <f ca="1">ROUND((C33+C39)*F27,0)</f>
        <v>81</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3062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3062</v>
      </c>
      <c r="D51" s="276"/>
      <c r="E51" s="276"/>
      <c r="F51" s="308"/>
      <c r="G51" s="278" t="s">
        <v>2424</v>
      </c>
    </row>
    <row r="52" spans="1:7" s="252" customFormat="1" ht="16.5" thickBot="1">
      <c r="A52" s="309" t="s">
        <v>2425</v>
      </c>
      <c r="B52" s="310"/>
      <c r="C52" s="311">
        <f ca="1">C31+C51</f>
        <v>4221</v>
      </c>
      <c r="D52" s="310"/>
      <c r="E52" s="310"/>
      <c r="F52" s="310"/>
      <c r="G52" s="312"/>
    </row>
    <row r="55" spans="1:7" ht="15">
      <c r="B55" s="314" t="s">
        <v>2426</v>
      </c>
      <c r="C55" s="315"/>
    </row>
    <row r="56" spans="1:7">
      <c r="B56" s="317" t="s">
        <v>1513</v>
      </c>
      <c r="C56" s="319">
        <f ca="1">1-C57</f>
        <v>0.27500000000000002</v>
      </c>
      <c r="E56" s="2968">
        <f ca="1">C56*B3</f>
        <v>1066.1750000000002</v>
      </c>
    </row>
    <row r="57" spans="1:7">
      <c r="B57" s="317" t="s">
        <v>1514</v>
      </c>
      <c r="C57" s="318">
        <f ca="1">ROUND(C51/C52,3)</f>
        <v>0.72499999999999998</v>
      </c>
      <c r="E57" s="2968">
        <f ca="1">B3-E56</f>
        <v>2810.8249999999998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2525</v>
      </c>
      <c r="B1" s="2563"/>
      <c r="C1" s="2563"/>
      <c r="D1" s="2563"/>
      <c r="E1" s="2564"/>
    </row>
    <row r="2" spans="1:6" ht="15.75">
      <c r="A2" s="2565" t="s">
        <v>2326</v>
      </c>
      <c r="B2" s="2566">
        <f ca="1">SUMIF(B6:B13,"&lt;&gt;#ref!",B6:B13)</f>
        <v>0</v>
      </c>
      <c r="C2" s="2567" t="s">
        <v>2518</v>
      </c>
      <c r="D2" s="2568" t="s">
        <v>2519</v>
      </c>
      <c r="E2" s="2569">
        <f>SUM(E6:E13)</f>
        <v>0</v>
      </c>
    </row>
    <row r="3" spans="1:6" ht="15.75">
      <c r="A3" s="2565" t="s">
        <v>1395</v>
      </c>
      <c r="B3" s="2566" t="e">
        <f ca="1">ROUND(B2*10000/E2,0)</f>
        <v>#DIV/0!</v>
      </c>
      <c r="C3" s="2567" t="s">
        <v>2526</v>
      </c>
      <c r="D3" s="2570"/>
      <c r="E3" s="2571"/>
    </row>
    <row r="4" spans="1:6" ht="15.75">
      <c r="A4" s="2572"/>
      <c r="B4" s="2570"/>
      <c r="C4" s="2570"/>
      <c r="D4" s="2570"/>
      <c r="E4" s="2571"/>
    </row>
    <row r="5" spans="1:6" ht="15">
      <c r="A5" s="2573" t="s">
        <v>2520</v>
      </c>
      <c r="B5" s="3218" t="s">
        <v>2521</v>
      </c>
      <c r="C5" s="3218"/>
      <c r="D5" s="2574"/>
      <c r="E5" s="2575" t="s">
        <v>2522</v>
      </c>
      <c r="F5" s="2576" t="s">
        <v>2523</v>
      </c>
    </row>
    <row r="6" spans="1:6">
      <c r="A6" s="2577">
        <f>'数据-取费表'!AN6</f>
        <v>0</v>
      </c>
      <c r="B6" s="2576" t="e">
        <f ca="1">IF(F6="是",'数据-取费表'!AO6,0)</f>
        <v>#REF!</v>
      </c>
      <c r="C6" s="2567" t="s">
        <v>2518</v>
      </c>
      <c r="D6" s="2570"/>
      <c r="E6" s="2578">
        <f>IF(OR(A6=0,F6="否"),0,'数据-取费表'!K6+'数据-取费表'!S6)</f>
        <v>0</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24" t="s">
        <v>1077</v>
      </c>
      <c r="B2" s="3225" t="s">
        <v>1078</v>
      </c>
      <c r="C2" s="3225"/>
      <c r="D2" s="1304" t="s">
        <v>1079</v>
      </c>
      <c r="E2" s="1304" t="s">
        <v>1080</v>
      </c>
      <c r="F2" s="1304" t="s">
        <v>1081</v>
      </c>
      <c r="G2" s="1304" t="s">
        <v>1082</v>
      </c>
      <c r="H2" s="1304" t="s">
        <v>1083</v>
      </c>
      <c r="I2" s="1305" t="s">
        <v>1084</v>
      </c>
    </row>
    <row r="3" spans="1:9">
      <c r="A3" s="3224"/>
      <c r="B3" s="3225" t="s">
        <v>1085</v>
      </c>
      <c r="C3" s="3225"/>
      <c r="D3" s="1306"/>
      <c r="E3" s="1304"/>
      <c r="F3" s="1307"/>
      <c r="G3" s="1307"/>
      <c r="H3" s="1308"/>
      <c r="I3" s="1309">
        <f>ROUND(D3*E3*F3*G3*H3/10000,0)</f>
        <v>0</v>
      </c>
    </row>
    <row r="4" spans="1:9">
      <c r="A4" s="3224"/>
      <c r="B4" s="3225" t="s">
        <v>1086</v>
      </c>
      <c r="C4" s="3225"/>
      <c r="D4" s="1306"/>
      <c r="E4" s="1304"/>
      <c r="F4" s="1307"/>
      <c r="G4" s="1307"/>
      <c r="H4" s="1308"/>
      <c r="I4" s="1309">
        <f t="shared" ref="I4:I9" si="0">ROUND(D4*E4*F4*G4*H4/10000,0)</f>
        <v>0</v>
      </c>
    </row>
    <row r="5" spans="1:9">
      <c r="A5" s="3224"/>
      <c r="B5" s="3225" t="s">
        <v>1087</v>
      </c>
      <c r="C5" s="3225"/>
      <c r="D5" s="1306"/>
      <c r="E5" s="1304"/>
      <c r="F5" s="1307"/>
      <c r="G5" s="1307"/>
      <c r="H5" s="1308"/>
      <c r="I5" s="1309">
        <f t="shared" si="0"/>
        <v>0</v>
      </c>
    </row>
    <row r="6" spans="1:9">
      <c r="A6" s="3224"/>
      <c r="B6" s="3225" t="s">
        <v>1088</v>
      </c>
      <c r="C6" s="3225"/>
      <c r="D6" s="1306"/>
      <c r="E6" s="1304"/>
      <c r="F6" s="1307"/>
      <c r="G6" s="1307"/>
      <c r="H6" s="1308"/>
      <c r="I6" s="1309">
        <f t="shared" si="0"/>
        <v>0</v>
      </c>
    </row>
    <row r="7" spans="1:9">
      <c r="A7" s="3224"/>
      <c r="B7" s="3225" t="s">
        <v>1089</v>
      </c>
      <c r="C7" s="3225"/>
      <c r="D7" s="1306"/>
      <c r="E7" s="1304"/>
      <c r="F7" s="1307"/>
      <c r="G7" s="1307"/>
      <c r="H7" s="1308"/>
      <c r="I7" s="1309">
        <f t="shared" si="0"/>
        <v>0</v>
      </c>
    </row>
    <row r="8" spans="1:9">
      <c r="A8" s="3224"/>
      <c r="B8" s="3225" t="s">
        <v>1090</v>
      </c>
      <c r="C8" s="3225"/>
      <c r="D8" s="1306"/>
      <c r="E8" s="1304"/>
      <c r="F8" s="1307"/>
      <c r="G8" s="1307"/>
      <c r="H8" s="1308"/>
      <c r="I8" s="1309">
        <f t="shared" si="0"/>
        <v>0</v>
      </c>
    </row>
    <row r="9" spans="1:9">
      <c r="A9" s="3224"/>
      <c r="B9" s="3225" t="s">
        <v>1091</v>
      </c>
      <c r="C9" s="3225"/>
      <c r="D9" s="1306"/>
      <c r="E9" s="1304"/>
      <c r="F9" s="1307"/>
      <c r="G9" s="1307"/>
      <c r="H9" s="1308"/>
      <c r="I9" s="1309">
        <f t="shared" si="0"/>
        <v>0</v>
      </c>
    </row>
    <row r="10" spans="1:9">
      <c r="A10" s="3224"/>
      <c r="B10" s="3226" t="s">
        <v>1092</v>
      </c>
      <c r="C10" s="3226"/>
      <c r="D10" s="1310"/>
      <c r="E10" s="1310" t="e">
        <f>ROUND(D1*10000/D10/H9,0)</f>
        <v>#DIV/0!</v>
      </c>
      <c r="F10" s="1311"/>
      <c r="G10" s="1311"/>
      <c r="H10" s="1312"/>
      <c r="I10" s="1313">
        <f>SUM(I3:I9)</f>
        <v>0</v>
      </c>
    </row>
    <row r="11" spans="1:9" ht="14.25">
      <c r="A11" s="3224" t="s">
        <v>1093</v>
      </c>
      <c r="B11" s="3225" t="s">
        <v>1094</v>
      </c>
      <c r="C11" s="3225"/>
      <c r="D11" s="1306" t="s">
        <v>1095</v>
      </c>
      <c r="E11" s="1306" t="s">
        <v>1096</v>
      </c>
      <c r="F11" s="1307" t="s">
        <v>1097</v>
      </c>
      <c r="G11" s="1307" t="s">
        <v>1083</v>
      </c>
      <c r="H11" s="1314" t="s">
        <v>1098</v>
      </c>
      <c r="I11" s="1305" t="s">
        <v>1084</v>
      </c>
    </row>
    <row r="12" spans="1:9">
      <c r="A12" s="3224"/>
      <c r="B12" s="3225" t="s">
        <v>1099</v>
      </c>
      <c r="C12" s="3225"/>
      <c r="D12" s="1306"/>
      <c r="E12" s="1306"/>
      <c r="F12" s="1307"/>
      <c r="G12" s="1308"/>
      <c r="H12" s="1315"/>
      <c r="I12" s="1305">
        <f>ROUND(D12*E12*F12*G12/10000,0)</f>
        <v>0</v>
      </c>
    </row>
    <row r="13" spans="1:9">
      <c r="A13" s="3224"/>
      <c r="B13" s="3225" t="s">
        <v>1100</v>
      </c>
      <c r="C13" s="3225"/>
      <c r="D13" s="1306"/>
      <c r="E13" s="1306"/>
      <c r="F13" s="1307"/>
      <c r="G13" s="1308"/>
      <c r="H13" s="1315"/>
      <c r="I13" s="1305">
        <f>ROUND(D13*E13*F13*G13/10000,0)</f>
        <v>0</v>
      </c>
    </row>
    <row r="14" spans="1:9">
      <c r="A14" s="3224"/>
      <c r="B14" s="3225" t="s">
        <v>1101</v>
      </c>
      <c r="C14" s="3225"/>
      <c r="D14" s="1306"/>
      <c r="E14" s="1306"/>
      <c r="F14" s="1307"/>
      <c r="G14" s="1308"/>
      <c r="H14" s="1315"/>
      <c r="I14" s="1305">
        <f>ROUND(D14*E14*F14*G14/10000,0)</f>
        <v>0</v>
      </c>
    </row>
    <row r="15" spans="1:9">
      <c r="A15" s="3224"/>
      <c r="B15" s="3226" t="s">
        <v>1092</v>
      </c>
      <c r="C15" s="3226"/>
      <c r="D15" s="1310"/>
      <c r="E15" s="1310">
        <f>SUM(E12:E14)</f>
        <v>0</v>
      </c>
      <c r="F15" s="1311"/>
      <c r="G15" s="1308"/>
      <c r="H15" s="1315"/>
      <c r="I15" s="1316">
        <f>SUM(I12:I14)</f>
        <v>0</v>
      </c>
    </row>
    <row r="16" spans="1:9" ht="24">
      <c r="A16" s="3224" t="s">
        <v>1102</v>
      </c>
      <c r="B16" s="3225" t="s">
        <v>1103</v>
      </c>
      <c r="C16" s="3225"/>
      <c r="D16" s="1306" t="s">
        <v>1079</v>
      </c>
      <c r="E16" s="1317" t="s">
        <v>1104</v>
      </c>
      <c r="F16" s="1307" t="s">
        <v>1105</v>
      </c>
      <c r="G16" s="1308" t="s">
        <v>1083</v>
      </c>
      <c r="H16" s="1314" t="s">
        <v>1098</v>
      </c>
      <c r="I16" s="1305" t="s">
        <v>1084</v>
      </c>
    </row>
    <row r="17" spans="1:9" ht="14.25">
      <c r="A17" s="3224"/>
      <c r="B17" s="3225" t="s">
        <v>1106</v>
      </c>
      <c r="C17" s="3225"/>
      <c r="D17" s="1306"/>
      <c r="E17" s="1306"/>
      <c r="F17" s="1307"/>
      <c r="G17" s="1308"/>
      <c r="H17" s="1318"/>
      <c r="I17" s="1319">
        <f>ROUND(D17*E17*F17*G17/10000,0)</f>
        <v>0</v>
      </c>
    </row>
    <row r="18" spans="1:9" ht="14.25">
      <c r="A18" s="3224"/>
      <c r="B18" s="3225" t="s">
        <v>1107</v>
      </c>
      <c r="C18" s="3225"/>
      <c r="D18" s="1306"/>
      <c r="E18" s="1306"/>
      <c r="F18" s="1307"/>
      <c r="G18" s="1308"/>
      <c r="H18" s="1318"/>
      <c r="I18" s="1319">
        <f>ROUND(D18*E18*F18*G18/10000,0)</f>
        <v>0</v>
      </c>
    </row>
    <row r="19" spans="1:9" ht="14.25">
      <c r="A19" s="3224"/>
      <c r="B19" s="3225" t="s">
        <v>1108</v>
      </c>
      <c r="C19" s="3225"/>
      <c r="D19" s="1306"/>
      <c r="E19" s="1306"/>
      <c r="F19" s="1307"/>
      <c r="G19" s="1308"/>
      <c r="H19" s="1318"/>
      <c r="I19" s="1319">
        <f>ROUND(D19*E19*F19*G19/10000,0)</f>
        <v>0</v>
      </c>
    </row>
    <row r="20" spans="1:9">
      <c r="A20" s="3224"/>
      <c r="B20" s="3226" t="s">
        <v>1092</v>
      </c>
      <c r="C20" s="3226"/>
      <c r="D20" s="1310">
        <f>SUM(D17:D19)</f>
        <v>0</v>
      </c>
      <c r="E20" s="1310"/>
      <c r="F20" s="1311"/>
      <c r="G20" s="1308"/>
      <c r="H20" s="1315"/>
      <c r="I20" s="1316">
        <f>SUM(I17:I19)</f>
        <v>0</v>
      </c>
    </row>
    <row r="21" spans="1:9">
      <c r="A21" s="3224" t="s">
        <v>1109</v>
      </c>
      <c r="B21" s="3228"/>
      <c r="C21" s="3228"/>
      <c r="D21" s="3228"/>
      <c r="E21" s="3228"/>
      <c r="F21" s="3228"/>
      <c r="G21" s="3228"/>
      <c r="H21" s="1768">
        <v>0.1</v>
      </c>
      <c r="I21" s="1313">
        <f>ROUND(I10*H21,0)</f>
        <v>0</v>
      </c>
    </row>
    <row r="22" spans="1:9" ht="14.25">
      <c r="A22" s="3229" t="s">
        <v>1110</v>
      </c>
      <c r="B22" s="3230"/>
      <c r="C22" s="3231"/>
      <c r="D22" s="1320" t="s">
        <v>1111</v>
      </c>
      <c r="E22" s="1320" t="s">
        <v>1112</v>
      </c>
      <c r="F22" s="1321" t="s">
        <v>1113</v>
      </c>
      <c r="G22" s="1321" t="s">
        <v>1114</v>
      </c>
      <c r="H22" s="1314" t="s">
        <v>1115</v>
      </c>
      <c r="I22" s="1305" t="s">
        <v>1116</v>
      </c>
    </row>
    <row r="23" spans="1:9" ht="14.25" thickBot="1">
      <c r="A23" s="3232"/>
      <c r="B23" s="3233"/>
      <c r="C23" s="3234"/>
      <c r="D23" s="1322"/>
      <c r="E23" s="1322"/>
      <c r="F23" s="1322"/>
      <c r="G23" s="1323"/>
      <c r="H23" s="1324"/>
      <c r="I23" s="1325">
        <f>ROUND(E23*D23*F23*(1-G23)/10000,0)</f>
        <v>0</v>
      </c>
    </row>
    <row r="26" spans="1:9">
      <c r="A26" s="1326" t="s">
        <v>1117</v>
      </c>
      <c r="B26" s="1326"/>
      <c r="C26" s="1326"/>
      <c r="D26" s="1326"/>
      <c r="E26" s="3235">
        <f>C27-C30-C31-C32</f>
        <v>0</v>
      </c>
      <c r="F26" s="3235"/>
      <c r="G26" s="3235"/>
      <c r="H26" s="1740" t="s">
        <v>1340</v>
      </c>
    </row>
    <row r="27" spans="1:9">
      <c r="A27" s="1327">
        <v>1</v>
      </c>
      <c r="B27" s="1328" t="s">
        <v>1118</v>
      </c>
      <c r="C27" s="1328">
        <f>C28+C29</f>
        <v>0</v>
      </c>
      <c r="D27" s="1328"/>
      <c r="E27" s="3236"/>
      <c r="F27" s="3236"/>
      <c r="G27" s="3236"/>
    </row>
    <row r="28" spans="1:9">
      <c r="A28" s="1329" t="s">
        <v>1119</v>
      </c>
      <c r="B28" s="1328" t="s">
        <v>1120</v>
      </c>
      <c r="C28" s="1328"/>
      <c r="D28" s="1328"/>
      <c r="E28" s="3236"/>
      <c r="F28" s="3236"/>
      <c r="G28" s="323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7"/>
      <c r="F32" s="3227"/>
      <c r="G32" s="3227"/>
    </row>
    <row r="33" spans="1:7" hidden="1">
      <c r="A33" s="3237" t="s">
        <v>1129</v>
      </c>
      <c r="B33" s="3238"/>
      <c r="C33" s="3238"/>
      <c r="D33" s="3239"/>
      <c r="E33" s="3235"/>
      <c r="F33" s="3235"/>
      <c r="G33" s="3235"/>
    </row>
    <row r="34" spans="1:7" hidden="1">
      <c r="A34" s="1331">
        <v>1</v>
      </c>
      <c r="B34" s="1328" t="s">
        <v>1130</v>
      </c>
      <c r="C34" s="1328"/>
      <c r="D34" s="1328"/>
      <c r="E34" s="3236"/>
      <c r="F34" s="3236"/>
      <c r="G34" s="3236"/>
    </row>
    <row r="35" spans="1:7" hidden="1">
      <c r="A35" s="1331">
        <v>2</v>
      </c>
      <c r="B35" s="1328" t="s">
        <v>1131</v>
      </c>
      <c r="C35" s="1328"/>
      <c r="D35" s="1328"/>
      <c r="E35" s="3236"/>
      <c r="F35" s="3236"/>
      <c r="G35" s="3236"/>
    </row>
    <row r="36" spans="1:7" hidden="1">
      <c r="A36" s="1331">
        <v>3</v>
      </c>
      <c r="B36" s="1328" t="s">
        <v>1132</v>
      </c>
      <c r="C36" s="1328"/>
      <c r="D36" s="1328"/>
      <c r="E36" s="3236"/>
      <c r="F36" s="3236"/>
      <c r="G36" s="3236"/>
    </row>
    <row r="37" spans="1:7" hidden="1">
      <c r="A37" s="1331">
        <v>4</v>
      </c>
      <c r="B37" s="1328" t="s">
        <v>1133</v>
      </c>
      <c r="C37" s="1328"/>
      <c r="D37" s="1328"/>
      <c r="E37" s="3236"/>
      <c r="F37" s="3236"/>
      <c r="G37" s="3236"/>
    </row>
    <row r="38" spans="1:7" hidden="1">
      <c r="A38" s="3237" t="s">
        <v>1134</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北京市保障性住房建设投资中心：</v>
      </c>
    </row>
    <row r="4" spans="1:1" ht="36">
      <c r="A4" s="1951" t="str">
        <f>"受贵公司委托，我公司对"&amp;项目基本情况!S1&amp;"进行了预评估。"</f>
        <v>受贵公司委托，我公司对北京市通州区潞河镇（武夷花园东区）限价住宅及地下车库用房房地产市场价值房地产市场价值进行了预评估。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2018年8月29日（评估专业人员实地查勘之日）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本次评估采用的主估价方法为成本法和比较法。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2641</v>
      </c>
      <c r="C1" s="1637" t="s">
        <v>2529</v>
      </c>
      <c r="D1" s="1624"/>
      <c r="E1" s="2655"/>
      <c r="F1" s="2585"/>
      <c r="G1" s="1634" t="s">
        <v>2642</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2326</v>
      </c>
      <c r="B2" s="1421" t="e">
        <f ca="1">IF(C2="——",ROUND(C49*D3/10000,0),ROUND(C49*D3/10000,0)-D2)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2328</v>
      </c>
      <c r="B3" s="609" t="e">
        <f ca="1">IF(C2="——",C49,ROUND(B2*10000/D3,0))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2644</v>
      </c>
      <c r="B4" s="402"/>
      <c r="C4" s="3173" t="s">
        <v>2645</v>
      </c>
      <c r="D4" s="3174"/>
      <c r="E4" s="3175" t="s">
        <v>2646</v>
      </c>
      <c r="F4" s="3176"/>
      <c r="G4" s="3173" t="s">
        <v>2647</v>
      </c>
      <c r="H4" s="3174"/>
      <c r="I4" s="3173" t="s">
        <v>2648</v>
      </c>
      <c r="J4" s="3174"/>
      <c r="K4" s="610" t="s">
        <v>2649</v>
      </c>
      <c r="L4" s="1133"/>
      <c r="M4" s="1134"/>
      <c r="N4" s="1134"/>
      <c r="O4" s="1134"/>
      <c r="P4" s="3177" t="s">
        <v>2650</v>
      </c>
      <c r="Q4" s="3178"/>
      <c r="R4" s="3160" t="s">
        <v>2646</v>
      </c>
      <c r="S4" s="3161"/>
      <c r="T4" s="3160" t="s">
        <v>2647</v>
      </c>
      <c r="U4" s="3161"/>
      <c r="V4" s="3185" t="s">
        <v>2648</v>
      </c>
      <c r="W4" s="3185"/>
      <c r="X4" s="1816"/>
      <c r="Y4" s="3160" t="s">
        <v>2650</v>
      </c>
      <c r="Z4" s="3161"/>
      <c r="AA4" s="3155" t="s">
        <v>2646</v>
      </c>
      <c r="AB4" s="3185" t="s">
        <v>2647</v>
      </c>
      <c r="AC4" s="3155" t="s">
        <v>2648</v>
      </c>
    </row>
    <row r="5" spans="1:29" ht="15">
      <c r="A5" s="404"/>
      <c r="B5" s="405"/>
      <c r="C5" s="3166" t="s">
        <v>2541</v>
      </c>
      <c r="D5" s="3167"/>
      <c r="E5" s="3164" t="s">
        <v>2542</v>
      </c>
      <c r="F5" s="3165"/>
      <c r="G5" s="3166" t="s">
        <v>2543</v>
      </c>
      <c r="H5" s="3167"/>
      <c r="I5" s="3166" t="s">
        <v>2544</v>
      </c>
      <c r="J5" s="3167"/>
      <c r="K5" s="610"/>
      <c r="L5" s="1133"/>
      <c r="M5" s="1134"/>
      <c r="N5" s="1134"/>
      <c r="O5" s="1134"/>
      <c r="P5" s="3179"/>
      <c r="Q5" s="3180"/>
      <c r="R5" s="3162"/>
      <c r="S5" s="3163"/>
      <c r="T5" s="3162"/>
      <c r="U5" s="3163"/>
      <c r="V5" s="3185"/>
      <c r="W5" s="3185"/>
      <c r="X5" s="1816"/>
      <c r="Y5" s="3162"/>
      <c r="Z5" s="3163"/>
      <c r="AA5" s="3156"/>
      <c r="AB5" s="3185"/>
      <c r="AC5" s="3156"/>
    </row>
    <row r="6" spans="1:29" ht="15.75" thickBot="1">
      <c r="A6" s="406"/>
      <c r="B6" s="407"/>
      <c r="C6" s="3168" t="s">
        <v>2545</v>
      </c>
      <c r="D6" s="3169"/>
      <c r="E6" s="3170" t="s">
        <v>2545</v>
      </c>
      <c r="F6" s="3171"/>
      <c r="G6" s="3168" t="s">
        <v>2545</v>
      </c>
      <c r="H6" s="3169"/>
      <c r="I6" s="3168" t="s">
        <v>2545</v>
      </c>
      <c r="J6" s="3169"/>
      <c r="K6" s="610" t="s">
        <v>2546</v>
      </c>
      <c r="L6" s="1133"/>
      <c r="M6" s="1134"/>
      <c r="N6" s="1134"/>
      <c r="O6" s="1134"/>
      <c r="P6" s="3181"/>
      <c r="Q6" s="3182"/>
      <c r="R6" s="3162"/>
      <c r="S6" s="3163"/>
      <c r="T6" s="3183"/>
      <c r="U6" s="3184"/>
      <c r="V6" s="3185"/>
      <c r="W6" s="3185"/>
      <c r="X6" s="1816"/>
      <c r="Y6" s="3183"/>
      <c r="Z6" s="3184"/>
      <c r="AA6" s="3157"/>
      <c r="AB6" s="3185"/>
      <c r="AC6" s="3157"/>
    </row>
    <row r="7" spans="1:29" s="117" customFormat="1" ht="15.75" thickBot="1">
      <c r="A7" s="408" t="s">
        <v>2547</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8" t="s">
        <v>2548</v>
      </c>
      <c r="Q7" s="3186"/>
      <c r="R7" s="770" t="s">
        <v>17</v>
      </c>
      <c r="S7" s="771">
        <f t="shared" ref="S7:S15" si="0">F7</f>
        <v>0</v>
      </c>
      <c r="T7" s="770" t="s">
        <v>17</v>
      </c>
      <c r="U7" s="771">
        <f t="shared" ref="U7:U15" si="1">H7</f>
        <v>0</v>
      </c>
      <c r="V7" s="770" t="s">
        <v>17</v>
      </c>
      <c r="W7" s="771">
        <f t="shared" ref="W7:W15" si="2">J7</f>
        <v>0</v>
      </c>
      <c r="X7" s="772"/>
      <c r="Y7" s="3158" t="s">
        <v>2548</v>
      </c>
      <c r="Z7" s="315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8" t="s">
        <v>2551</v>
      </c>
      <c r="Q8" s="3159"/>
      <c r="R8" s="770" t="s">
        <v>17</v>
      </c>
      <c r="S8" s="771">
        <f t="shared" si="0"/>
        <v>0</v>
      </c>
      <c r="T8" s="770" t="s">
        <v>17</v>
      </c>
      <c r="U8" s="771">
        <f t="shared" si="1"/>
        <v>0</v>
      </c>
      <c r="V8" s="770" t="s">
        <v>17</v>
      </c>
      <c r="W8" s="771">
        <f t="shared" si="2"/>
        <v>0</v>
      </c>
      <c r="X8" s="772"/>
      <c r="Y8" s="3158" t="s">
        <v>2551</v>
      </c>
      <c r="Z8" s="315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2554</v>
      </c>
      <c r="Q9" s="1798" t="str">
        <f t="shared" ref="Q9:Q15" si="6">B9</f>
        <v>用途</v>
      </c>
      <c r="R9" s="770" t="s">
        <v>17</v>
      </c>
      <c r="S9" s="771">
        <f t="shared" si="0"/>
        <v>100</v>
      </c>
      <c r="T9" s="770" t="s">
        <v>17</v>
      </c>
      <c r="U9" s="771">
        <f t="shared" si="1"/>
        <v>100</v>
      </c>
      <c r="V9" s="770" t="s">
        <v>17</v>
      </c>
      <c r="W9" s="771">
        <f t="shared" si="2"/>
        <v>100</v>
      </c>
      <c r="X9" s="772"/>
      <c r="Y9" s="303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2558</v>
      </c>
      <c r="B15" s="69" t="s">
        <v>2652</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6" t="s">
        <v>2559</v>
      </c>
      <c r="Q15" s="1813" t="str">
        <f t="shared" si="6"/>
        <v>商业繁华度</v>
      </c>
      <c r="R15" s="774" t="s">
        <v>17</v>
      </c>
      <c r="S15" s="775">
        <f t="shared" si="0"/>
        <v>100</v>
      </c>
      <c r="T15" s="774" t="s">
        <v>17</v>
      </c>
      <c r="U15" s="775">
        <f t="shared" si="1"/>
        <v>100</v>
      </c>
      <c r="V15" s="774" t="s">
        <v>17</v>
      </c>
      <c r="W15" s="775">
        <f t="shared" si="2"/>
        <v>100</v>
      </c>
      <c r="X15" s="1816"/>
      <c r="Y15" s="3187"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7"/>
      <c r="Q16" s="1813"/>
      <c r="R16" s="774"/>
      <c r="S16" s="775"/>
      <c r="T16" s="774"/>
      <c r="U16" s="775"/>
      <c r="V16" s="774"/>
      <c r="W16" s="775"/>
      <c r="X16" s="1816"/>
      <c r="Y16" s="3188"/>
      <c r="Z16" s="1817"/>
      <c r="AA16" s="1814">
        <v>1</v>
      </c>
      <c r="AB16" s="1814">
        <v>1</v>
      </c>
      <c r="AC16" s="1814">
        <v>1</v>
      </c>
    </row>
    <row r="17" spans="1:29" ht="156.75">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7"/>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17"/>
      <c r="Q18" s="1813"/>
      <c r="R18" s="774"/>
      <c r="S18" s="775"/>
      <c r="T18" s="774"/>
      <c r="U18" s="775"/>
      <c r="V18" s="774"/>
      <c r="W18" s="775"/>
      <c r="X18" s="1816"/>
      <c r="Y18" s="3188"/>
      <c r="Z18" s="1817"/>
      <c r="AA18" s="1814">
        <v>1</v>
      </c>
      <c r="AB18" s="1814">
        <v>1</v>
      </c>
      <c r="AC18" s="1814">
        <v>1</v>
      </c>
    </row>
    <row r="19" spans="1:29" ht="42.75">
      <c r="A19" s="428"/>
      <c r="B19" s="451" t="s">
        <v>2653</v>
      </c>
      <c r="C19" s="2607"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7"/>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17"/>
      <c r="Q20" s="1813"/>
      <c r="R20" s="774"/>
      <c r="S20" s="775"/>
      <c r="T20" s="774"/>
      <c r="U20" s="775"/>
      <c r="V20" s="774"/>
      <c r="W20" s="775"/>
      <c r="X20" s="1816"/>
      <c r="Y20" s="3188"/>
      <c r="Z20" s="1817"/>
      <c r="AA20" s="1814">
        <v>1</v>
      </c>
      <c r="AB20" s="1814">
        <v>1</v>
      </c>
      <c r="AC20" s="1814">
        <v>1</v>
      </c>
    </row>
    <row r="21" spans="1:29" ht="15">
      <c r="A21" s="428"/>
      <c r="B21" s="1387" t="s">
        <v>2654</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7"/>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17"/>
      <c r="Q22" s="1813"/>
      <c r="R22" s="774"/>
      <c r="S22" s="775"/>
      <c r="T22" s="774"/>
      <c r="U22" s="775"/>
      <c r="V22" s="774"/>
      <c r="W22" s="775"/>
      <c r="X22" s="1816"/>
      <c r="Y22" s="3188"/>
      <c r="Z22" s="1817"/>
      <c r="AA22" s="1814">
        <v>1</v>
      </c>
      <c r="AB22" s="1814">
        <v>1</v>
      </c>
      <c r="AC22" s="1814">
        <v>1</v>
      </c>
    </row>
    <row r="23" spans="1:29" ht="99.75">
      <c r="A23" s="428"/>
      <c r="B23" s="451" t="s">
        <v>2101</v>
      </c>
      <c r="C23" s="2662" t="str">
        <f>估价对象房地状况!C9</f>
        <v>区域自然环境：减河公园、运河奥体公园、潞河中学公园；人文环境：大运河美术馆；综合评价环境状况较好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7"/>
      <c r="Q23" s="1813" t="str">
        <f>B23</f>
        <v>自然及人文环境</v>
      </c>
      <c r="R23" s="774" t="s">
        <v>17</v>
      </c>
      <c r="S23" s="775">
        <f>F23</f>
        <v>100</v>
      </c>
      <c r="T23" s="774" t="s">
        <v>17</v>
      </c>
      <c r="U23" s="775">
        <f>H23</f>
        <v>100</v>
      </c>
      <c r="V23" s="774" t="s">
        <v>17</v>
      </c>
      <c r="W23" s="775">
        <f>J23</f>
        <v>100</v>
      </c>
      <c r="X23" s="1816"/>
      <c r="Y23" s="3188"/>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17"/>
      <c r="Q24" s="1813"/>
      <c r="R24" s="774"/>
      <c r="S24" s="775"/>
      <c r="T24" s="774"/>
      <c r="U24" s="775"/>
      <c r="V24" s="774"/>
      <c r="W24" s="775"/>
      <c r="X24" s="1816"/>
      <c r="Y24" s="3188"/>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7"/>
      <c r="Q25" s="1813" t="str">
        <f t="shared" ref="Q25:Q46" si="11">B25</f>
        <v>临街状况</v>
      </c>
      <c r="R25" s="774" t="s">
        <v>17</v>
      </c>
      <c r="S25" s="775">
        <f>F25</f>
        <v>100</v>
      </c>
      <c r="T25" s="774" t="s">
        <v>17</v>
      </c>
      <c r="U25" s="775">
        <f>H25</f>
        <v>100</v>
      </c>
      <c r="V25" s="774" t="s">
        <v>17</v>
      </c>
      <c r="W25" s="775">
        <f>J25</f>
        <v>100</v>
      </c>
      <c r="X25" s="1816"/>
      <c r="Y25" s="3188"/>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7"/>
      <c r="Q26" s="1813" t="str">
        <f t="shared" si="11"/>
        <v>平面位置/可视性</v>
      </c>
      <c r="R26" s="774" t="s">
        <v>17</v>
      </c>
      <c r="S26" s="775">
        <f>F26</f>
        <v>100</v>
      </c>
      <c r="T26" s="774" t="s">
        <v>17</v>
      </c>
      <c r="U26" s="775">
        <f>H26</f>
        <v>100</v>
      </c>
      <c r="V26" s="774" t="s">
        <v>17</v>
      </c>
      <c r="W26" s="775">
        <f>J26</f>
        <v>100</v>
      </c>
      <c r="X26" s="1816"/>
      <c r="Y26" s="3188"/>
      <c r="Z26" s="1817" t="str">
        <f>Q26</f>
        <v>平面位置/可视性</v>
      </c>
      <c r="AA26" s="1814">
        <f t="shared" si="3"/>
        <v>1</v>
      </c>
      <c r="AB26" s="1814">
        <f t="shared" si="4"/>
        <v>1</v>
      </c>
      <c r="AC26" s="1814">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17"/>
      <c r="Q27" s="1798" t="str">
        <f t="shared" si="11"/>
        <v>人流量</v>
      </c>
      <c r="R27" s="770" t="s">
        <v>17</v>
      </c>
      <c r="S27" s="771">
        <f>F27</f>
        <v>100</v>
      </c>
      <c r="T27" s="770" t="s">
        <v>17</v>
      </c>
      <c r="U27" s="771">
        <f>H27</f>
        <v>100</v>
      </c>
      <c r="V27" s="770" t="s">
        <v>17</v>
      </c>
      <c r="W27" s="771">
        <f>J27</f>
        <v>100</v>
      </c>
      <c r="X27" s="772"/>
      <c r="Y27" s="3188"/>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7"/>
      <c r="Q29" s="1813">
        <f t="shared" si="11"/>
        <v>111</v>
      </c>
      <c r="R29" s="774" t="s">
        <v>17</v>
      </c>
      <c r="S29" s="775">
        <f t="shared" si="12"/>
        <v>100</v>
      </c>
      <c r="T29" s="774" t="s">
        <v>17</v>
      </c>
      <c r="U29" s="775">
        <f t="shared" si="13"/>
        <v>100</v>
      </c>
      <c r="V29" s="774" t="s">
        <v>17</v>
      </c>
      <c r="W29" s="775">
        <f t="shared" si="14"/>
        <v>100</v>
      </c>
      <c r="X29" s="1816"/>
      <c r="Y29" s="318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7"/>
      <c r="Q30" s="1813">
        <f t="shared" si="11"/>
        <v>111</v>
      </c>
      <c r="R30" s="774" t="s">
        <v>17</v>
      </c>
      <c r="S30" s="775">
        <f t="shared" si="12"/>
        <v>100</v>
      </c>
      <c r="T30" s="774" t="s">
        <v>17</v>
      </c>
      <c r="U30" s="775">
        <f t="shared" si="13"/>
        <v>100</v>
      </c>
      <c r="V30" s="774" t="s">
        <v>17</v>
      </c>
      <c r="W30" s="775">
        <f t="shared" si="14"/>
        <v>100</v>
      </c>
      <c r="X30" s="1816"/>
      <c r="Y30" s="318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7"/>
      <c r="Q31" s="1813">
        <f t="shared" si="11"/>
        <v>111</v>
      </c>
      <c r="R31" s="774" t="s">
        <v>17</v>
      </c>
      <c r="S31" s="775">
        <f t="shared" si="12"/>
        <v>100</v>
      </c>
      <c r="T31" s="774" t="s">
        <v>17</v>
      </c>
      <c r="U31" s="775">
        <f t="shared" si="13"/>
        <v>100</v>
      </c>
      <c r="V31" s="774" t="s">
        <v>17</v>
      </c>
      <c r="W31" s="775">
        <f t="shared" si="14"/>
        <v>100</v>
      </c>
      <c r="X31" s="1816"/>
      <c r="Y31" s="3188"/>
      <c r="Z31" s="1817">
        <f t="shared" si="15"/>
        <v>111</v>
      </c>
      <c r="AA31" s="1814">
        <f t="shared" si="3"/>
        <v>1</v>
      </c>
      <c r="AB31" s="1814">
        <f t="shared" si="4"/>
        <v>1</v>
      </c>
      <c r="AC31" s="1814">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12" t="s">
        <v>2564</v>
      </c>
      <c r="Q32" s="1813" t="str">
        <f t="shared" si="11"/>
        <v>商业类型</v>
      </c>
      <c r="R32" s="774" t="s">
        <v>17</v>
      </c>
      <c r="S32" s="775">
        <f t="shared" si="12"/>
        <v>100</v>
      </c>
      <c r="T32" s="774" t="s">
        <v>17</v>
      </c>
      <c r="U32" s="775">
        <f t="shared" si="13"/>
        <v>100</v>
      </c>
      <c r="V32" s="774" t="s">
        <v>17</v>
      </c>
      <c r="W32" s="775">
        <f t="shared" si="14"/>
        <v>100</v>
      </c>
      <c r="X32" s="1816"/>
      <c r="Y32" s="3190"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3"/>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4" t="e">
        <f t="shared" si="3"/>
        <v>#N/A</v>
      </c>
      <c r="AB33" s="1814" t="e">
        <f t="shared" si="4"/>
        <v>#N/A</v>
      </c>
      <c r="AC33" s="1814"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13"/>
      <c r="Q34" s="1813" t="str">
        <f t="shared" si="11"/>
        <v>建筑结构</v>
      </c>
      <c r="R34" s="774" t="s">
        <v>17</v>
      </c>
      <c r="S34" s="775">
        <f t="shared" si="12"/>
        <v>100</v>
      </c>
      <c r="T34" s="774" t="s">
        <v>17</v>
      </c>
      <c r="U34" s="775">
        <f t="shared" si="13"/>
        <v>100</v>
      </c>
      <c r="V34" s="774" t="s">
        <v>17</v>
      </c>
      <c r="W34" s="775">
        <f t="shared" si="14"/>
        <v>100</v>
      </c>
      <c r="X34" s="1816"/>
      <c r="Y34" s="3190"/>
      <c r="Z34" s="1817" t="str">
        <f t="shared" si="15"/>
        <v>建筑结构</v>
      </c>
      <c r="AA34" s="1814">
        <f t="shared" si="3"/>
        <v>1</v>
      </c>
      <c r="AB34" s="1814">
        <f t="shared" si="4"/>
        <v>1</v>
      </c>
      <c r="AC34" s="1814">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13"/>
      <c r="Q35" s="1813" t="str">
        <f t="shared" si="11"/>
        <v>公共部分装修</v>
      </c>
      <c r="R35" s="774" t="s">
        <v>17</v>
      </c>
      <c r="S35" s="775">
        <f t="shared" si="12"/>
        <v>100</v>
      </c>
      <c r="T35" s="774" t="s">
        <v>17</v>
      </c>
      <c r="U35" s="775">
        <f t="shared" si="13"/>
        <v>100</v>
      </c>
      <c r="V35" s="774" t="s">
        <v>17</v>
      </c>
      <c r="W35" s="775">
        <f t="shared" si="14"/>
        <v>100</v>
      </c>
      <c r="X35" s="1816"/>
      <c r="Y35" s="3190"/>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3"/>
      <c r="Q36" s="1813" t="str">
        <f t="shared" si="11"/>
        <v>成新度</v>
      </c>
      <c r="R36" s="774" t="s">
        <v>17</v>
      </c>
      <c r="S36" s="775" t="e">
        <f t="shared" si="12"/>
        <v>#N/A</v>
      </c>
      <c r="T36" s="774" t="s">
        <v>17</v>
      </c>
      <c r="U36" s="775" t="e">
        <f t="shared" si="13"/>
        <v>#N/A</v>
      </c>
      <c r="V36" s="774" t="s">
        <v>17</v>
      </c>
      <c r="W36" s="775" t="e">
        <f t="shared" si="14"/>
        <v>#N/A</v>
      </c>
      <c r="X36" s="1816"/>
      <c r="Y36" s="3190"/>
      <c r="Z36" s="1817" t="str">
        <f t="shared" si="15"/>
        <v>成新度</v>
      </c>
      <c r="AA36" s="1814" t="e">
        <f t="shared" si="3"/>
        <v>#N/A</v>
      </c>
      <c r="AB36" s="1814" t="e">
        <f t="shared" si="4"/>
        <v>#N/A</v>
      </c>
      <c r="AC36" s="1814"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13"/>
      <c r="Q37" s="1798"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13" t="s">
        <v>2564</v>
      </c>
      <c r="Q38" s="1813" t="str">
        <f t="shared" si="11"/>
        <v>业态</v>
      </c>
      <c r="R38" s="774" t="s">
        <v>17</v>
      </c>
      <c r="S38" s="775">
        <f t="shared" si="12"/>
        <v>100</v>
      </c>
      <c r="T38" s="774" t="s">
        <v>17</v>
      </c>
      <c r="U38" s="775">
        <f t="shared" si="13"/>
        <v>100</v>
      </c>
      <c r="V38" s="774" t="s">
        <v>17</v>
      </c>
      <c r="W38" s="775">
        <f t="shared" si="14"/>
        <v>100</v>
      </c>
      <c r="X38" s="1816"/>
      <c r="Y38" s="3190" t="s">
        <v>2564</v>
      </c>
      <c r="Z38" s="1817" t="str">
        <f t="shared" si="15"/>
        <v>业态</v>
      </c>
      <c r="AA38" s="1814">
        <f t="shared" si="3"/>
        <v>1</v>
      </c>
      <c r="AB38" s="1814">
        <f t="shared" si="4"/>
        <v>1</v>
      </c>
      <c r="AC38" s="1814">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13"/>
      <c r="Q39" s="1813" t="str">
        <f t="shared" si="11"/>
        <v>层高</v>
      </c>
      <c r="R39" s="774" t="s">
        <v>17</v>
      </c>
      <c r="S39" s="775">
        <f t="shared" si="12"/>
        <v>100</v>
      </c>
      <c r="T39" s="774" t="s">
        <v>17</v>
      </c>
      <c r="U39" s="775">
        <f t="shared" si="13"/>
        <v>100</v>
      </c>
      <c r="V39" s="774" t="s">
        <v>17</v>
      </c>
      <c r="W39" s="775">
        <f t="shared" si="14"/>
        <v>100</v>
      </c>
      <c r="X39" s="1816"/>
      <c r="Y39" s="3190"/>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3"/>
      <c r="Q40" s="1813" t="str">
        <f t="shared" si="11"/>
        <v>单套建筑面积</v>
      </c>
      <c r="R40" s="774" t="s">
        <v>17</v>
      </c>
      <c r="S40" s="775">
        <f t="shared" si="12"/>
        <v>100</v>
      </c>
      <c r="T40" s="774" t="s">
        <v>17</v>
      </c>
      <c r="U40" s="775">
        <f t="shared" si="13"/>
        <v>100</v>
      </c>
      <c r="V40" s="774" t="s">
        <v>17</v>
      </c>
      <c r="W40" s="775">
        <f t="shared" si="14"/>
        <v>100</v>
      </c>
      <c r="X40" s="1816"/>
      <c r="Y40" s="3190"/>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3"/>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4">
        <f t="shared" si="3"/>
        <v>1</v>
      </c>
      <c r="AB41" s="1814">
        <f t="shared" si="4"/>
        <v>1</v>
      </c>
      <c r="AC41" s="1814">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13"/>
      <c r="Q42" s="1813" t="str">
        <f t="shared" si="11"/>
        <v>内部装修</v>
      </c>
      <c r="R42" s="774" t="s">
        <v>17</v>
      </c>
      <c r="S42" s="775">
        <f t="shared" si="12"/>
        <v>100</v>
      </c>
      <c r="T42" s="774" t="s">
        <v>17</v>
      </c>
      <c r="U42" s="775">
        <f t="shared" si="13"/>
        <v>100</v>
      </c>
      <c r="V42" s="774" t="s">
        <v>17</v>
      </c>
      <c r="W42" s="775">
        <f t="shared" si="14"/>
        <v>100</v>
      </c>
      <c r="X42" s="1816"/>
      <c r="Y42" s="3190"/>
      <c r="Z42" s="1817" t="str">
        <f t="shared" si="15"/>
        <v>内部装修</v>
      </c>
      <c r="AA42" s="1814">
        <f t="shared" si="3"/>
        <v>1</v>
      </c>
      <c r="AB42" s="1814">
        <f t="shared" si="4"/>
        <v>1</v>
      </c>
      <c r="AC42" s="1814">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13"/>
      <c r="Q43" s="1813" t="str">
        <f t="shared" si="11"/>
        <v>内部装修维护情况</v>
      </c>
      <c r="R43" s="774" t="s">
        <v>17</v>
      </c>
      <c r="S43" s="775">
        <f t="shared" si="12"/>
        <v>100</v>
      </c>
      <c r="T43" s="774" t="s">
        <v>17</v>
      </c>
      <c r="U43" s="775">
        <f t="shared" si="13"/>
        <v>100</v>
      </c>
      <c r="V43" s="774" t="s">
        <v>17</v>
      </c>
      <c r="W43" s="775">
        <f t="shared" si="14"/>
        <v>100</v>
      </c>
      <c r="X43" s="1816"/>
      <c r="Y43" s="319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3"/>
      <c r="Q44" s="1798">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3"/>
      <c r="Q45" s="1813">
        <f t="shared" si="11"/>
        <v>111</v>
      </c>
      <c r="R45" s="774" t="s">
        <v>17</v>
      </c>
      <c r="S45" s="775">
        <f t="shared" si="12"/>
        <v>100</v>
      </c>
      <c r="T45" s="774" t="s">
        <v>17</v>
      </c>
      <c r="U45" s="775">
        <f t="shared" si="13"/>
        <v>100</v>
      </c>
      <c r="V45" s="774" t="s">
        <v>17</v>
      </c>
      <c r="W45" s="775">
        <f t="shared" si="14"/>
        <v>100</v>
      </c>
      <c r="X45" s="1816"/>
      <c r="Y45" s="3190"/>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4"/>
      <c r="Q46" s="1813">
        <f t="shared" si="11"/>
        <v>111</v>
      </c>
      <c r="R46" s="774" t="s">
        <v>17</v>
      </c>
      <c r="S46" s="775">
        <f t="shared" si="12"/>
        <v>100</v>
      </c>
      <c r="T46" s="774" t="s">
        <v>17</v>
      </c>
      <c r="U46" s="775">
        <f t="shared" si="13"/>
        <v>100</v>
      </c>
      <c r="V46" s="774" t="s">
        <v>17</v>
      </c>
      <c r="W46" s="775">
        <f t="shared" si="14"/>
        <v>100</v>
      </c>
      <c r="X46" s="1816"/>
      <c r="Y46" s="3215"/>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172" t="str">
        <f>A47</f>
        <v>成交单价（元/平方米）</v>
      </c>
      <c r="Q47" s="3172"/>
      <c r="R47" s="3185">
        <f>E47</f>
        <v>0</v>
      </c>
      <c r="S47" s="3185"/>
      <c r="T47" s="3185">
        <f>G47</f>
        <v>0</v>
      </c>
      <c r="U47" s="3185"/>
      <c r="V47" s="3185">
        <f>I47</f>
        <v>0</v>
      </c>
      <c r="W47" s="3185"/>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72" t="str">
        <f>A48</f>
        <v>比较价值（元/平方米）</v>
      </c>
      <c r="Q48" s="3172"/>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92" t="str">
        <f>A49</f>
        <v>估价对象XX用房的比较价值（楼面单价，元/平方米）</v>
      </c>
      <c r="Q49" s="3193"/>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2547</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2562</v>
      </c>
      <c r="B100" s="528" t="s">
        <v>2680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2615</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2681</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2682</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2683</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2685</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73" t="s">
        <v>2645</v>
      </c>
      <c r="D4" s="3174"/>
      <c r="E4" s="3175" t="s">
        <v>2646</v>
      </c>
      <c r="F4" s="3176"/>
      <c r="G4" s="3173" t="s">
        <v>2647</v>
      </c>
      <c r="H4" s="3174"/>
      <c r="I4" s="3173" t="s">
        <v>2648</v>
      </c>
      <c r="J4" s="3174"/>
      <c r="K4" s="610" t="s">
        <v>2649</v>
      </c>
      <c r="L4" s="1133"/>
      <c r="M4" s="1134"/>
      <c r="N4" s="1134"/>
      <c r="O4" s="1134"/>
      <c r="P4" s="3246" t="s">
        <v>2650</v>
      </c>
      <c r="Q4" s="3247"/>
      <c r="R4" s="3241" t="s">
        <v>2646</v>
      </c>
      <c r="S4" s="3242"/>
      <c r="T4" s="3241" t="s">
        <v>2647</v>
      </c>
      <c r="U4" s="3242"/>
      <c r="V4" s="3250" t="s">
        <v>2648</v>
      </c>
      <c r="W4" s="3250"/>
      <c r="X4" s="2668"/>
      <c r="Y4" s="3241" t="s">
        <v>2650</v>
      </c>
      <c r="Z4" s="3242"/>
      <c r="AA4" s="3240" t="s">
        <v>2646</v>
      </c>
      <c r="AB4" s="3240" t="s">
        <v>2647</v>
      </c>
      <c r="AC4" s="3243" t="s">
        <v>2648</v>
      </c>
    </row>
    <row r="5" spans="1:29" ht="15">
      <c r="A5" s="404"/>
      <c r="B5" s="405"/>
      <c r="C5" s="3166" t="s">
        <v>2541</v>
      </c>
      <c r="D5" s="3167"/>
      <c r="E5" s="3164" t="s">
        <v>2542</v>
      </c>
      <c r="F5" s="3165"/>
      <c r="G5" s="3166" t="s">
        <v>2543</v>
      </c>
      <c r="H5" s="3167"/>
      <c r="I5" s="3166" t="s">
        <v>2544</v>
      </c>
      <c r="J5" s="3167"/>
      <c r="K5" s="610"/>
      <c r="L5" s="1133"/>
      <c r="M5" s="1134"/>
      <c r="N5" s="1134"/>
      <c r="O5" s="1134"/>
      <c r="P5" s="3248"/>
      <c r="Q5" s="3180"/>
      <c r="R5" s="3162"/>
      <c r="S5" s="3163"/>
      <c r="T5" s="3162"/>
      <c r="U5" s="3163"/>
      <c r="V5" s="3185"/>
      <c r="W5" s="3185"/>
      <c r="X5" s="1816"/>
      <c r="Y5" s="3162"/>
      <c r="Z5" s="3163"/>
      <c r="AA5" s="3156"/>
      <c r="AB5" s="3156"/>
      <c r="AC5" s="3244"/>
    </row>
    <row r="6" spans="1:29" ht="15.75" thickBot="1">
      <c r="A6" s="406"/>
      <c r="B6" s="407"/>
      <c r="C6" s="3168" t="s">
        <v>2545</v>
      </c>
      <c r="D6" s="3169"/>
      <c r="E6" s="3170" t="s">
        <v>2545</v>
      </c>
      <c r="F6" s="3171"/>
      <c r="G6" s="3168" t="s">
        <v>2545</v>
      </c>
      <c r="H6" s="3169"/>
      <c r="I6" s="3168" t="s">
        <v>2545</v>
      </c>
      <c r="J6" s="3169"/>
      <c r="K6" s="610" t="s">
        <v>2546</v>
      </c>
      <c r="L6" s="1133"/>
      <c r="M6" s="1134"/>
      <c r="N6" s="1134"/>
      <c r="O6" s="1134"/>
      <c r="P6" s="3249"/>
      <c r="Q6" s="3182"/>
      <c r="R6" s="3162"/>
      <c r="S6" s="3163"/>
      <c r="T6" s="3183"/>
      <c r="U6" s="3184"/>
      <c r="V6" s="3185"/>
      <c r="W6" s="3185"/>
      <c r="X6" s="1816"/>
      <c r="Y6" s="3183"/>
      <c r="Z6" s="3184"/>
      <c r="AA6" s="3157"/>
      <c r="AB6" s="3157"/>
      <c r="AC6" s="3245"/>
    </row>
    <row r="7" spans="1:29" s="117" customFormat="1" ht="15.75" thickBot="1">
      <c r="A7" s="408" t="s">
        <v>2547</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1" t="s">
        <v>2548</v>
      </c>
      <c r="Q7" s="3186"/>
      <c r="R7" s="770" t="s">
        <v>17</v>
      </c>
      <c r="S7" s="771">
        <f t="shared" ref="S7:S15" si="0">F7</f>
        <v>0</v>
      </c>
      <c r="T7" s="770" t="s">
        <v>17</v>
      </c>
      <c r="U7" s="771">
        <f t="shared" ref="U7:U15" si="1">H7</f>
        <v>0</v>
      </c>
      <c r="V7" s="770" t="s">
        <v>17</v>
      </c>
      <c r="W7" s="771">
        <f t="shared" ref="W7:W15" si="2">J7</f>
        <v>0</v>
      </c>
      <c r="X7" s="772"/>
      <c r="Y7" s="3158" t="s">
        <v>2548</v>
      </c>
      <c r="Z7" s="3159"/>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1" t="s">
        <v>2551</v>
      </c>
      <c r="Q8" s="3159"/>
      <c r="R8" s="770" t="s">
        <v>17</v>
      </c>
      <c r="S8" s="771">
        <f t="shared" si="0"/>
        <v>0</v>
      </c>
      <c r="T8" s="770" t="s">
        <v>17</v>
      </c>
      <c r="U8" s="771">
        <f t="shared" si="1"/>
        <v>0</v>
      </c>
      <c r="V8" s="770" t="s">
        <v>17</v>
      </c>
      <c r="W8" s="771">
        <f t="shared" si="2"/>
        <v>0</v>
      </c>
      <c r="X8" s="772"/>
      <c r="Y8" s="3158" t="s">
        <v>2551</v>
      </c>
      <c r="Z8" s="3159"/>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6" t="s">
        <v>2554</v>
      </c>
      <c r="Q9" s="1798" t="str">
        <f t="shared" ref="Q9:Q15" si="6">B9</f>
        <v>用途</v>
      </c>
      <c r="R9" s="770" t="s">
        <v>17</v>
      </c>
      <c r="S9" s="771">
        <f t="shared" si="0"/>
        <v>100</v>
      </c>
      <c r="T9" s="770" t="s">
        <v>17</v>
      </c>
      <c r="U9" s="771">
        <f t="shared" si="1"/>
        <v>100</v>
      </c>
      <c r="V9" s="770" t="s">
        <v>17</v>
      </c>
      <c r="W9" s="771">
        <f t="shared" si="2"/>
        <v>100</v>
      </c>
      <c r="X9" s="772"/>
      <c r="Y9" s="3035"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6"/>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69">
        <f t="shared" si="5"/>
        <v>1</v>
      </c>
    </row>
    <row r="15" spans="1:29" ht="15">
      <c r="A15" s="440" t="s">
        <v>2558</v>
      </c>
      <c r="B15" s="629" t="s">
        <v>2686</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6" t="s">
        <v>2559</v>
      </c>
      <c r="Q15" s="1813" t="str">
        <f t="shared" si="6"/>
        <v>办公集聚程度</v>
      </c>
      <c r="R15" s="774" t="s">
        <v>17</v>
      </c>
      <c r="S15" s="775">
        <f t="shared" si="0"/>
        <v>100</v>
      </c>
      <c r="T15" s="774" t="s">
        <v>17</v>
      </c>
      <c r="U15" s="775">
        <f t="shared" si="1"/>
        <v>100</v>
      </c>
      <c r="V15" s="774" t="s">
        <v>17</v>
      </c>
      <c r="W15" s="775">
        <f t="shared" si="2"/>
        <v>100</v>
      </c>
      <c r="X15" s="1816"/>
      <c r="Y15" s="3187" t="s">
        <v>2559</v>
      </c>
      <c r="Z15" s="1817" t="str">
        <f t="shared" si="7"/>
        <v>办公集聚程度</v>
      </c>
      <c r="AA15" s="1814">
        <f t="shared" si="3"/>
        <v>1</v>
      </c>
      <c r="AB15" s="1814">
        <f t="shared" si="4"/>
        <v>1</v>
      </c>
      <c r="AC15" s="2672">
        <f t="shared" si="5"/>
        <v>1</v>
      </c>
    </row>
    <row r="16" spans="1:29" ht="15">
      <c r="A16" s="428"/>
      <c r="B16" s="630"/>
      <c r="C16" s="2611"/>
      <c r="D16" s="448"/>
      <c r="E16" s="447"/>
      <c r="F16" s="448"/>
      <c r="G16" s="2611"/>
      <c r="H16" s="450"/>
      <c r="I16" s="447"/>
      <c r="J16" s="448"/>
      <c r="K16" s="615"/>
      <c r="L16" s="1143"/>
      <c r="M16" s="1134"/>
      <c r="N16" s="1134"/>
      <c r="O16" s="1134"/>
      <c r="P16" s="3217"/>
      <c r="Q16" s="1813"/>
      <c r="R16" s="774"/>
      <c r="S16" s="775"/>
      <c r="T16" s="774"/>
      <c r="U16" s="775"/>
      <c r="V16" s="774"/>
      <c r="W16" s="775"/>
      <c r="X16" s="1816"/>
      <c r="Y16" s="3188"/>
      <c r="Z16" s="1817"/>
      <c r="AA16" s="1814">
        <v>1</v>
      </c>
      <c r="AB16" s="1814">
        <v>1</v>
      </c>
      <c r="AC16" s="2672">
        <v>1</v>
      </c>
    </row>
    <row r="17" spans="1:29" ht="142.5">
      <c r="A17" s="428"/>
      <c r="B17" s="631" t="s">
        <v>2096</v>
      </c>
      <c r="C17" s="2673" t="str">
        <f>估价对象房地状况!C6</f>
        <v>估价对象周边道路状况较好、公共交通通达情况较好、有322、342、442等多路公交车，距6号线北运河西站约1.5公里，停车便捷程度较好，综合评价交通便捷度较好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7"/>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2672">
        <f t="shared" si="5"/>
        <v>1</v>
      </c>
    </row>
    <row r="18" spans="1:29" ht="15">
      <c r="A18" s="428"/>
      <c r="B18" s="632"/>
      <c r="C18" s="2674"/>
      <c r="D18" s="450"/>
      <c r="E18" s="2609"/>
      <c r="F18" s="450"/>
      <c r="G18" s="2610"/>
      <c r="H18" s="448"/>
      <c r="I18" s="2610"/>
      <c r="J18" s="448"/>
      <c r="K18" s="615"/>
      <c r="L18" s="1143"/>
      <c r="M18" s="1134"/>
      <c r="N18" s="1134"/>
      <c r="O18" s="1134"/>
      <c r="P18" s="3217"/>
      <c r="Q18" s="1813"/>
      <c r="R18" s="774"/>
      <c r="S18" s="775"/>
      <c r="T18" s="774"/>
      <c r="U18" s="775"/>
      <c r="V18" s="774"/>
      <c r="W18" s="775"/>
      <c r="X18" s="1816"/>
      <c r="Y18" s="3188"/>
      <c r="Z18" s="1817"/>
      <c r="AA18" s="1814">
        <v>1</v>
      </c>
      <c r="AB18" s="1814">
        <v>1</v>
      </c>
      <c r="AC18" s="2672">
        <v>1</v>
      </c>
    </row>
    <row r="19" spans="1:29" ht="42.75">
      <c r="A19" s="428"/>
      <c r="B19" s="631" t="s">
        <v>2687</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7"/>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2672">
        <f t="shared" si="5"/>
        <v>1</v>
      </c>
    </row>
    <row r="20" spans="1:29" ht="15">
      <c r="A20" s="428"/>
      <c r="B20" s="632"/>
      <c r="C20" s="2611"/>
      <c r="D20" s="448"/>
      <c r="E20" s="2604"/>
      <c r="F20" s="448"/>
      <c r="G20" s="2605"/>
      <c r="H20" s="448"/>
      <c r="I20" s="2605"/>
      <c r="J20" s="448"/>
      <c r="K20" s="615"/>
      <c r="L20" s="1143"/>
      <c r="M20" s="1134"/>
      <c r="N20" s="1134"/>
      <c r="O20" s="1134"/>
      <c r="P20" s="3217"/>
      <c r="Q20" s="1813"/>
      <c r="R20" s="774"/>
      <c r="S20" s="775"/>
      <c r="T20" s="774"/>
      <c r="U20" s="775"/>
      <c r="V20" s="774"/>
      <c r="W20" s="775"/>
      <c r="X20" s="1816"/>
      <c r="Y20" s="3188"/>
      <c r="Z20" s="1817"/>
      <c r="AA20" s="1814">
        <v>1</v>
      </c>
      <c r="AB20" s="1814">
        <v>1</v>
      </c>
      <c r="AC20" s="2672">
        <v>1</v>
      </c>
    </row>
    <row r="21" spans="1:29" ht="15">
      <c r="A21" s="428"/>
      <c r="B21" s="633" t="s">
        <v>2688</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7"/>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217"/>
      <c r="Q22" s="1813"/>
      <c r="R22" s="774"/>
      <c r="S22" s="775"/>
      <c r="T22" s="774"/>
      <c r="U22" s="775"/>
      <c r="V22" s="774"/>
      <c r="W22" s="775"/>
      <c r="X22" s="1816"/>
      <c r="Y22" s="3188"/>
      <c r="Z22" s="1817"/>
      <c r="AA22" s="1814">
        <v>1</v>
      </c>
      <c r="AB22" s="1814">
        <v>1</v>
      </c>
      <c r="AC22" s="2672">
        <v>1</v>
      </c>
    </row>
    <row r="23" spans="1:29" ht="85.5">
      <c r="A23" s="428"/>
      <c r="B23" s="631" t="s">
        <v>2689</v>
      </c>
      <c r="C23" s="2673" t="str">
        <f>估价对象房地状况!C9</f>
        <v>区域自然环境：减河公园、运河奥体公园、潞河中学公园；人文环境：大运河美术馆；综合评价环境状况较好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7"/>
      <c r="Q23" s="1813" t="str">
        <f>B23</f>
        <v>环境质量</v>
      </c>
      <c r="R23" s="774" t="s">
        <v>17</v>
      </c>
      <c r="S23" s="775">
        <f>F23</f>
        <v>100</v>
      </c>
      <c r="T23" s="774" t="s">
        <v>17</v>
      </c>
      <c r="U23" s="775">
        <f>H23</f>
        <v>100</v>
      </c>
      <c r="V23" s="774" t="s">
        <v>17</v>
      </c>
      <c r="W23" s="775">
        <f>J23</f>
        <v>100</v>
      </c>
      <c r="X23" s="1816"/>
      <c r="Y23" s="3188"/>
      <c r="Z23" s="1817" t="str">
        <f>Q23</f>
        <v>环境质量</v>
      </c>
      <c r="AA23" s="1814">
        <f t="shared" si="3"/>
        <v>1</v>
      </c>
      <c r="AB23" s="1814">
        <f t="shared" si="4"/>
        <v>1</v>
      </c>
      <c r="AC23" s="2672">
        <f t="shared" si="5"/>
        <v>1</v>
      </c>
    </row>
    <row r="24" spans="1:29" ht="15">
      <c r="A24" s="428"/>
      <c r="B24" s="633"/>
      <c r="C24" s="2611"/>
      <c r="D24" s="448"/>
      <c r="E24" s="2604"/>
      <c r="F24" s="448"/>
      <c r="G24" s="2605"/>
      <c r="H24" s="448"/>
      <c r="I24" s="2605"/>
      <c r="J24" s="448"/>
      <c r="K24" s="615"/>
      <c r="L24" s="1143"/>
      <c r="M24" s="1134"/>
      <c r="N24" s="1134"/>
      <c r="O24" s="1134"/>
      <c r="P24" s="3217"/>
      <c r="Q24" s="1813"/>
      <c r="R24" s="774"/>
      <c r="S24" s="775"/>
      <c r="T24" s="774"/>
      <c r="U24" s="775"/>
      <c r="V24" s="774"/>
      <c r="W24" s="775"/>
      <c r="X24" s="1816"/>
      <c r="Y24" s="3188"/>
      <c r="Z24" s="1817"/>
      <c r="AA24" s="1814">
        <v>1</v>
      </c>
      <c r="AB24" s="1814">
        <v>1</v>
      </c>
      <c r="AC24" s="2672">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17"/>
      <c r="Q25" s="1813" t="str">
        <f>B25</f>
        <v>毗邻道路的类型与等级</v>
      </c>
      <c r="R25" s="774" t="s">
        <v>17</v>
      </c>
      <c r="S25" s="775">
        <f>F25</f>
        <v>100</v>
      </c>
      <c r="T25" s="774" t="s">
        <v>17</v>
      </c>
      <c r="U25" s="775">
        <f>H25</f>
        <v>100</v>
      </c>
      <c r="V25" s="774" t="s">
        <v>17</v>
      </c>
      <c r="W25" s="775">
        <f>J25</f>
        <v>100</v>
      </c>
      <c r="X25" s="1816"/>
      <c r="Y25" s="3188"/>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217"/>
      <c r="Q26" s="1813"/>
      <c r="R26" s="774"/>
      <c r="S26" s="775"/>
      <c r="T26" s="774"/>
      <c r="U26" s="775"/>
      <c r="V26" s="774"/>
      <c r="W26" s="775"/>
      <c r="X26" s="1816"/>
      <c r="Y26" s="3188"/>
      <c r="Z26" s="1817"/>
      <c r="AA26" s="1814">
        <v>1</v>
      </c>
      <c r="AB26" s="1814">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7"/>
      <c r="Q27" s="1813" t="str">
        <f t="shared" ref="Q27:Q47" si="11">B27</f>
        <v>楼层</v>
      </c>
      <c r="R27" s="774" t="s">
        <v>17</v>
      </c>
      <c r="S27" s="775">
        <f>F27</f>
        <v>100</v>
      </c>
      <c r="T27" s="774" t="s">
        <v>17</v>
      </c>
      <c r="U27" s="775">
        <f>H27</f>
        <v>100</v>
      </c>
      <c r="V27" s="774" t="s">
        <v>17</v>
      </c>
      <c r="W27" s="775">
        <f>J27</f>
        <v>100</v>
      </c>
      <c r="X27" s="1816"/>
      <c r="Y27" s="3188"/>
      <c r="Z27" s="1817" t="str">
        <f>Q27</f>
        <v>楼层</v>
      </c>
      <c r="AA27" s="1814">
        <f t="shared" si="3"/>
        <v>1</v>
      </c>
      <c r="AB27" s="1814">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17"/>
      <c r="Q28" s="1798" t="str">
        <f t="shared" si="11"/>
        <v>朝向</v>
      </c>
      <c r="R28" s="770" t="s">
        <v>17</v>
      </c>
      <c r="S28" s="771">
        <f>F28</f>
        <v>100</v>
      </c>
      <c r="T28" s="770" t="s">
        <v>17</v>
      </c>
      <c r="U28" s="771">
        <f>H28</f>
        <v>100</v>
      </c>
      <c r="V28" s="770" t="s">
        <v>17</v>
      </c>
      <c r="W28" s="771">
        <f>J28</f>
        <v>100</v>
      </c>
      <c r="X28" s="772"/>
      <c r="Y28" s="3188"/>
      <c r="Z28" s="55" t="str">
        <f>Q28</f>
        <v>朝向</v>
      </c>
      <c r="AA28" s="1814">
        <f>D28/F28</f>
        <v>1</v>
      </c>
      <c r="AB28" s="1814">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17"/>
      <c r="Q29" s="1813">
        <f t="shared" si="11"/>
        <v>111</v>
      </c>
      <c r="R29" s="774" t="s">
        <v>17</v>
      </c>
      <c r="S29" s="775">
        <f t="shared" ref="S29:S47" si="12">F29</f>
        <v>100</v>
      </c>
      <c r="T29" s="774" t="s">
        <v>17</v>
      </c>
      <c r="U29" s="775">
        <f t="shared" ref="U29:U47" si="13">H29</f>
        <v>100</v>
      </c>
      <c r="V29" s="774" t="s">
        <v>17</v>
      </c>
      <c r="W29" s="775">
        <f t="shared" ref="W29:W47" si="14">J29</f>
        <v>100</v>
      </c>
      <c r="X29" s="1816"/>
      <c r="Y29" s="3188"/>
      <c r="Z29" s="1817">
        <f t="shared" ref="Z29:Z47" si="15">Q29</f>
        <v>111</v>
      </c>
      <c r="AA29" s="1814">
        <f t="shared" si="3"/>
        <v>1</v>
      </c>
      <c r="AB29" s="1814">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17"/>
      <c r="Q30" s="1813">
        <f t="shared" si="11"/>
        <v>111</v>
      </c>
      <c r="R30" s="774" t="s">
        <v>17</v>
      </c>
      <c r="S30" s="775">
        <f t="shared" si="12"/>
        <v>100</v>
      </c>
      <c r="T30" s="774" t="s">
        <v>17</v>
      </c>
      <c r="U30" s="775">
        <f t="shared" si="13"/>
        <v>100</v>
      </c>
      <c r="V30" s="774" t="s">
        <v>17</v>
      </c>
      <c r="W30" s="775">
        <f t="shared" si="14"/>
        <v>100</v>
      </c>
      <c r="X30" s="1816"/>
      <c r="Y30" s="3188"/>
      <c r="Z30" s="1817">
        <f t="shared" si="15"/>
        <v>111</v>
      </c>
      <c r="AA30" s="1814">
        <f t="shared" si="3"/>
        <v>1</v>
      </c>
      <c r="AB30" s="1814">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17"/>
      <c r="Q31" s="1813">
        <f t="shared" si="11"/>
        <v>111</v>
      </c>
      <c r="R31" s="774" t="s">
        <v>17</v>
      </c>
      <c r="S31" s="775">
        <f t="shared" si="12"/>
        <v>100</v>
      </c>
      <c r="T31" s="774" t="s">
        <v>17</v>
      </c>
      <c r="U31" s="775">
        <f t="shared" si="13"/>
        <v>100</v>
      </c>
      <c r="V31" s="774" t="s">
        <v>17</v>
      </c>
      <c r="W31" s="775">
        <f t="shared" si="14"/>
        <v>100</v>
      </c>
      <c r="X31" s="1816"/>
      <c r="Y31" s="3188"/>
      <c r="Z31" s="1817">
        <f t="shared" si="15"/>
        <v>111</v>
      </c>
      <c r="AA31" s="1814">
        <f t="shared" si="3"/>
        <v>1</v>
      </c>
      <c r="AB31" s="1814">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17"/>
      <c r="Q32" s="1813">
        <f t="shared" si="11"/>
        <v>111</v>
      </c>
      <c r="R32" s="774" t="s">
        <v>17</v>
      </c>
      <c r="S32" s="775">
        <f t="shared" si="12"/>
        <v>100</v>
      </c>
      <c r="T32" s="774" t="s">
        <v>17</v>
      </c>
      <c r="U32" s="775">
        <f t="shared" si="13"/>
        <v>100</v>
      </c>
      <c r="V32" s="774" t="s">
        <v>17</v>
      </c>
      <c r="W32" s="775">
        <f t="shared" si="14"/>
        <v>100</v>
      </c>
      <c r="X32" s="1816"/>
      <c r="Y32" s="3188"/>
      <c r="Z32" s="1817">
        <f t="shared" si="15"/>
        <v>111</v>
      </c>
      <c r="AA32" s="1814">
        <f t="shared" si="3"/>
        <v>1</v>
      </c>
      <c r="AB32" s="1814">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12" t="s">
        <v>2564</v>
      </c>
      <c r="Q33" s="1813" t="str">
        <f t="shared" si="11"/>
        <v>建筑类型</v>
      </c>
      <c r="R33" s="774" t="s">
        <v>17</v>
      </c>
      <c r="S33" s="775">
        <f t="shared" si="12"/>
        <v>100</v>
      </c>
      <c r="T33" s="774" t="s">
        <v>17</v>
      </c>
      <c r="U33" s="775">
        <f t="shared" si="13"/>
        <v>100</v>
      </c>
      <c r="V33" s="774" t="s">
        <v>17</v>
      </c>
      <c r="W33" s="775">
        <f t="shared" si="14"/>
        <v>100</v>
      </c>
      <c r="X33" s="1816"/>
      <c r="Y33" s="3190" t="s">
        <v>2564</v>
      </c>
      <c r="Z33" s="1817" t="str">
        <f t="shared" si="15"/>
        <v>建筑类型</v>
      </c>
      <c r="AA33" s="1814">
        <f t="shared" si="3"/>
        <v>1</v>
      </c>
      <c r="AB33" s="1814">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3"/>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14" t="e">
        <f t="shared" si="3"/>
        <v>#N/A</v>
      </c>
      <c r="AB34" s="1814"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3"/>
      <c r="Q35" s="1813" t="str">
        <f t="shared" si="11"/>
        <v>建筑结构</v>
      </c>
      <c r="R35" s="774" t="s">
        <v>17</v>
      </c>
      <c r="S35" s="775">
        <f t="shared" si="12"/>
        <v>100</v>
      </c>
      <c r="T35" s="774" t="s">
        <v>17</v>
      </c>
      <c r="U35" s="775">
        <f t="shared" si="13"/>
        <v>100</v>
      </c>
      <c r="V35" s="774" t="s">
        <v>17</v>
      </c>
      <c r="W35" s="775">
        <f t="shared" si="14"/>
        <v>100</v>
      </c>
      <c r="X35" s="1816"/>
      <c r="Y35" s="3190"/>
      <c r="Z35" s="1817" t="str">
        <f t="shared" si="15"/>
        <v>建筑结构</v>
      </c>
      <c r="AA35" s="1814">
        <f t="shared" si="3"/>
        <v>1</v>
      </c>
      <c r="AB35" s="1814">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3"/>
      <c r="Q36" s="1813" t="str">
        <f t="shared" si="11"/>
        <v>公共部分装修</v>
      </c>
      <c r="R36" s="774" t="s">
        <v>17</v>
      </c>
      <c r="S36" s="775">
        <f t="shared" si="12"/>
        <v>100</v>
      </c>
      <c r="T36" s="774" t="s">
        <v>17</v>
      </c>
      <c r="U36" s="775">
        <f t="shared" si="13"/>
        <v>100</v>
      </c>
      <c r="V36" s="774" t="s">
        <v>17</v>
      </c>
      <c r="W36" s="775">
        <f t="shared" si="14"/>
        <v>100</v>
      </c>
      <c r="X36" s="1816"/>
      <c r="Y36" s="3190"/>
      <c r="Z36" s="1817" t="str">
        <f t="shared" si="15"/>
        <v>公共部分装修</v>
      </c>
      <c r="AA36" s="1814">
        <f t="shared" si="3"/>
        <v>1</v>
      </c>
      <c r="AB36" s="1814">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3"/>
      <c r="Q37" s="1813" t="str">
        <f t="shared" si="11"/>
        <v>成新度</v>
      </c>
      <c r="R37" s="774" t="s">
        <v>17</v>
      </c>
      <c r="S37" s="775" t="e">
        <f t="shared" si="12"/>
        <v>#N/A</v>
      </c>
      <c r="T37" s="774" t="s">
        <v>17</v>
      </c>
      <c r="U37" s="775" t="e">
        <f t="shared" si="13"/>
        <v>#N/A</v>
      </c>
      <c r="V37" s="774" t="s">
        <v>17</v>
      </c>
      <c r="W37" s="775" t="e">
        <f t="shared" si="14"/>
        <v>#N/A</v>
      </c>
      <c r="X37" s="1816"/>
      <c r="Y37" s="3190"/>
      <c r="Z37" s="1817" t="str">
        <f t="shared" si="15"/>
        <v>成新度</v>
      </c>
      <c r="AA37" s="1814" t="e">
        <f t="shared" si="3"/>
        <v>#N/A</v>
      </c>
      <c r="AB37" s="1814"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3"/>
      <c r="Q38" s="1798"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3" t="s">
        <v>2564</v>
      </c>
      <c r="Q39" s="1813" t="str">
        <f t="shared" si="11"/>
        <v>物业管理</v>
      </c>
      <c r="R39" s="774" t="s">
        <v>17</v>
      </c>
      <c r="S39" s="775">
        <f t="shared" si="12"/>
        <v>100</v>
      </c>
      <c r="T39" s="774" t="s">
        <v>17</v>
      </c>
      <c r="U39" s="775">
        <f t="shared" si="13"/>
        <v>100</v>
      </c>
      <c r="V39" s="774" t="s">
        <v>17</v>
      </c>
      <c r="W39" s="775">
        <f t="shared" si="14"/>
        <v>100</v>
      </c>
      <c r="X39" s="1816"/>
      <c r="Y39" s="3190" t="s">
        <v>2564</v>
      </c>
      <c r="Z39" s="1817" t="str">
        <f t="shared" si="15"/>
        <v>物业管理</v>
      </c>
      <c r="AA39" s="1814">
        <f t="shared" si="3"/>
        <v>1</v>
      </c>
      <c r="AB39" s="1814">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3"/>
      <c r="Q40" s="1813" t="str">
        <f t="shared" si="11"/>
        <v>市政基础设施</v>
      </c>
      <c r="R40" s="774" t="s">
        <v>17</v>
      </c>
      <c r="S40" s="775">
        <f t="shared" si="12"/>
        <v>100</v>
      </c>
      <c r="T40" s="774" t="s">
        <v>17</v>
      </c>
      <c r="U40" s="775">
        <f t="shared" si="13"/>
        <v>100</v>
      </c>
      <c r="V40" s="774" t="s">
        <v>17</v>
      </c>
      <c r="W40" s="775">
        <f t="shared" si="14"/>
        <v>100</v>
      </c>
      <c r="X40" s="1816"/>
      <c r="Y40" s="3190"/>
      <c r="Z40" s="1817" t="str">
        <f t="shared" si="15"/>
        <v>市政基础设施</v>
      </c>
      <c r="AA40" s="1814">
        <f t="shared" si="3"/>
        <v>1</v>
      </c>
      <c r="AB40" s="1814">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3"/>
      <c r="Q41" s="1813" t="str">
        <f t="shared" si="11"/>
        <v>层高</v>
      </c>
      <c r="R41" s="774" t="s">
        <v>17</v>
      </c>
      <c r="S41" s="775">
        <f t="shared" si="12"/>
        <v>100</v>
      </c>
      <c r="T41" s="774" t="s">
        <v>17</v>
      </c>
      <c r="U41" s="775">
        <f t="shared" si="13"/>
        <v>100</v>
      </c>
      <c r="V41" s="774" t="s">
        <v>17</v>
      </c>
      <c r="W41" s="775">
        <f t="shared" si="14"/>
        <v>100</v>
      </c>
      <c r="X41" s="1816"/>
      <c r="Y41" s="3190"/>
      <c r="Z41" s="1817" t="str">
        <f t="shared" si="15"/>
        <v>层高</v>
      </c>
      <c r="AA41" s="1814">
        <f t="shared" si="3"/>
        <v>1</v>
      </c>
      <c r="AB41" s="1814">
        <f t="shared" si="4"/>
        <v>1</v>
      </c>
      <c r="AC41" s="2672">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3"/>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4">
        <f t="shared" si="3"/>
        <v>1</v>
      </c>
      <c r="AB42" s="1814">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3"/>
      <c r="Q43" s="1813" t="str">
        <f t="shared" si="11"/>
        <v>内部装修</v>
      </c>
      <c r="R43" s="774" t="s">
        <v>17</v>
      </c>
      <c r="S43" s="775">
        <f t="shared" si="12"/>
        <v>100</v>
      </c>
      <c r="T43" s="774" t="s">
        <v>17</v>
      </c>
      <c r="U43" s="775">
        <f t="shared" si="13"/>
        <v>100</v>
      </c>
      <c r="V43" s="774" t="s">
        <v>17</v>
      </c>
      <c r="W43" s="775">
        <f t="shared" si="14"/>
        <v>100</v>
      </c>
      <c r="X43" s="1816"/>
      <c r="Y43" s="3190"/>
      <c r="Z43" s="1817" t="str">
        <f t="shared" si="15"/>
        <v>内部装修</v>
      </c>
      <c r="AA43" s="1814">
        <f t="shared" si="3"/>
        <v>1</v>
      </c>
      <c r="AB43" s="1814">
        <f t="shared" si="4"/>
        <v>1</v>
      </c>
      <c r="AC43" s="2672">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13"/>
      <c r="Q44" s="1813" t="str">
        <f t="shared" si="11"/>
        <v>内部装修维护情况</v>
      </c>
      <c r="R44" s="774" t="s">
        <v>17</v>
      </c>
      <c r="S44" s="775">
        <f t="shared" si="12"/>
        <v>100</v>
      </c>
      <c r="T44" s="774" t="s">
        <v>17</v>
      </c>
      <c r="U44" s="775">
        <f t="shared" si="13"/>
        <v>100</v>
      </c>
      <c r="V44" s="774" t="s">
        <v>17</v>
      </c>
      <c r="W44" s="775">
        <f t="shared" si="14"/>
        <v>100</v>
      </c>
      <c r="X44" s="1816"/>
      <c r="Y44" s="3190"/>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3"/>
      <c r="Q45" s="1798">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3"/>
      <c r="Q46" s="1813">
        <f t="shared" si="11"/>
        <v>111</v>
      </c>
      <c r="R46" s="774" t="s">
        <v>17</v>
      </c>
      <c r="S46" s="775">
        <f t="shared" si="12"/>
        <v>100</v>
      </c>
      <c r="T46" s="774" t="s">
        <v>17</v>
      </c>
      <c r="U46" s="775">
        <f t="shared" si="13"/>
        <v>100</v>
      </c>
      <c r="V46" s="774" t="s">
        <v>17</v>
      </c>
      <c r="W46" s="775">
        <f t="shared" si="14"/>
        <v>100</v>
      </c>
      <c r="X46" s="1816"/>
      <c r="Y46" s="3190"/>
      <c r="Z46" s="1817">
        <f t="shared" si="15"/>
        <v>111</v>
      </c>
      <c r="AA46" s="1814">
        <f t="shared" si="3"/>
        <v>1</v>
      </c>
      <c r="AB46" s="1814">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4"/>
      <c r="Q47" s="1813">
        <f t="shared" si="11"/>
        <v>111</v>
      </c>
      <c r="R47" s="774" t="s">
        <v>17</v>
      </c>
      <c r="S47" s="775">
        <f t="shared" si="12"/>
        <v>100</v>
      </c>
      <c r="T47" s="774" t="s">
        <v>17</v>
      </c>
      <c r="U47" s="775">
        <f t="shared" si="13"/>
        <v>100</v>
      </c>
      <c r="V47" s="774" t="s">
        <v>17</v>
      </c>
      <c r="W47" s="775">
        <f t="shared" si="14"/>
        <v>100</v>
      </c>
      <c r="X47" s="1816"/>
      <c r="Y47" s="3215"/>
      <c r="Z47" s="1817">
        <f t="shared" si="15"/>
        <v>111</v>
      </c>
      <c r="AA47" s="1814">
        <f t="shared" si="3"/>
        <v>1</v>
      </c>
      <c r="AB47" s="1814">
        <f t="shared" si="4"/>
        <v>1</v>
      </c>
      <c r="AC47" s="2672">
        <f t="shared" si="5"/>
        <v>1</v>
      </c>
    </row>
    <row r="48" spans="1:29" ht="15">
      <c r="A48" s="479" t="s">
        <v>2576</v>
      </c>
      <c r="B48" s="480"/>
      <c r="C48" s="1410" t="s">
        <v>1</v>
      </c>
      <c r="D48" s="1411"/>
      <c r="E48" s="1412"/>
      <c r="F48" s="1413"/>
      <c r="G48" s="1414"/>
      <c r="H48" s="1415"/>
      <c r="I48" s="1412"/>
      <c r="J48" s="485"/>
      <c r="K48" s="783"/>
      <c r="L48" s="1146"/>
      <c r="M48" s="1134"/>
      <c r="N48" s="1134"/>
      <c r="O48" s="1134"/>
      <c r="P48" s="3196" t="str">
        <f>A48</f>
        <v>成交单价（元/平方米）</v>
      </c>
      <c r="Q48" s="3172"/>
      <c r="R48" s="3211">
        <f>E48</f>
        <v>0</v>
      </c>
      <c r="S48" s="3211"/>
      <c r="T48" s="3211">
        <f>G48</f>
        <v>0</v>
      </c>
      <c r="U48" s="3211"/>
      <c r="V48" s="3211">
        <f>I48</f>
        <v>0</v>
      </c>
      <c r="W48" s="3211"/>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96" t="str">
        <f>A49</f>
        <v>比较价值（元/平方米）</v>
      </c>
      <c r="Q49" s="3172"/>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52" t="str">
        <f>A50</f>
        <v>估价对象XX用房的比较价值（楼面单价，元/平方米）</v>
      </c>
      <c r="Q50" s="3253"/>
      <c r="R50" s="3254" t="e">
        <f>IF(F1="售价",ROUND(AVERAGE(R49:V49),0),ROUND(AVERAGE(R49:V49),1))</f>
        <v>#DIV/0!</v>
      </c>
      <c r="S50" s="3254"/>
      <c r="T50" s="3254"/>
      <c r="U50" s="3254"/>
      <c r="V50" s="3254"/>
      <c r="W50" s="3254"/>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79"/>
      <c r="Q58" s="504"/>
    </row>
    <row r="59" spans="1:29" s="508" customFormat="1" ht="15">
      <c r="A59" s="505" t="s">
        <v>2547</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2587</v>
      </c>
      <c r="B64" s="528" t="s">
        <v>2553</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2698</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2562</v>
      </c>
      <c r="B101" s="528" t="s">
        <v>2611</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2613</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2615</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2616</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2617</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2700</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2619</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2701</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107692.8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3" t="s">
        <v>2645</v>
      </c>
      <c r="D4" s="3174"/>
      <c r="E4" s="3175" t="s">
        <v>2646</v>
      </c>
      <c r="F4" s="3176"/>
      <c r="G4" s="3173" t="s">
        <v>2647</v>
      </c>
      <c r="H4" s="3174"/>
      <c r="I4" s="3173" t="s">
        <v>2648</v>
      </c>
      <c r="J4" s="3174"/>
      <c r="K4" s="610" t="s">
        <v>2649</v>
      </c>
      <c r="L4" s="1133"/>
      <c r="M4" s="1134"/>
      <c r="N4" s="1134"/>
      <c r="O4" s="1134"/>
      <c r="P4" s="3177" t="s">
        <v>2650</v>
      </c>
      <c r="Q4" s="3178"/>
      <c r="R4" s="3160" t="s">
        <v>2646</v>
      </c>
      <c r="S4" s="3161"/>
      <c r="T4" s="3160" t="s">
        <v>2647</v>
      </c>
      <c r="U4" s="3161"/>
      <c r="V4" s="3185" t="s">
        <v>2648</v>
      </c>
      <c r="W4" s="3185"/>
      <c r="X4" s="1816"/>
      <c r="Y4" s="3160" t="s">
        <v>2650</v>
      </c>
      <c r="Z4" s="3161"/>
      <c r="AA4" s="3155" t="s">
        <v>2646</v>
      </c>
      <c r="AB4" s="3156" t="s">
        <v>2647</v>
      </c>
      <c r="AC4" s="3155" t="s">
        <v>2648</v>
      </c>
    </row>
    <row r="5" spans="1:29" ht="15">
      <c r="A5" s="404"/>
      <c r="B5" s="405"/>
      <c r="C5" s="3166" t="s">
        <v>2541</v>
      </c>
      <c r="D5" s="3167"/>
      <c r="E5" s="3164" t="s">
        <v>2542</v>
      </c>
      <c r="F5" s="3165"/>
      <c r="G5" s="3166" t="s">
        <v>2543</v>
      </c>
      <c r="H5" s="3167"/>
      <c r="I5" s="3166" t="s">
        <v>2544</v>
      </c>
      <c r="J5" s="3167"/>
      <c r="K5" s="610"/>
      <c r="L5" s="1133"/>
      <c r="M5" s="1134"/>
      <c r="N5" s="1134"/>
      <c r="O5" s="1134"/>
      <c r="P5" s="3179"/>
      <c r="Q5" s="3180"/>
      <c r="R5" s="3162"/>
      <c r="S5" s="3163"/>
      <c r="T5" s="3162"/>
      <c r="U5" s="3163"/>
      <c r="V5" s="3185"/>
      <c r="W5" s="3185"/>
      <c r="X5" s="1816"/>
      <c r="Y5" s="3162"/>
      <c r="Z5" s="3163"/>
      <c r="AA5" s="3156"/>
      <c r="AB5" s="3156"/>
      <c r="AC5" s="3156"/>
    </row>
    <row r="6" spans="1:29" ht="15.75" thickBot="1">
      <c r="A6" s="406"/>
      <c r="B6" s="407"/>
      <c r="C6" s="3168" t="s">
        <v>2545</v>
      </c>
      <c r="D6" s="3169"/>
      <c r="E6" s="3170" t="s">
        <v>2545</v>
      </c>
      <c r="F6" s="3171"/>
      <c r="G6" s="3168" t="s">
        <v>2545</v>
      </c>
      <c r="H6" s="3169"/>
      <c r="I6" s="3168" t="s">
        <v>2545</v>
      </c>
      <c r="J6" s="3169"/>
      <c r="K6" s="610" t="s">
        <v>2546</v>
      </c>
      <c r="L6" s="1133"/>
      <c r="M6" s="1134"/>
      <c r="N6" s="1134"/>
      <c r="O6" s="1134"/>
      <c r="P6" s="3181"/>
      <c r="Q6" s="3182"/>
      <c r="R6" s="3162"/>
      <c r="S6" s="3163"/>
      <c r="T6" s="3183"/>
      <c r="U6" s="3184"/>
      <c r="V6" s="3185"/>
      <c r="W6" s="3185"/>
      <c r="X6" s="1816"/>
      <c r="Y6" s="3183"/>
      <c r="Z6" s="3184"/>
      <c r="AA6" s="3157"/>
      <c r="AB6" s="3157"/>
      <c r="AC6" s="3157"/>
    </row>
    <row r="7" spans="1:29" s="117" customFormat="1" ht="15.75" thickBot="1">
      <c r="A7" s="408" t="s">
        <v>2547</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8" t="s">
        <v>2548</v>
      </c>
      <c r="Q7" s="3186"/>
      <c r="R7" s="770" t="s">
        <v>17</v>
      </c>
      <c r="S7" s="771">
        <f t="shared" ref="S7:S15" si="0">F7</f>
        <v>0</v>
      </c>
      <c r="T7" s="770" t="s">
        <v>17</v>
      </c>
      <c r="U7" s="771">
        <f t="shared" ref="U7:U15" si="1">H7</f>
        <v>0</v>
      </c>
      <c r="V7" s="770" t="s">
        <v>17</v>
      </c>
      <c r="W7" s="771">
        <f t="shared" ref="W7:W15" si="2">J7</f>
        <v>0</v>
      </c>
      <c r="X7" s="772"/>
      <c r="Y7" s="3158" t="s">
        <v>2548</v>
      </c>
      <c r="Z7" s="315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8" t="s">
        <v>2551</v>
      </c>
      <c r="Q8" s="3159"/>
      <c r="R8" s="770" t="s">
        <v>17</v>
      </c>
      <c r="S8" s="771">
        <f t="shared" si="0"/>
        <v>0</v>
      </c>
      <c r="T8" s="770" t="s">
        <v>17</v>
      </c>
      <c r="U8" s="771">
        <f t="shared" si="1"/>
        <v>0</v>
      </c>
      <c r="V8" s="770" t="s">
        <v>17</v>
      </c>
      <c r="W8" s="771">
        <f t="shared" si="2"/>
        <v>0</v>
      </c>
      <c r="X8" s="772"/>
      <c r="Y8" s="3158" t="s">
        <v>2551</v>
      </c>
      <c r="Z8" s="315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2" t="s">
        <v>2554</v>
      </c>
      <c r="Q9" s="1798" t="str">
        <f t="shared" ref="Q9:Q15" si="6">B9</f>
        <v>用途</v>
      </c>
      <c r="R9" s="770" t="s">
        <v>17</v>
      </c>
      <c r="S9" s="771">
        <f t="shared" si="0"/>
        <v>100</v>
      </c>
      <c r="T9" s="770" t="s">
        <v>17</v>
      </c>
      <c r="U9" s="771">
        <f t="shared" si="1"/>
        <v>100</v>
      </c>
      <c r="V9" s="770" t="s">
        <v>17</v>
      </c>
      <c r="W9" s="771">
        <f t="shared" si="2"/>
        <v>100</v>
      </c>
      <c r="X9" s="772"/>
      <c r="Y9" s="303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2"/>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2"/>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72"/>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72"/>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7" t="s">
        <v>2559</v>
      </c>
      <c r="Q15" s="1813" t="str">
        <f t="shared" si="6"/>
        <v>产业集聚程度</v>
      </c>
      <c r="R15" s="774" t="s">
        <v>17</v>
      </c>
      <c r="S15" s="775">
        <f t="shared" si="0"/>
        <v>100</v>
      </c>
      <c r="T15" s="774" t="s">
        <v>17</v>
      </c>
      <c r="U15" s="775">
        <f t="shared" si="1"/>
        <v>100</v>
      </c>
      <c r="V15" s="774" t="s">
        <v>17</v>
      </c>
      <c r="W15" s="775">
        <f t="shared" si="2"/>
        <v>100</v>
      </c>
      <c r="X15" s="1816"/>
      <c r="Y15" s="3187"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8"/>
      <c r="Q16" s="1813"/>
      <c r="R16" s="774"/>
      <c r="S16" s="775"/>
      <c r="T16" s="774"/>
      <c r="U16" s="775"/>
      <c r="V16" s="774"/>
      <c r="W16" s="775"/>
      <c r="X16" s="1816"/>
      <c r="Y16" s="3188"/>
      <c r="Z16" s="1817"/>
      <c r="AA16" s="1814">
        <v>1</v>
      </c>
      <c r="AB16" s="1814">
        <v>1</v>
      </c>
      <c r="AC16" s="1814">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8"/>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188"/>
      <c r="Q18" s="1813"/>
      <c r="R18" s="774"/>
      <c r="S18" s="775"/>
      <c r="T18" s="774"/>
      <c r="U18" s="775"/>
      <c r="V18" s="774"/>
      <c r="W18" s="775"/>
      <c r="X18" s="1816"/>
      <c r="Y18" s="3188"/>
      <c r="Z18" s="1817"/>
      <c r="AA18" s="1814">
        <v>1</v>
      </c>
      <c r="AB18" s="1814">
        <v>1</v>
      </c>
      <c r="AC18" s="1814">
        <v>1</v>
      </c>
    </row>
    <row r="19" spans="1:29" ht="42.75">
      <c r="A19" s="428"/>
      <c r="B19" s="451" t="s">
        <v>2687</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8"/>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188"/>
      <c r="Q20" s="1813"/>
      <c r="R20" s="774"/>
      <c r="S20" s="775"/>
      <c r="T20" s="774"/>
      <c r="U20" s="775"/>
      <c r="V20" s="774"/>
      <c r="W20" s="775"/>
      <c r="X20" s="1816"/>
      <c r="Y20" s="3188"/>
      <c r="Z20" s="1817"/>
      <c r="AA20" s="1814">
        <v>1</v>
      </c>
      <c r="AB20" s="1814">
        <v>1</v>
      </c>
      <c r="AC20" s="1814">
        <v>1</v>
      </c>
    </row>
    <row r="21" spans="1:29" ht="28.5">
      <c r="A21" s="428"/>
      <c r="B21" s="1387" t="s">
        <v>2688</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8"/>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42"/>
      <c r="P22" s="3188"/>
      <c r="Q22" s="1813"/>
      <c r="R22" s="774"/>
      <c r="S22" s="775"/>
      <c r="T22" s="774"/>
      <c r="U22" s="775"/>
      <c r="V22" s="774"/>
      <c r="W22" s="775"/>
      <c r="X22" s="1816"/>
      <c r="Y22" s="3188"/>
      <c r="Z22" s="1817"/>
      <c r="AA22" s="1814">
        <v>1</v>
      </c>
      <c r="AB22" s="1814">
        <v>1</v>
      </c>
      <c r="AC22" s="1814">
        <v>1</v>
      </c>
    </row>
    <row r="23" spans="1:29" ht="71.25">
      <c r="A23" s="428"/>
      <c r="B23" s="451" t="s">
        <v>2689</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8"/>
      <c r="Q23" s="1813" t="str">
        <f>B23</f>
        <v>环境质量</v>
      </c>
      <c r="R23" s="774" t="s">
        <v>17</v>
      </c>
      <c r="S23" s="775">
        <f>F23</f>
        <v>100</v>
      </c>
      <c r="T23" s="774" t="s">
        <v>17</v>
      </c>
      <c r="U23" s="775">
        <f>H23</f>
        <v>100</v>
      </c>
      <c r="V23" s="774" t="s">
        <v>17</v>
      </c>
      <c r="W23" s="775">
        <f>J23</f>
        <v>100</v>
      </c>
      <c r="X23" s="1816"/>
      <c r="Y23" s="3188"/>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188"/>
      <c r="Q24" s="1813"/>
      <c r="R24" s="774"/>
      <c r="S24" s="775"/>
      <c r="T24" s="774"/>
      <c r="U24" s="775"/>
      <c r="V24" s="774"/>
      <c r="W24" s="775"/>
      <c r="X24" s="1816"/>
      <c r="Y24" s="318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8"/>
      <c r="Q25" s="1813">
        <f>B25</f>
        <v>111</v>
      </c>
      <c r="R25" s="774" t="s">
        <v>17</v>
      </c>
      <c r="S25" s="775">
        <f>F25</f>
        <v>100</v>
      </c>
      <c r="T25" s="774" t="s">
        <v>17</v>
      </c>
      <c r="U25" s="775">
        <f>H25</f>
        <v>100</v>
      </c>
      <c r="V25" s="774" t="s">
        <v>17</v>
      </c>
      <c r="W25" s="775">
        <f>J25</f>
        <v>100</v>
      </c>
      <c r="X25" s="1816"/>
      <c r="Y25" s="318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8"/>
      <c r="Q26" s="1813">
        <f t="shared" ref="Q26:Q40" si="11">B26</f>
        <v>111</v>
      </c>
      <c r="R26" s="774" t="s">
        <v>17</v>
      </c>
      <c r="S26" s="775">
        <f>F26</f>
        <v>100</v>
      </c>
      <c r="T26" s="774" t="s">
        <v>17</v>
      </c>
      <c r="U26" s="775">
        <f>H26</f>
        <v>100</v>
      </c>
      <c r="V26" s="774" t="s">
        <v>17</v>
      </c>
      <c r="W26" s="775">
        <f>J26</f>
        <v>100</v>
      </c>
      <c r="X26" s="1816"/>
      <c r="Y26" s="318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8"/>
      <c r="Q27" s="1798">
        <f t="shared" si="11"/>
        <v>111</v>
      </c>
      <c r="R27" s="770" t="s">
        <v>17</v>
      </c>
      <c r="S27" s="771">
        <f>F27</f>
        <v>100</v>
      </c>
      <c r="T27" s="770" t="s">
        <v>17</v>
      </c>
      <c r="U27" s="771">
        <f>H27</f>
        <v>100</v>
      </c>
      <c r="V27" s="770" t="s">
        <v>17</v>
      </c>
      <c r="W27" s="771">
        <f>J27</f>
        <v>100</v>
      </c>
      <c r="X27" s="772"/>
      <c r="Y27" s="318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8"/>
      <c r="Q28" s="1813">
        <f t="shared" si="11"/>
        <v>111</v>
      </c>
      <c r="R28" s="774" t="s">
        <v>17</v>
      </c>
      <c r="S28" s="775">
        <f t="shared" ref="S28:S40" si="12">F28</f>
        <v>100</v>
      </c>
      <c r="T28" s="774" t="s">
        <v>17</v>
      </c>
      <c r="U28" s="775">
        <f t="shared" ref="U28:U40" si="13">H28</f>
        <v>100</v>
      </c>
      <c r="V28" s="774" t="s">
        <v>17</v>
      </c>
      <c r="W28" s="775">
        <f t="shared" ref="W28:W40" si="14">J28</f>
        <v>100</v>
      </c>
      <c r="X28" s="1816"/>
      <c r="Y28" s="3188"/>
      <c r="Z28" s="1817">
        <f t="shared" ref="Z28:Z40" si="15">Q28</f>
        <v>111</v>
      </c>
      <c r="AA28" s="1814">
        <f t="shared" si="3"/>
        <v>1</v>
      </c>
      <c r="AB28" s="1814">
        <f t="shared" si="4"/>
        <v>1</v>
      </c>
      <c r="AC28" s="1814">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189" t="s">
        <v>2564</v>
      </c>
      <c r="Q29" s="1813" t="str">
        <f t="shared" si="11"/>
        <v>建筑类型</v>
      </c>
      <c r="R29" s="774" t="s">
        <v>17</v>
      </c>
      <c r="S29" s="775">
        <f t="shared" si="12"/>
        <v>100</v>
      </c>
      <c r="T29" s="774" t="s">
        <v>17</v>
      </c>
      <c r="U29" s="775">
        <f t="shared" si="13"/>
        <v>100</v>
      </c>
      <c r="V29" s="774" t="s">
        <v>17</v>
      </c>
      <c r="W29" s="775">
        <f t="shared" si="14"/>
        <v>100</v>
      </c>
      <c r="X29" s="1816"/>
      <c r="Y29" s="3190"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0"/>
      <c r="Q31" s="1813" t="str">
        <f t="shared" si="11"/>
        <v>建筑结构</v>
      </c>
      <c r="R31" s="774" t="s">
        <v>17</v>
      </c>
      <c r="S31" s="775">
        <f t="shared" si="12"/>
        <v>100</v>
      </c>
      <c r="T31" s="774" t="s">
        <v>17</v>
      </c>
      <c r="U31" s="775">
        <f t="shared" si="13"/>
        <v>100</v>
      </c>
      <c r="V31" s="774" t="s">
        <v>17</v>
      </c>
      <c r="W31" s="775">
        <f t="shared" si="14"/>
        <v>100</v>
      </c>
      <c r="X31" s="1816"/>
      <c r="Y31" s="3190"/>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0"/>
      <c r="Q32" s="1813" t="str">
        <f t="shared" si="11"/>
        <v>公共部分装修</v>
      </c>
      <c r="R32" s="774" t="s">
        <v>17</v>
      </c>
      <c r="S32" s="775">
        <f t="shared" si="12"/>
        <v>100</v>
      </c>
      <c r="T32" s="774" t="s">
        <v>17</v>
      </c>
      <c r="U32" s="775">
        <f t="shared" si="13"/>
        <v>100</v>
      </c>
      <c r="V32" s="774" t="s">
        <v>17</v>
      </c>
      <c r="W32" s="775">
        <f t="shared" si="14"/>
        <v>100</v>
      </c>
      <c r="X32" s="1816"/>
      <c r="Y32" s="3190"/>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0"/>
      <c r="Q33" s="1813" t="str">
        <f t="shared" si="11"/>
        <v>成新度</v>
      </c>
      <c r="R33" s="774" t="s">
        <v>17</v>
      </c>
      <c r="S33" s="775" t="e">
        <f t="shared" si="12"/>
        <v>#N/A</v>
      </c>
      <c r="T33" s="774" t="s">
        <v>17</v>
      </c>
      <c r="U33" s="775" t="e">
        <f t="shared" si="13"/>
        <v>#N/A</v>
      </c>
      <c r="V33" s="774" t="s">
        <v>17</v>
      </c>
      <c r="W33" s="775" t="e">
        <f t="shared" si="14"/>
        <v>#N/A</v>
      </c>
      <c r="X33" s="1816"/>
      <c r="Y33" s="3190"/>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0"/>
      <c r="Q34" s="1798"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0" t="s">
        <v>2564</v>
      </c>
      <c r="Q35" s="1813" t="str">
        <f t="shared" si="11"/>
        <v>市政基础设施</v>
      </c>
      <c r="R35" s="774" t="s">
        <v>17</v>
      </c>
      <c r="S35" s="775">
        <f t="shared" si="12"/>
        <v>100</v>
      </c>
      <c r="T35" s="774" t="s">
        <v>17</v>
      </c>
      <c r="U35" s="775">
        <f t="shared" si="13"/>
        <v>100</v>
      </c>
      <c r="V35" s="774" t="s">
        <v>17</v>
      </c>
      <c r="W35" s="775">
        <f t="shared" si="14"/>
        <v>100</v>
      </c>
      <c r="X35" s="1816"/>
      <c r="Y35" s="3190"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0"/>
      <c r="Q36" s="1813" t="str">
        <f t="shared" si="11"/>
        <v>内部装修</v>
      </c>
      <c r="R36" s="774" t="s">
        <v>17</v>
      </c>
      <c r="S36" s="775">
        <f t="shared" si="12"/>
        <v>100</v>
      </c>
      <c r="T36" s="774" t="s">
        <v>17</v>
      </c>
      <c r="U36" s="775">
        <f t="shared" si="13"/>
        <v>100</v>
      </c>
      <c r="V36" s="774" t="s">
        <v>17</v>
      </c>
      <c r="W36" s="775">
        <f t="shared" si="14"/>
        <v>100</v>
      </c>
      <c r="X36" s="1816"/>
      <c r="Y36" s="3190"/>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0"/>
      <c r="Q37" s="1813" t="str">
        <f t="shared" si="11"/>
        <v>内部装修状况</v>
      </c>
      <c r="R37" s="774" t="s">
        <v>17</v>
      </c>
      <c r="S37" s="775">
        <f t="shared" si="12"/>
        <v>100</v>
      </c>
      <c r="T37" s="774" t="s">
        <v>17</v>
      </c>
      <c r="U37" s="775">
        <f t="shared" si="13"/>
        <v>100</v>
      </c>
      <c r="V37" s="774" t="s">
        <v>17</v>
      </c>
      <c r="W37" s="775">
        <f t="shared" si="14"/>
        <v>100</v>
      </c>
      <c r="X37" s="1816"/>
      <c r="Y37" s="319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0"/>
      <c r="Q39" s="1813">
        <f t="shared" si="11"/>
        <v>111</v>
      </c>
      <c r="R39" s="774" t="s">
        <v>17</v>
      </c>
      <c r="S39" s="775">
        <f t="shared" si="12"/>
        <v>100</v>
      </c>
      <c r="T39" s="774" t="s">
        <v>17</v>
      </c>
      <c r="U39" s="775">
        <f t="shared" si="13"/>
        <v>100</v>
      </c>
      <c r="V39" s="774" t="s">
        <v>17</v>
      </c>
      <c r="W39" s="775">
        <f t="shared" si="14"/>
        <v>100</v>
      </c>
      <c r="X39" s="1816"/>
      <c r="Y39" s="3190"/>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5"/>
      <c r="Q40" s="1813">
        <f t="shared" si="11"/>
        <v>111</v>
      </c>
      <c r="R40" s="774" t="s">
        <v>17</v>
      </c>
      <c r="S40" s="775">
        <f t="shared" si="12"/>
        <v>100</v>
      </c>
      <c r="T40" s="774" t="s">
        <v>17</v>
      </c>
      <c r="U40" s="775">
        <f t="shared" si="13"/>
        <v>100</v>
      </c>
      <c r="V40" s="774" t="s">
        <v>17</v>
      </c>
      <c r="W40" s="775">
        <f t="shared" si="14"/>
        <v>100</v>
      </c>
      <c r="X40" s="1816"/>
      <c r="Y40" s="3215"/>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172" t="str">
        <f>A41</f>
        <v>成交单价（元/平方米）</v>
      </c>
      <c r="Q41" s="3172"/>
      <c r="R41" s="3211">
        <f>E41</f>
        <v>0</v>
      </c>
      <c r="S41" s="3211"/>
      <c r="T41" s="3211">
        <f>G41</f>
        <v>0</v>
      </c>
      <c r="U41" s="3211"/>
      <c r="V41" s="3211">
        <f>I41</f>
        <v>0</v>
      </c>
      <c r="W41" s="3211"/>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72" t="str">
        <f>A42</f>
        <v>比较价值（元/平方米）</v>
      </c>
      <c r="Q42" s="3172"/>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92" t="str">
        <f>A43</f>
        <v>估价对象XX用房的比较价值（楼面单价，元/平方米）</v>
      </c>
      <c r="Q43" s="3193"/>
      <c r="R43" s="3210" t="e">
        <f>IF(F1="售价",ROUND(AVERAGE(R42:V42),0),ROUND(AVERAGE(R42:V42),1))</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5"/>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73" t="s">
        <v>2645</v>
      </c>
      <c r="D4" s="3174"/>
      <c r="E4" s="3175" t="s">
        <v>2646</v>
      </c>
      <c r="F4" s="3176"/>
      <c r="G4" s="3173" t="s">
        <v>2647</v>
      </c>
      <c r="H4" s="3174"/>
      <c r="I4" s="3173" t="s">
        <v>2648</v>
      </c>
      <c r="J4" s="3174"/>
      <c r="K4" s="610" t="s">
        <v>2649</v>
      </c>
      <c r="L4" s="1133"/>
      <c r="M4" s="1134"/>
      <c r="N4" s="1134"/>
      <c r="O4" s="1134"/>
      <c r="P4" s="3177" t="s">
        <v>2650</v>
      </c>
      <c r="Q4" s="3178"/>
      <c r="R4" s="3160" t="s">
        <v>2646</v>
      </c>
      <c r="S4" s="3161"/>
      <c r="T4" s="3160" t="s">
        <v>2647</v>
      </c>
      <c r="U4" s="3161"/>
      <c r="V4" s="3185" t="s">
        <v>2648</v>
      </c>
      <c r="W4" s="3185"/>
      <c r="X4" s="1816"/>
      <c r="Y4" s="3160" t="s">
        <v>2650</v>
      </c>
      <c r="Z4" s="3161"/>
      <c r="AA4" s="3155" t="s">
        <v>2646</v>
      </c>
      <c r="AB4" s="3156" t="s">
        <v>2647</v>
      </c>
      <c r="AC4" s="3155" t="s">
        <v>2648</v>
      </c>
    </row>
    <row r="5" spans="1:29" ht="15">
      <c r="A5" s="404"/>
      <c r="B5" s="405"/>
      <c r="C5" s="3166" t="s">
        <v>2541</v>
      </c>
      <c r="D5" s="3167"/>
      <c r="E5" s="3164" t="s">
        <v>2542</v>
      </c>
      <c r="F5" s="3165"/>
      <c r="G5" s="3166" t="s">
        <v>2543</v>
      </c>
      <c r="H5" s="3167"/>
      <c r="I5" s="3166" t="s">
        <v>2544</v>
      </c>
      <c r="J5" s="3167"/>
      <c r="K5" s="610"/>
      <c r="L5" s="1133"/>
      <c r="M5" s="1134"/>
      <c r="N5" s="1134"/>
      <c r="O5" s="1134"/>
      <c r="P5" s="3179"/>
      <c r="Q5" s="3180"/>
      <c r="R5" s="3162"/>
      <c r="S5" s="3163"/>
      <c r="T5" s="3162"/>
      <c r="U5" s="3163"/>
      <c r="V5" s="3185"/>
      <c r="W5" s="3185"/>
      <c r="X5" s="1816"/>
      <c r="Y5" s="3162"/>
      <c r="Z5" s="3163"/>
      <c r="AA5" s="3156"/>
      <c r="AB5" s="3156"/>
      <c r="AC5" s="3156"/>
    </row>
    <row r="6" spans="1:29" ht="15.75" thickBot="1">
      <c r="A6" s="406"/>
      <c r="B6" s="407"/>
      <c r="C6" s="3168" t="s">
        <v>2545</v>
      </c>
      <c r="D6" s="3169"/>
      <c r="E6" s="3170" t="s">
        <v>2545</v>
      </c>
      <c r="F6" s="3171"/>
      <c r="G6" s="3168" t="s">
        <v>2545</v>
      </c>
      <c r="H6" s="3169"/>
      <c r="I6" s="3168" t="s">
        <v>2545</v>
      </c>
      <c r="J6" s="3169"/>
      <c r="K6" s="610" t="s">
        <v>2546</v>
      </c>
      <c r="L6" s="1133"/>
      <c r="M6" s="1134"/>
      <c r="N6" s="1134"/>
      <c r="O6" s="1134"/>
      <c r="P6" s="3181"/>
      <c r="Q6" s="3182"/>
      <c r="R6" s="3162"/>
      <c r="S6" s="3163"/>
      <c r="T6" s="3183"/>
      <c r="U6" s="3184"/>
      <c r="V6" s="3185"/>
      <c r="W6" s="3185"/>
      <c r="X6" s="1816"/>
      <c r="Y6" s="3183"/>
      <c r="Z6" s="3184"/>
      <c r="AA6" s="3157"/>
      <c r="AB6" s="3157"/>
      <c r="AC6" s="3157"/>
    </row>
    <row r="7" spans="1:29" s="117" customFormat="1" ht="15.75" thickBot="1">
      <c r="A7" s="408" t="s">
        <v>2547</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8" t="s">
        <v>2548</v>
      </c>
      <c r="Q7" s="3186"/>
      <c r="R7" s="770" t="s">
        <v>17</v>
      </c>
      <c r="S7" s="771">
        <f t="shared" ref="S7:S14" si="0">F7</f>
        <v>0</v>
      </c>
      <c r="T7" s="770" t="s">
        <v>17</v>
      </c>
      <c r="U7" s="771">
        <f t="shared" ref="U7:U14" si="1">H7</f>
        <v>0</v>
      </c>
      <c r="V7" s="770" t="s">
        <v>17</v>
      </c>
      <c r="W7" s="771">
        <f t="shared" ref="W7:W14" si="2">J7</f>
        <v>0</v>
      </c>
      <c r="X7" s="772"/>
      <c r="Y7" s="3158" t="s">
        <v>2548</v>
      </c>
      <c r="Z7" s="315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8" t="s">
        <v>2551</v>
      </c>
      <c r="Q8" s="3159"/>
      <c r="R8" s="770" t="s">
        <v>17</v>
      </c>
      <c r="S8" s="771">
        <f t="shared" si="0"/>
        <v>0</v>
      </c>
      <c r="T8" s="770" t="s">
        <v>17</v>
      </c>
      <c r="U8" s="771">
        <f t="shared" si="1"/>
        <v>0</v>
      </c>
      <c r="V8" s="770" t="s">
        <v>17</v>
      </c>
      <c r="W8" s="771">
        <f t="shared" si="2"/>
        <v>0</v>
      </c>
      <c r="X8" s="772"/>
      <c r="Y8" s="3158" t="s">
        <v>2551</v>
      </c>
      <c r="Z8" s="315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2" t="s">
        <v>2554</v>
      </c>
      <c r="Q9" s="1798" t="str">
        <f t="shared" ref="Q9:Q14" si="6">B9</f>
        <v>用途</v>
      </c>
      <c r="R9" s="770" t="s">
        <v>17</v>
      </c>
      <c r="S9" s="771">
        <f t="shared" si="0"/>
        <v>100</v>
      </c>
      <c r="T9" s="770" t="s">
        <v>17</v>
      </c>
      <c r="U9" s="771">
        <f t="shared" si="1"/>
        <v>100</v>
      </c>
      <c r="V9" s="770" t="s">
        <v>17</v>
      </c>
      <c r="W9" s="771">
        <f t="shared" si="2"/>
        <v>100</v>
      </c>
      <c r="X9" s="772"/>
      <c r="Y9" s="303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2"/>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6.75">
      <c r="A14" s="401" t="s">
        <v>2558</v>
      </c>
      <c r="B14" s="62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7" t="s">
        <v>2559</v>
      </c>
      <c r="Q14" s="1813" t="str">
        <f t="shared" si="6"/>
        <v>交通便捷度</v>
      </c>
      <c r="R14" s="774" t="s">
        <v>17</v>
      </c>
      <c r="S14" s="775">
        <f t="shared" si="0"/>
        <v>100</v>
      </c>
      <c r="T14" s="774" t="s">
        <v>17</v>
      </c>
      <c r="U14" s="775">
        <f t="shared" si="1"/>
        <v>100</v>
      </c>
      <c r="V14" s="774" t="s">
        <v>17</v>
      </c>
      <c r="W14" s="775">
        <f t="shared" si="2"/>
        <v>100</v>
      </c>
      <c r="X14" s="1816"/>
      <c r="Y14" s="3187"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8"/>
      <c r="Q15" s="1813"/>
      <c r="R15" s="774"/>
      <c r="S15" s="775"/>
      <c r="T15" s="774"/>
      <c r="U15" s="775"/>
      <c r="V15" s="774"/>
      <c r="W15" s="775"/>
      <c r="X15" s="1816"/>
      <c r="Y15" s="3188"/>
      <c r="Z15" s="1817"/>
      <c r="AA15" s="1814">
        <v>1</v>
      </c>
      <c r="AB15" s="1814">
        <v>1</v>
      </c>
      <c r="AC15" s="1814">
        <v>1</v>
      </c>
    </row>
    <row r="16" spans="1:29" ht="42.75">
      <c r="A16" s="404"/>
      <c r="B16" s="631" t="s">
        <v>2687</v>
      </c>
      <c r="C16" s="2607"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8"/>
      <c r="Q16" s="1813" t="str">
        <f>B16</f>
        <v>公共配套设施</v>
      </c>
      <c r="R16" s="774" t="s">
        <v>17</v>
      </c>
      <c r="S16" s="775">
        <f>F16</f>
        <v>100</v>
      </c>
      <c r="T16" s="774" t="s">
        <v>17</v>
      </c>
      <c r="U16" s="775">
        <f>H16</f>
        <v>100</v>
      </c>
      <c r="V16" s="774" t="s">
        <v>17</v>
      </c>
      <c r="W16" s="775">
        <f>J16</f>
        <v>100</v>
      </c>
      <c r="X16" s="1816"/>
      <c r="Y16" s="3188"/>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88"/>
      <c r="Q17" s="1813"/>
      <c r="R17" s="774"/>
      <c r="S17" s="775"/>
      <c r="T17" s="774"/>
      <c r="U17" s="775"/>
      <c r="V17" s="774"/>
      <c r="W17" s="775"/>
      <c r="X17" s="1816"/>
      <c r="Y17" s="3188"/>
      <c r="Z17" s="1817"/>
      <c r="AA17" s="1814">
        <v>1</v>
      </c>
      <c r="AB17" s="1814">
        <v>1</v>
      </c>
      <c r="AC17" s="1814">
        <v>1</v>
      </c>
    </row>
    <row r="18" spans="1:29" ht="15">
      <c r="A18" s="404"/>
      <c r="B18" s="633" t="s">
        <v>2688</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8"/>
      <c r="Q18" s="1813" t="str">
        <f>B18</f>
        <v>基础设施水平</v>
      </c>
      <c r="R18" s="774" t="s">
        <v>17</v>
      </c>
      <c r="S18" s="775">
        <f>F18</f>
        <v>100</v>
      </c>
      <c r="T18" s="774" t="s">
        <v>17</v>
      </c>
      <c r="U18" s="775">
        <f>H18</f>
        <v>100</v>
      </c>
      <c r="V18" s="774" t="s">
        <v>17</v>
      </c>
      <c r="W18" s="775">
        <f>J18</f>
        <v>100</v>
      </c>
      <c r="X18" s="1816"/>
      <c r="Y18" s="3188"/>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88"/>
      <c r="Q19" s="1813"/>
      <c r="R19" s="774"/>
      <c r="S19" s="775"/>
      <c r="T19" s="774"/>
      <c r="U19" s="775"/>
      <c r="V19" s="774"/>
      <c r="W19" s="775"/>
      <c r="X19" s="1816"/>
      <c r="Y19" s="3188"/>
      <c r="Z19" s="1817"/>
      <c r="AA19" s="1814">
        <v>1</v>
      </c>
      <c r="AB19" s="1814">
        <v>1</v>
      </c>
      <c r="AC19" s="1814">
        <v>1</v>
      </c>
    </row>
    <row r="20" spans="1:29" ht="99.75">
      <c r="A20" s="404"/>
      <c r="B20" s="631" t="s">
        <v>2709</v>
      </c>
      <c r="C20" s="2607" t="str">
        <f>IF(B1="工业",估价对象房地状况!G7,估价对象房地状况!C9)</f>
        <v>区域自然环境：减河公园、运河奥体公园、潞河中学公园；人文环境：大运河美术馆；综合评价环境状况较好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8"/>
      <c r="Q20" s="1813" t="str">
        <f>B20</f>
        <v>自然及人文环境</v>
      </c>
      <c r="R20" s="774" t="s">
        <v>17</v>
      </c>
      <c r="S20" s="775">
        <f>F20</f>
        <v>100</v>
      </c>
      <c r="T20" s="774" t="s">
        <v>17</v>
      </c>
      <c r="U20" s="775">
        <f>H20</f>
        <v>100</v>
      </c>
      <c r="V20" s="774" t="s">
        <v>17</v>
      </c>
      <c r="W20" s="775">
        <f>J20</f>
        <v>100</v>
      </c>
      <c r="X20" s="1816"/>
      <c r="Y20" s="318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8"/>
      <c r="Q21" s="1813"/>
      <c r="R21" s="774"/>
      <c r="S21" s="775"/>
      <c r="T21" s="774"/>
      <c r="U21" s="775"/>
      <c r="V21" s="774"/>
      <c r="W21" s="775"/>
      <c r="X21" s="1816"/>
      <c r="Y21" s="3188"/>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8"/>
      <c r="Q22" s="1813" t="str">
        <f>B22</f>
        <v>楼层</v>
      </c>
      <c r="R22" s="774" t="s">
        <v>17</v>
      </c>
      <c r="S22" s="775">
        <f>F22</f>
        <v>100</v>
      </c>
      <c r="T22" s="774" t="s">
        <v>17</v>
      </c>
      <c r="U22" s="775">
        <f>H22</f>
        <v>100</v>
      </c>
      <c r="V22" s="774" t="s">
        <v>17</v>
      </c>
      <c r="W22" s="775">
        <f>J22</f>
        <v>100</v>
      </c>
      <c r="X22" s="1816"/>
      <c r="Y22" s="318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8"/>
      <c r="Q23" s="1813">
        <f>B23</f>
        <v>111</v>
      </c>
      <c r="R23" s="774" t="s">
        <v>17</v>
      </c>
      <c r="S23" s="775">
        <f>F23</f>
        <v>100</v>
      </c>
      <c r="T23" s="774" t="s">
        <v>17</v>
      </c>
      <c r="U23" s="775">
        <f>H23</f>
        <v>100</v>
      </c>
      <c r="V23" s="774" t="s">
        <v>17</v>
      </c>
      <c r="W23" s="775">
        <f>J23</f>
        <v>100</v>
      </c>
      <c r="X23" s="1816"/>
      <c r="Y23" s="318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8"/>
      <c r="Q24" s="1813">
        <f t="shared" ref="Q24:Q36" si="11">B24</f>
        <v>111</v>
      </c>
      <c r="R24" s="774" t="s">
        <v>17</v>
      </c>
      <c r="S24" s="775">
        <f>F24</f>
        <v>100</v>
      </c>
      <c r="T24" s="774" t="s">
        <v>17</v>
      </c>
      <c r="U24" s="775">
        <f>H24</f>
        <v>100</v>
      </c>
      <c r="V24" s="774" t="s">
        <v>17</v>
      </c>
      <c r="W24" s="775">
        <f>J24</f>
        <v>100</v>
      </c>
      <c r="X24" s="1816"/>
      <c r="Y24" s="318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8"/>
      <c r="Q25" s="1798">
        <f t="shared" si="11"/>
        <v>111</v>
      </c>
      <c r="R25" s="770" t="s">
        <v>17</v>
      </c>
      <c r="S25" s="771">
        <f>F25</f>
        <v>100</v>
      </c>
      <c r="T25" s="770" t="s">
        <v>17</v>
      </c>
      <c r="U25" s="771">
        <f>H25</f>
        <v>100</v>
      </c>
      <c r="V25" s="770" t="s">
        <v>17</v>
      </c>
      <c r="W25" s="771">
        <f>J25</f>
        <v>100</v>
      </c>
      <c r="X25" s="772"/>
      <c r="Y25" s="3188"/>
      <c r="Z25" s="55">
        <f>Q25</f>
        <v>111</v>
      </c>
      <c r="AA25" s="1814">
        <f>D25/F25</f>
        <v>1</v>
      </c>
      <c r="AB25" s="1814">
        <f>D25/H25</f>
        <v>1</v>
      </c>
      <c r="AC25" s="1814">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9"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0"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0"/>
      <c r="Q28" s="1813" t="str">
        <f t="shared" si="11"/>
        <v>公共部分装修</v>
      </c>
      <c r="R28" s="774" t="s">
        <v>17</v>
      </c>
      <c r="S28" s="775">
        <f t="shared" si="12"/>
        <v>100</v>
      </c>
      <c r="T28" s="774" t="s">
        <v>17</v>
      </c>
      <c r="U28" s="775">
        <f t="shared" si="13"/>
        <v>100</v>
      </c>
      <c r="V28" s="774" t="s">
        <v>17</v>
      </c>
      <c r="W28" s="775">
        <f t="shared" si="14"/>
        <v>100</v>
      </c>
      <c r="X28" s="1816"/>
      <c r="Y28" s="3190"/>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0"/>
      <c r="Q29" s="1813" t="str">
        <f t="shared" si="11"/>
        <v>成新率</v>
      </c>
      <c r="R29" s="774" t="s">
        <v>17</v>
      </c>
      <c r="S29" s="775" t="e">
        <f t="shared" si="12"/>
        <v>#N/A</v>
      </c>
      <c r="T29" s="774" t="s">
        <v>17</v>
      </c>
      <c r="U29" s="775" t="e">
        <f t="shared" si="13"/>
        <v>#N/A</v>
      </c>
      <c r="V29" s="774" t="s">
        <v>17</v>
      </c>
      <c r="W29" s="775" t="e">
        <f t="shared" si="14"/>
        <v>#N/A</v>
      </c>
      <c r="X29" s="1816"/>
      <c r="Y29" s="3190"/>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0"/>
      <c r="Q30" s="1813" t="str">
        <f t="shared" si="11"/>
        <v>物业等级</v>
      </c>
      <c r="R30" s="774" t="s">
        <v>17</v>
      </c>
      <c r="S30" s="775">
        <f t="shared" si="12"/>
        <v>100</v>
      </c>
      <c r="T30" s="774" t="s">
        <v>17</v>
      </c>
      <c r="U30" s="775">
        <f t="shared" si="13"/>
        <v>100</v>
      </c>
      <c r="V30" s="774" t="s">
        <v>17</v>
      </c>
      <c r="W30" s="775">
        <f t="shared" si="14"/>
        <v>100</v>
      </c>
      <c r="X30" s="1816"/>
      <c r="Y30" s="3190"/>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0"/>
      <c r="Q31" s="1798"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0" t="s">
        <v>2564</v>
      </c>
      <c r="Q32" s="1813" t="str">
        <f t="shared" si="11"/>
        <v>车位类型</v>
      </c>
      <c r="R32" s="774" t="s">
        <v>17</v>
      </c>
      <c r="S32" s="775">
        <f t="shared" si="12"/>
        <v>100</v>
      </c>
      <c r="T32" s="774" t="s">
        <v>17</v>
      </c>
      <c r="U32" s="775">
        <f t="shared" si="13"/>
        <v>100</v>
      </c>
      <c r="V32" s="774" t="s">
        <v>17</v>
      </c>
      <c r="W32" s="775">
        <f t="shared" si="14"/>
        <v>100</v>
      </c>
      <c r="X32" s="1816"/>
      <c r="Y32" s="3190"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0"/>
      <c r="Q33" s="1813" t="str">
        <f t="shared" si="11"/>
        <v>是否直接入户</v>
      </c>
      <c r="R33" s="774" t="s">
        <v>17</v>
      </c>
      <c r="S33" s="775">
        <f t="shared" si="12"/>
        <v>100</v>
      </c>
      <c r="T33" s="774" t="s">
        <v>17</v>
      </c>
      <c r="U33" s="775">
        <f t="shared" si="13"/>
        <v>100</v>
      </c>
      <c r="V33" s="774" t="s">
        <v>17</v>
      </c>
      <c r="W33" s="775">
        <f t="shared" si="14"/>
        <v>100</v>
      </c>
      <c r="X33" s="1816"/>
      <c r="Y33" s="319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0"/>
      <c r="Q36" s="1813">
        <f t="shared" si="11"/>
        <v>111</v>
      </c>
      <c r="R36" s="774" t="s">
        <v>17</v>
      </c>
      <c r="S36" s="775">
        <f t="shared" si="12"/>
        <v>100</v>
      </c>
      <c r="T36" s="774" t="s">
        <v>17</v>
      </c>
      <c r="U36" s="775">
        <f t="shared" si="13"/>
        <v>100</v>
      </c>
      <c r="V36" s="774" t="s">
        <v>17</v>
      </c>
      <c r="W36" s="775">
        <f t="shared" si="14"/>
        <v>100</v>
      </c>
      <c r="X36" s="1816"/>
      <c r="Y36" s="3190"/>
      <c r="Z36" s="1817">
        <f t="shared" si="15"/>
        <v>111</v>
      </c>
      <c r="AA36" s="1814">
        <f t="shared" si="3"/>
        <v>1</v>
      </c>
      <c r="AB36" s="1814">
        <f t="shared" si="4"/>
        <v>1</v>
      </c>
      <c r="AC36" s="1814">
        <f t="shared" si="5"/>
        <v>1</v>
      </c>
    </row>
    <row r="37" spans="1:29" ht="15">
      <c r="A37" s="479" t="s">
        <v>2719</v>
      </c>
      <c r="B37" s="2693" t="s">
        <v>2720</v>
      </c>
      <c r="C37" s="1410" t="s">
        <v>1</v>
      </c>
      <c r="D37" s="1411"/>
      <c r="E37" s="1412"/>
      <c r="F37" s="1413"/>
      <c r="G37" s="1414"/>
      <c r="H37" s="1415"/>
      <c r="I37" s="1412"/>
      <c r="J37" s="1415"/>
      <c r="K37" s="619"/>
      <c r="L37" s="1146"/>
      <c r="M37" s="1147"/>
      <c r="N37" s="1134"/>
      <c r="O37" s="1147"/>
      <c r="P37" s="3172" t="str">
        <f>A37</f>
        <v>成交单价</v>
      </c>
      <c r="Q37" s="3172"/>
      <c r="R37" s="3211">
        <f>E37</f>
        <v>0</v>
      </c>
      <c r="S37" s="3211"/>
      <c r="T37" s="3211">
        <f>G37</f>
        <v>0</v>
      </c>
      <c r="U37" s="3211"/>
      <c r="V37" s="3211">
        <f>I37</f>
        <v>0</v>
      </c>
      <c r="W37" s="3211"/>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2" t="str">
        <f>A38</f>
        <v>比较价值（元/平方米）</v>
      </c>
      <c r="Q38" s="3172"/>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92" t="str">
        <f>A39</f>
        <v>估价对象XX用房的比较价值（楼面单价，元/平方米）</v>
      </c>
      <c r="Q39" s="3193"/>
      <c r="R39" s="3210" t="e">
        <f>IF(F1="售价",ROUND(AVERAGE(R38:V38),0),ROUND(AVERAGE(R38:V38),1))</f>
        <v>#DIV/0!</v>
      </c>
      <c r="S39" s="3210"/>
      <c r="T39" s="3210"/>
      <c r="U39" s="3210"/>
      <c r="V39" s="3210"/>
      <c r="W39" s="321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3" t="s">
        <v>2645</v>
      </c>
      <c r="D4" s="3174"/>
      <c r="E4" s="3175" t="s">
        <v>2646</v>
      </c>
      <c r="F4" s="3176"/>
      <c r="G4" s="3173" t="s">
        <v>2647</v>
      </c>
      <c r="H4" s="3174"/>
      <c r="I4" s="3173" t="s">
        <v>2648</v>
      </c>
      <c r="J4" s="3174"/>
      <c r="K4" s="610" t="s">
        <v>2649</v>
      </c>
      <c r="L4" s="1133"/>
      <c r="M4" s="1134"/>
      <c r="N4" s="1134"/>
      <c r="O4" s="1134"/>
      <c r="P4" s="3177" t="s">
        <v>2650</v>
      </c>
      <c r="Q4" s="3178"/>
      <c r="R4" s="3160" t="s">
        <v>2646</v>
      </c>
      <c r="S4" s="3161"/>
      <c r="T4" s="3160" t="s">
        <v>2647</v>
      </c>
      <c r="U4" s="3161"/>
      <c r="V4" s="3185" t="s">
        <v>2648</v>
      </c>
      <c r="W4" s="3185"/>
      <c r="X4" s="1816"/>
      <c r="Y4" s="3160" t="s">
        <v>2650</v>
      </c>
      <c r="Z4" s="3161"/>
      <c r="AA4" s="3155" t="s">
        <v>2646</v>
      </c>
      <c r="AB4" s="3156" t="s">
        <v>2647</v>
      </c>
      <c r="AC4" s="3155" t="s">
        <v>2648</v>
      </c>
    </row>
    <row r="5" spans="1:29" ht="15">
      <c r="A5" s="404"/>
      <c r="B5" s="405"/>
      <c r="C5" s="3166" t="s">
        <v>2541</v>
      </c>
      <c r="D5" s="3167"/>
      <c r="E5" s="3164" t="s">
        <v>2542</v>
      </c>
      <c r="F5" s="3165"/>
      <c r="G5" s="3166" t="s">
        <v>2543</v>
      </c>
      <c r="H5" s="3167"/>
      <c r="I5" s="3166" t="s">
        <v>2544</v>
      </c>
      <c r="J5" s="3167"/>
      <c r="K5" s="610"/>
      <c r="L5" s="1133"/>
      <c r="M5" s="1134"/>
      <c r="N5" s="1134"/>
      <c r="O5" s="1134"/>
      <c r="P5" s="3179"/>
      <c r="Q5" s="3180"/>
      <c r="R5" s="3162"/>
      <c r="S5" s="3163"/>
      <c r="T5" s="3162"/>
      <c r="U5" s="3163"/>
      <c r="V5" s="3185"/>
      <c r="W5" s="3185"/>
      <c r="X5" s="1816"/>
      <c r="Y5" s="3162"/>
      <c r="Z5" s="3163"/>
      <c r="AA5" s="3156"/>
      <c r="AB5" s="3156"/>
      <c r="AC5" s="3156"/>
    </row>
    <row r="6" spans="1:29" ht="15.75" thickBot="1">
      <c r="A6" s="406"/>
      <c r="B6" s="407"/>
      <c r="C6" s="3168" t="s">
        <v>2545</v>
      </c>
      <c r="D6" s="3169"/>
      <c r="E6" s="3170" t="s">
        <v>2545</v>
      </c>
      <c r="F6" s="3171"/>
      <c r="G6" s="3168" t="s">
        <v>2545</v>
      </c>
      <c r="H6" s="3169"/>
      <c r="I6" s="3168" t="s">
        <v>2545</v>
      </c>
      <c r="J6" s="3169"/>
      <c r="K6" s="610" t="s">
        <v>2546</v>
      </c>
      <c r="L6" s="1133"/>
      <c r="M6" s="1134"/>
      <c r="N6" s="1134"/>
      <c r="O6" s="1134"/>
      <c r="P6" s="3181"/>
      <c r="Q6" s="3182"/>
      <c r="R6" s="3162"/>
      <c r="S6" s="3163"/>
      <c r="T6" s="3183"/>
      <c r="U6" s="3184"/>
      <c r="V6" s="3185"/>
      <c r="W6" s="3185"/>
      <c r="X6" s="1816"/>
      <c r="Y6" s="3183"/>
      <c r="Z6" s="3184"/>
      <c r="AA6" s="3157"/>
      <c r="AB6" s="3157"/>
      <c r="AC6" s="3157"/>
    </row>
    <row r="7" spans="1:29" s="117" customFormat="1" ht="15.75" thickBot="1">
      <c r="A7" s="408" t="s">
        <v>2547</v>
      </c>
      <c r="B7" s="409"/>
      <c r="C7" s="410">
        <f>'数据-取费表'!B2</f>
        <v>43341</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58" t="s">
        <v>2548</v>
      </c>
      <c r="Q7" s="3186"/>
      <c r="R7" s="770" t="s">
        <v>17</v>
      </c>
      <c r="S7" s="771">
        <f t="shared" ref="S7:S14" si="0">F7</f>
        <v>0</v>
      </c>
      <c r="T7" s="770" t="s">
        <v>17</v>
      </c>
      <c r="U7" s="771">
        <f t="shared" ref="U7:U14" si="1">H7</f>
        <v>0</v>
      </c>
      <c r="V7" s="770" t="s">
        <v>17</v>
      </c>
      <c r="W7" s="771">
        <f t="shared" ref="W7:W14" si="2">J7</f>
        <v>0</v>
      </c>
      <c r="X7" s="772"/>
      <c r="Y7" s="3158" t="s">
        <v>2548</v>
      </c>
      <c r="Z7" s="315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8" t="s">
        <v>2551</v>
      </c>
      <c r="Q8" s="3159"/>
      <c r="R8" s="770" t="s">
        <v>17</v>
      </c>
      <c r="S8" s="771">
        <f t="shared" si="0"/>
        <v>0</v>
      </c>
      <c r="T8" s="770" t="s">
        <v>17</v>
      </c>
      <c r="U8" s="771">
        <f t="shared" si="1"/>
        <v>0</v>
      </c>
      <c r="V8" s="770" t="s">
        <v>17</v>
      </c>
      <c r="W8" s="771">
        <f t="shared" si="2"/>
        <v>0</v>
      </c>
      <c r="X8" s="772"/>
      <c r="Y8" s="3158" t="s">
        <v>2551</v>
      </c>
      <c r="Z8" s="315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2" t="s">
        <v>2554</v>
      </c>
      <c r="Q9" s="1798" t="str">
        <f t="shared" ref="Q9:Q14" si="6">B9</f>
        <v>用途</v>
      </c>
      <c r="R9" s="770" t="s">
        <v>17</v>
      </c>
      <c r="S9" s="771">
        <f t="shared" si="0"/>
        <v>100</v>
      </c>
      <c r="T9" s="770" t="s">
        <v>17</v>
      </c>
      <c r="U9" s="771">
        <f t="shared" si="1"/>
        <v>100</v>
      </c>
      <c r="V9" s="770" t="s">
        <v>17</v>
      </c>
      <c r="W9" s="771">
        <f t="shared" si="2"/>
        <v>100</v>
      </c>
      <c r="X9" s="772"/>
      <c r="Y9" s="303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2"/>
      <c r="Q10" s="1798"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2"/>
      <c r="Q11" s="1798">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2"/>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6.75">
      <c r="A14" s="440" t="s">
        <v>2558</v>
      </c>
      <c r="B14" s="6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7" t="s">
        <v>2559</v>
      </c>
      <c r="Q14" s="1813" t="str">
        <f t="shared" si="6"/>
        <v>交通便捷度</v>
      </c>
      <c r="R14" s="774" t="s">
        <v>17</v>
      </c>
      <c r="S14" s="775">
        <f t="shared" si="0"/>
        <v>100</v>
      </c>
      <c r="T14" s="774" t="s">
        <v>17</v>
      </c>
      <c r="U14" s="775">
        <f t="shared" si="1"/>
        <v>100</v>
      </c>
      <c r="V14" s="774" t="s">
        <v>17</v>
      </c>
      <c r="W14" s="775">
        <f t="shared" si="2"/>
        <v>100</v>
      </c>
      <c r="X14" s="1816"/>
      <c r="Y14" s="3187"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8"/>
      <c r="Q15" s="1813"/>
      <c r="R15" s="774"/>
      <c r="S15" s="775"/>
      <c r="T15" s="774"/>
      <c r="U15" s="775"/>
      <c r="V15" s="774"/>
      <c r="W15" s="775"/>
      <c r="X15" s="1816"/>
      <c r="Y15" s="3188"/>
      <c r="Z15" s="1817"/>
      <c r="AA15" s="1814">
        <v>1</v>
      </c>
      <c r="AB15" s="1814">
        <v>1</v>
      </c>
      <c r="AC15" s="1814">
        <v>1</v>
      </c>
    </row>
    <row r="16" spans="1:29" ht="42.75">
      <c r="A16" s="428"/>
      <c r="B16" s="451" t="s">
        <v>2687</v>
      </c>
      <c r="C16" s="2607"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8"/>
      <c r="Q16" s="1813" t="str">
        <f>B16</f>
        <v>公共配套设施</v>
      </c>
      <c r="R16" s="774" t="s">
        <v>17</v>
      </c>
      <c r="S16" s="775">
        <f>F16</f>
        <v>100</v>
      </c>
      <c r="T16" s="774" t="s">
        <v>17</v>
      </c>
      <c r="U16" s="775">
        <f>H16</f>
        <v>100</v>
      </c>
      <c r="V16" s="774" t="s">
        <v>17</v>
      </c>
      <c r="W16" s="775">
        <f>J16</f>
        <v>100</v>
      </c>
      <c r="X16" s="1816"/>
      <c r="Y16" s="3188"/>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88"/>
      <c r="Q17" s="1813"/>
      <c r="R17" s="774"/>
      <c r="S17" s="775"/>
      <c r="T17" s="774"/>
      <c r="U17" s="775"/>
      <c r="V17" s="774"/>
      <c r="W17" s="775"/>
      <c r="X17" s="1816"/>
      <c r="Y17" s="3188"/>
      <c r="Z17" s="1817"/>
      <c r="AA17" s="1814">
        <v>1</v>
      </c>
      <c r="AB17" s="1814">
        <v>1</v>
      </c>
      <c r="AC17" s="1814">
        <v>1</v>
      </c>
    </row>
    <row r="18" spans="1:29" ht="15">
      <c r="A18" s="428"/>
      <c r="B18" s="1387" t="s">
        <v>2688</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8"/>
      <c r="Q18" s="1813" t="str">
        <f>B18</f>
        <v>基础设施水平</v>
      </c>
      <c r="R18" s="774" t="s">
        <v>17</v>
      </c>
      <c r="S18" s="775">
        <f>F18</f>
        <v>100</v>
      </c>
      <c r="T18" s="774" t="s">
        <v>17</v>
      </c>
      <c r="U18" s="775">
        <f>H18</f>
        <v>100</v>
      </c>
      <c r="V18" s="774" t="s">
        <v>17</v>
      </c>
      <c r="W18" s="775">
        <f>J18</f>
        <v>100</v>
      </c>
      <c r="X18" s="1816"/>
      <c r="Y18" s="3188"/>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88"/>
      <c r="Q19" s="1813"/>
      <c r="R19" s="774"/>
      <c r="S19" s="775"/>
      <c r="T19" s="774"/>
      <c r="U19" s="775"/>
      <c r="V19" s="774"/>
      <c r="W19" s="775"/>
      <c r="X19" s="1816"/>
      <c r="Y19" s="3188"/>
      <c r="Z19" s="1817"/>
      <c r="AA19" s="1814">
        <v>1</v>
      </c>
      <c r="AB19" s="1814">
        <v>1</v>
      </c>
      <c r="AC19" s="1814">
        <v>1</v>
      </c>
    </row>
    <row r="20" spans="1:29" ht="99.75">
      <c r="A20" s="428"/>
      <c r="B20" s="451" t="s">
        <v>2709</v>
      </c>
      <c r="C20" s="2607" t="str">
        <f>IF(B1="工业",估价对象房地状况!G7,估价对象房地状况!C9)</f>
        <v>区域自然环境：减河公园、运河奥体公园、潞河中学公园；人文环境：大运河美术馆；综合评价环境状况较好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8"/>
      <c r="Q20" s="1813" t="str">
        <f>B20</f>
        <v>自然及人文环境</v>
      </c>
      <c r="R20" s="774" t="s">
        <v>17</v>
      </c>
      <c r="S20" s="775">
        <f>F20</f>
        <v>100</v>
      </c>
      <c r="T20" s="774" t="s">
        <v>17</v>
      </c>
      <c r="U20" s="775">
        <f>H20</f>
        <v>100</v>
      </c>
      <c r="V20" s="774" t="s">
        <v>17</v>
      </c>
      <c r="W20" s="775">
        <f>J20</f>
        <v>100</v>
      </c>
      <c r="X20" s="1816"/>
      <c r="Y20" s="318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8"/>
      <c r="Q21" s="1813"/>
      <c r="R21" s="774"/>
      <c r="S21" s="775"/>
      <c r="T21" s="774"/>
      <c r="U21" s="775"/>
      <c r="V21" s="774"/>
      <c r="W21" s="775"/>
      <c r="X21" s="1816"/>
      <c r="Y21" s="3188"/>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8"/>
      <c r="Q22" s="1813" t="str">
        <f>B22</f>
        <v>楼层</v>
      </c>
      <c r="R22" s="774" t="s">
        <v>17</v>
      </c>
      <c r="S22" s="775">
        <f>F22</f>
        <v>100</v>
      </c>
      <c r="T22" s="774" t="s">
        <v>17</v>
      </c>
      <c r="U22" s="775">
        <f>H22</f>
        <v>100</v>
      </c>
      <c r="V22" s="774" t="s">
        <v>17</v>
      </c>
      <c r="W22" s="775">
        <f>J22</f>
        <v>100</v>
      </c>
      <c r="X22" s="1816"/>
      <c r="Y22" s="3188"/>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8"/>
      <c r="Q23" s="1813">
        <f>B23</f>
        <v>111</v>
      </c>
      <c r="R23" s="774" t="s">
        <v>17</v>
      </c>
      <c r="S23" s="775">
        <f>F23</f>
        <v>100</v>
      </c>
      <c r="T23" s="774" t="s">
        <v>17</v>
      </c>
      <c r="U23" s="775">
        <f>H23</f>
        <v>100</v>
      </c>
      <c r="V23" s="774" t="s">
        <v>17</v>
      </c>
      <c r="W23" s="775">
        <f>J23</f>
        <v>100</v>
      </c>
      <c r="X23" s="1816"/>
      <c r="Y23" s="3188"/>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8"/>
      <c r="Q24" s="1813">
        <f t="shared" ref="Q24:Q34" si="11">B24</f>
        <v>111</v>
      </c>
      <c r="R24" s="774" t="s">
        <v>17</v>
      </c>
      <c r="S24" s="775">
        <f>F24</f>
        <v>100</v>
      </c>
      <c r="T24" s="774" t="s">
        <v>17</v>
      </c>
      <c r="U24" s="775">
        <f>H24</f>
        <v>100</v>
      </c>
      <c r="V24" s="774" t="s">
        <v>17</v>
      </c>
      <c r="W24" s="775">
        <f>J24</f>
        <v>100</v>
      </c>
      <c r="X24" s="1816"/>
      <c r="Y24" s="3188"/>
      <c r="Z24" s="1817">
        <f>Q24</f>
        <v>111</v>
      </c>
      <c r="AA24" s="1814">
        <f t="shared" si="3"/>
        <v>1</v>
      </c>
      <c r="AB24" s="1814">
        <f t="shared" si="4"/>
        <v>1</v>
      </c>
      <c r="AC24" s="1814">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88"/>
      <c r="Q25" s="1798">
        <f t="shared" si="11"/>
        <v>111</v>
      </c>
      <c r="R25" s="770" t="s">
        <v>17</v>
      </c>
      <c r="S25" s="771">
        <f>F25</f>
        <v>100</v>
      </c>
      <c r="T25" s="770" t="s">
        <v>17</v>
      </c>
      <c r="U25" s="771">
        <f>H25</f>
        <v>100</v>
      </c>
      <c r="V25" s="770" t="s">
        <v>17</v>
      </c>
      <c r="W25" s="771">
        <f>J25</f>
        <v>100</v>
      </c>
      <c r="X25" s="772"/>
      <c r="Y25" s="3188"/>
      <c r="Z25" s="55">
        <f>Q25</f>
        <v>111</v>
      </c>
      <c r="AA25" s="1814">
        <f>D25/F25</f>
        <v>1</v>
      </c>
      <c r="AB25" s="1814">
        <f>D25/H25</f>
        <v>1</v>
      </c>
      <c r="AC25" s="1814">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189"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0"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0"/>
      <c r="Q28" s="1813" t="str">
        <f t="shared" si="11"/>
        <v>物业等级</v>
      </c>
      <c r="R28" s="774" t="s">
        <v>17</v>
      </c>
      <c r="S28" s="775">
        <f t="shared" si="12"/>
        <v>100</v>
      </c>
      <c r="T28" s="774" t="s">
        <v>17</v>
      </c>
      <c r="U28" s="775">
        <f t="shared" si="13"/>
        <v>100</v>
      </c>
      <c r="V28" s="774" t="s">
        <v>17</v>
      </c>
      <c r="W28" s="775">
        <f t="shared" si="14"/>
        <v>100</v>
      </c>
      <c r="X28" s="1816"/>
      <c r="Y28" s="3190"/>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0"/>
      <c r="Q29" s="1813" t="str">
        <f t="shared" si="11"/>
        <v>有无电梯</v>
      </c>
      <c r="R29" s="774" t="s">
        <v>17</v>
      </c>
      <c r="S29" s="775">
        <f t="shared" si="12"/>
        <v>100</v>
      </c>
      <c r="T29" s="774" t="s">
        <v>17</v>
      </c>
      <c r="U29" s="775">
        <f t="shared" si="13"/>
        <v>100</v>
      </c>
      <c r="V29" s="774" t="s">
        <v>17</v>
      </c>
      <c r="W29" s="775">
        <f t="shared" si="14"/>
        <v>100</v>
      </c>
      <c r="X29" s="1816"/>
      <c r="Y29" s="3190"/>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0"/>
      <c r="Q30" s="1813" t="str">
        <f t="shared" si="11"/>
        <v>建筑面积</v>
      </c>
      <c r="R30" s="774" t="s">
        <v>17</v>
      </c>
      <c r="S30" s="775" t="e">
        <f t="shared" si="12"/>
        <v>#N/A</v>
      </c>
      <c r="T30" s="774" t="s">
        <v>17</v>
      </c>
      <c r="U30" s="775" t="e">
        <f t="shared" si="13"/>
        <v>#N/A</v>
      </c>
      <c r="V30" s="774" t="s">
        <v>17</v>
      </c>
      <c r="W30" s="775" t="e">
        <f t="shared" si="14"/>
        <v>#N/A</v>
      </c>
      <c r="X30" s="1816"/>
      <c r="Y30" s="3190"/>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0"/>
      <c r="Q31" s="1798"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0" t="s">
        <v>2564</v>
      </c>
      <c r="Q32" s="1813">
        <f t="shared" si="11"/>
        <v>111</v>
      </c>
      <c r="R32" s="774" t="s">
        <v>17</v>
      </c>
      <c r="S32" s="775">
        <f t="shared" si="12"/>
        <v>100</v>
      </c>
      <c r="T32" s="774" t="s">
        <v>17</v>
      </c>
      <c r="U32" s="775">
        <f t="shared" si="13"/>
        <v>100</v>
      </c>
      <c r="V32" s="774" t="s">
        <v>17</v>
      </c>
      <c r="W32" s="775">
        <f t="shared" si="14"/>
        <v>100</v>
      </c>
      <c r="X32" s="1816"/>
      <c r="Y32" s="3190" t="s">
        <v>2564</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0"/>
      <c r="Q33" s="1813">
        <f t="shared" si="11"/>
        <v>111</v>
      </c>
      <c r="R33" s="774" t="s">
        <v>17</v>
      </c>
      <c r="S33" s="775">
        <f t="shared" si="12"/>
        <v>100</v>
      </c>
      <c r="T33" s="774" t="s">
        <v>17</v>
      </c>
      <c r="U33" s="775">
        <f t="shared" si="13"/>
        <v>100</v>
      </c>
      <c r="V33" s="774" t="s">
        <v>17</v>
      </c>
      <c r="W33" s="775">
        <f t="shared" si="14"/>
        <v>100</v>
      </c>
      <c r="X33" s="1816"/>
      <c r="Y33" s="3190"/>
      <c r="Z33" s="1817">
        <f t="shared" si="15"/>
        <v>111</v>
      </c>
      <c r="AA33" s="1814">
        <f t="shared" si="3"/>
        <v>1</v>
      </c>
      <c r="AB33" s="1814">
        <f t="shared" si="4"/>
        <v>1</v>
      </c>
      <c r="AC33" s="1814">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172" t="str">
        <f>A35</f>
        <v>成交单价（元/平方米）</v>
      </c>
      <c r="Q35" s="3172"/>
      <c r="R35" s="3211">
        <f>E35</f>
        <v>0</v>
      </c>
      <c r="S35" s="3211"/>
      <c r="T35" s="3211">
        <f>G35</f>
        <v>0</v>
      </c>
      <c r="U35" s="3211"/>
      <c r="V35" s="3211">
        <f>I35</f>
        <v>0</v>
      </c>
      <c r="W35" s="3211"/>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72" t="str">
        <f>A36</f>
        <v>比较价值（元/平方米）</v>
      </c>
      <c r="Q36" s="3172"/>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92" t="str">
        <f>A37</f>
        <v>估价对象XX用房的比较价值（楼面单价，元/平方米）</v>
      </c>
      <c r="Q37" s="3193"/>
      <c r="R37" s="3210" t="e">
        <f>IF(F1="售价",ROUND(AVERAGE(R36:V36),0),ROUND(AVERAGE(R36:V36),1))</f>
        <v>#DIV/0!</v>
      </c>
      <c r="S37" s="3210"/>
      <c r="T37" s="3210"/>
      <c r="U37" s="3210"/>
      <c r="V37" s="3210"/>
      <c r="W37" s="321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3" t="s">
        <v>2645</v>
      </c>
      <c r="D4" s="3174"/>
      <c r="E4" s="3175" t="s">
        <v>2646</v>
      </c>
      <c r="F4" s="3176"/>
      <c r="G4" s="3173" t="s">
        <v>2647</v>
      </c>
      <c r="H4" s="3174"/>
      <c r="I4" s="3173" t="s">
        <v>2648</v>
      </c>
      <c r="J4" s="3174"/>
      <c r="K4" s="610" t="s">
        <v>2649</v>
      </c>
      <c r="L4" s="1133"/>
      <c r="M4" s="1134"/>
      <c r="N4" s="1134"/>
      <c r="O4" s="1134"/>
      <c r="P4" s="3177" t="s">
        <v>2650</v>
      </c>
      <c r="Q4" s="3178"/>
      <c r="R4" s="3160" t="s">
        <v>2646</v>
      </c>
      <c r="S4" s="3161"/>
      <c r="T4" s="3160" t="s">
        <v>2647</v>
      </c>
      <c r="U4" s="3161"/>
      <c r="V4" s="3185" t="s">
        <v>2648</v>
      </c>
      <c r="W4" s="3185"/>
      <c r="X4" s="1816"/>
      <c r="Y4" s="3160" t="s">
        <v>2650</v>
      </c>
      <c r="Z4" s="3161"/>
      <c r="AA4" s="3155" t="s">
        <v>2646</v>
      </c>
      <c r="AB4" s="3156" t="s">
        <v>2647</v>
      </c>
      <c r="AC4" s="3155" t="s">
        <v>2648</v>
      </c>
    </row>
    <row r="5" spans="1:29" ht="15">
      <c r="A5" s="404"/>
      <c r="B5" s="405"/>
      <c r="C5" s="3166" t="s">
        <v>2541</v>
      </c>
      <c r="D5" s="3167"/>
      <c r="E5" s="3164" t="s">
        <v>2542</v>
      </c>
      <c r="F5" s="3165"/>
      <c r="G5" s="3166" t="s">
        <v>2543</v>
      </c>
      <c r="H5" s="3167"/>
      <c r="I5" s="3166" t="s">
        <v>2544</v>
      </c>
      <c r="J5" s="3167"/>
      <c r="K5" s="610"/>
      <c r="L5" s="1133"/>
      <c r="M5" s="1134"/>
      <c r="N5" s="1134"/>
      <c r="O5" s="1134"/>
      <c r="P5" s="3179"/>
      <c r="Q5" s="3180"/>
      <c r="R5" s="3162"/>
      <c r="S5" s="3163"/>
      <c r="T5" s="3162"/>
      <c r="U5" s="3163"/>
      <c r="V5" s="3185"/>
      <c r="W5" s="3185"/>
      <c r="X5" s="1816"/>
      <c r="Y5" s="3162"/>
      <c r="Z5" s="3163"/>
      <c r="AA5" s="3156"/>
      <c r="AB5" s="3156"/>
      <c r="AC5" s="3156"/>
    </row>
    <row r="6" spans="1:29" ht="15.75" thickBot="1">
      <c r="A6" s="406"/>
      <c r="B6" s="407"/>
      <c r="C6" s="3255" t="s">
        <v>2796</v>
      </c>
      <c r="D6" s="3256"/>
      <c r="E6" s="3257" t="s">
        <v>2796</v>
      </c>
      <c r="F6" s="3258"/>
      <c r="G6" s="3255" t="s">
        <v>2796</v>
      </c>
      <c r="H6" s="3256"/>
      <c r="I6" s="3255" t="s">
        <v>2796</v>
      </c>
      <c r="J6" s="3256"/>
      <c r="K6" s="610" t="s">
        <v>2546</v>
      </c>
      <c r="L6" s="1133"/>
      <c r="M6" s="1134"/>
      <c r="N6" s="1134"/>
      <c r="O6" s="1134"/>
      <c r="P6" s="3181"/>
      <c r="Q6" s="3182"/>
      <c r="R6" s="3162"/>
      <c r="S6" s="3163"/>
      <c r="T6" s="3183"/>
      <c r="U6" s="3184"/>
      <c r="V6" s="3185"/>
      <c r="W6" s="3185"/>
      <c r="X6" s="1816"/>
      <c r="Y6" s="3183"/>
      <c r="Z6" s="3184"/>
      <c r="AA6" s="3157"/>
      <c r="AB6" s="3157"/>
      <c r="AC6" s="3157"/>
    </row>
    <row r="7" spans="1:29" s="117" customFormat="1" ht="15.75" thickBot="1">
      <c r="A7" s="408" t="s">
        <v>2547</v>
      </c>
      <c r="B7" s="409"/>
      <c r="C7" s="410">
        <f>'数据-取费表'!B2</f>
        <v>43341</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58" t="s">
        <v>2548</v>
      </c>
      <c r="Q7" s="3186"/>
      <c r="R7" s="770" t="s">
        <v>17</v>
      </c>
      <c r="S7" s="771">
        <f t="shared" ref="S7:S15" si="0">F7</f>
        <v>0</v>
      </c>
      <c r="T7" s="770" t="s">
        <v>17</v>
      </c>
      <c r="U7" s="771">
        <f t="shared" ref="U7:U15" si="1">H7</f>
        <v>0</v>
      </c>
      <c r="V7" s="770" t="s">
        <v>17</v>
      </c>
      <c r="W7" s="771">
        <f t="shared" ref="W7:W15" si="2">J7</f>
        <v>0</v>
      </c>
      <c r="X7" s="772"/>
      <c r="Y7" s="3158" t="s">
        <v>2548</v>
      </c>
      <c r="Z7" s="315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8" t="s">
        <v>2551</v>
      </c>
      <c r="Q8" s="3159"/>
      <c r="R8" s="770" t="s">
        <v>17</v>
      </c>
      <c r="S8" s="771">
        <f t="shared" si="0"/>
        <v>0</v>
      </c>
      <c r="T8" s="770" t="s">
        <v>17</v>
      </c>
      <c r="U8" s="771">
        <f t="shared" si="1"/>
        <v>0</v>
      </c>
      <c r="V8" s="770" t="s">
        <v>17</v>
      </c>
      <c r="W8" s="771">
        <f t="shared" si="2"/>
        <v>0</v>
      </c>
      <c r="X8" s="772"/>
      <c r="Y8" s="3158" t="s">
        <v>2551</v>
      </c>
      <c r="Z8" s="3159"/>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72" t="s">
        <v>2554</v>
      </c>
      <c r="Q9" s="1798" t="str">
        <f t="shared" ref="Q9:Q15" si="6">B9</f>
        <v>用途</v>
      </c>
      <c r="R9" s="770" t="s">
        <v>17</v>
      </c>
      <c r="S9" s="771">
        <f t="shared" si="0"/>
        <v>100</v>
      </c>
      <c r="T9" s="770" t="s">
        <v>17</v>
      </c>
      <c r="U9" s="771">
        <f t="shared" si="1"/>
        <v>100</v>
      </c>
      <c r="V9" s="770" t="s">
        <v>17</v>
      </c>
      <c r="W9" s="771">
        <f t="shared" si="2"/>
        <v>100</v>
      </c>
      <c r="X9" s="772"/>
      <c r="Y9" s="303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172"/>
      <c r="Q10" s="1798" t="str">
        <f t="shared" si="6"/>
        <v>土地使用年限（年）</v>
      </c>
      <c r="R10" s="770" t="s">
        <v>17</v>
      </c>
      <c r="S10" s="771">
        <f t="shared" si="0"/>
        <v>109</v>
      </c>
      <c r="T10" s="770" t="s">
        <v>17</v>
      </c>
      <c r="U10" s="771">
        <f t="shared" si="1"/>
        <v>109</v>
      </c>
      <c r="V10" s="770" t="s">
        <v>17</v>
      </c>
      <c r="W10" s="771">
        <f t="shared" si="2"/>
        <v>109</v>
      </c>
      <c r="X10" s="772"/>
      <c r="Y10" s="3035"/>
      <c r="Z10" s="55" t="str">
        <f t="shared" si="7"/>
        <v>土地使用年限（年）</v>
      </c>
      <c r="AA10" s="773">
        <f t="shared" si="3"/>
        <v>0.91743119266055051</v>
      </c>
      <c r="AB10" s="773">
        <f t="shared" si="4"/>
        <v>0.91743119266055051</v>
      </c>
      <c r="AC10" s="773">
        <f t="shared" si="5"/>
        <v>0.91743119266055051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2"/>
      <c r="Q11" s="1798"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2"/>
      <c r="Q12" s="1798">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2"/>
      <c r="Q13" s="1798">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2"/>
      <c r="Q14" s="1798">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7" t="s">
        <v>2559</v>
      </c>
      <c r="Q15" s="1813" t="str">
        <f t="shared" si="6"/>
        <v>产业集聚程度</v>
      </c>
      <c r="R15" s="774" t="s">
        <v>17</v>
      </c>
      <c r="S15" s="775">
        <f t="shared" si="0"/>
        <v>100</v>
      </c>
      <c r="T15" s="774" t="s">
        <v>17</v>
      </c>
      <c r="U15" s="775">
        <f t="shared" si="1"/>
        <v>100</v>
      </c>
      <c r="V15" s="774" t="s">
        <v>17</v>
      </c>
      <c r="W15" s="775">
        <f t="shared" si="2"/>
        <v>100</v>
      </c>
      <c r="X15" s="1816"/>
      <c r="Y15" s="3187" t="s">
        <v>2559</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188"/>
      <c r="Q16" s="1813"/>
      <c r="R16" s="774"/>
      <c r="S16" s="775"/>
      <c r="T16" s="774"/>
      <c r="U16" s="775"/>
      <c r="V16" s="774"/>
      <c r="W16" s="775"/>
      <c r="X16" s="1816"/>
      <c r="Y16" s="3188"/>
      <c r="Z16" s="1817"/>
      <c r="AA16" s="1814">
        <v>1</v>
      </c>
      <c r="AB16" s="1814">
        <v>1</v>
      </c>
      <c r="AC16" s="1814">
        <v>1</v>
      </c>
    </row>
    <row r="17" spans="1:29" ht="85.5">
      <c r="A17" s="428"/>
      <c r="B17" s="631" t="s">
        <v>2708</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8"/>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188"/>
      <c r="Q18" s="1813"/>
      <c r="R18" s="774"/>
      <c r="S18" s="775"/>
      <c r="T18" s="774"/>
      <c r="U18" s="775"/>
      <c r="V18" s="774"/>
      <c r="W18" s="775"/>
      <c r="X18" s="1816"/>
      <c r="Y18" s="3188"/>
      <c r="Z18" s="1817"/>
      <c r="AA18" s="1814">
        <v>1</v>
      </c>
      <c r="AB18" s="1814">
        <v>1</v>
      </c>
      <c r="AC18" s="1814">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8"/>
      <c r="Q19" s="1813" t="str">
        <f t="shared" ref="Q19:Q33" si="8">B19</f>
        <v>区域土地利用方向</v>
      </c>
      <c r="R19" s="774" t="s">
        <v>17</v>
      </c>
      <c r="S19" s="775">
        <f>F19</f>
        <v>100</v>
      </c>
      <c r="T19" s="774" t="s">
        <v>17</v>
      </c>
      <c r="U19" s="775">
        <f>H19</f>
        <v>100</v>
      </c>
      <c r="V19" s="774" t="s">
        <v>17</v>
      </c>
      <c r="W19" s="775">
        <f>J19</f>
        <v>100</v>
      </c>
      <c r="X19" s="1816"/>
      <c r="Y19" s="3188"/>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188"/>
      <c r="Q20" s="1813"/>
      <c r="R20" s="774"/>
      <c r="S20" s="775"/>
      <c r="T20" s="774"/>
      <c r="U20" s="775"/>
      <c r="V20" s="774"/>
      <c r="W20" s="775"/>
      <c r="X20" s="1816"/>
      <c r="Y20" s="3188"/>
      <c r="Z20" s="1817"/>
      <c r="AA20" s="1814"/>
      <c r="AB20" s="1814"/>
      <c r="AC20" s="1814"/>
    </row>
    <row r="21" spans="1:29" ht="71.25">
      <c r="A21" s="404"/>
      <c r="B21" s="631" t="s">
        <v>2798</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8"/>
      <c r="Q21" s="1813" t="str">
        <f t="shared" si="8"/>
        <v>环境状况</v>
      </c>
      <c r="R21" s="774" t="s">
        <v>17</v>
      </c>
      <c r="S21" s="775">
        <f>F21</f>
        <v>100</v>
      </c>
      <c r="T21" s="774" t="s">
        <v>17</v>
      </c>
      <c r="U21" s="775">
        <f>H21</f>
        <v>100</v>
      </c>
      <c r="V21" s="774" t="s">
        <v>17</v>
      </c>
      <c r="W21" s="775">
        <f>J21</f>
        <v>100</v>
      </c>
      <c r="X21" s="1816"/>
      <c r="Y21" s="3188"/>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188"/>
      <c r="Q22" s="1813"/>
      <c r="R22" s="774"/>
      <c r="S22" s="775"/>
      <c r="T22" s="774"/>
      <c r="U22" s="775"/>
      <c r="V22" s="774"/>
      <c r="W22" s="775"/>
      <c r="X22" s="1816"/>
      <c r="Y22" s="3188"/>
      <c r="Z22" s="1817"/>
      <c r="AA22" s="1814">
        <v>1</v>
      </c>
      <c r="AB22" s="1814">
        <v>1</v>
      </c>
      <c r="AC22" s="1814">
        <v>1</v>
      </c>
    </row>
    <row r="23" spans="1:29" s="117" customFormat="1" ht="42.75">
      <c r="A23" s="649"/>
      <c r="B23" s="633" t="s">
        <v>2653</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8"/>
      <c r="Q23" s="1798" t="str">
        <f t="shared" si="8"/>
        <v>公共配套设施</v>
      </c>
      <c r="R23" s="770" t="s">
        <v>17</v>
      </c>
      <c r="S23" s="771">
        <f>F23</f>
        <v>100</v>
      </c>
      <c r="T23" s="770" t="s">
        <v>17</v>
      </c>
      <c r="U23" s="771">
        <f>H23</f>
        <v>100</v>
      </c>
      <c r="V23" s="770" t="s">
        <v>17</v>
      </c>
      <c r="W23" s="771">
        <f>J23</f>
        <v>100</v>
      </c>
      <c r="X23" s="772"/>
      <c r="Y23" s="3188"/>
      <c r="Z23" s="55" t="str">
        <f>Q23</f>
        <v>公共配套设施</v>
      </c>
      <c r="AA23" s="1814">
        <f>D23/F23</f>
        <v>1</v>
      </c>
      <c r="AB23" s="1814">
        <f>D23/H23</f>
        <v>1</v>
      </c>
      <c r="AC23" s="1814">
        <f>D23/J23</f>
        <v>1</v>
      </c>
    </row>
    <row r="24" spans="1:29" s="117" customFormat="1" ht="15">
      <c r="A24" s="649"/>
      <c r="B24" s="632"/>
      <c r="C24" s="2698"/>
      <c r="D24" s="448"/>
      <c r="E24" s="2611"/>
      <c r="F24" s="448"/>
      <c r="G24" s="2611"/>
      <c r="H24" s="448"/>
      <c r="I24" s="447"/>
      <c r="J24" s="448"/>
      <c r="K24" s="672"/>
      <c r="L24" s="1135"/>
      <c r="M24" s="1136"/>
      <c r="N24" s="1136"/>
      <c r="O24" s="1137"/>
      <c r="P24" s="3188"/>
      <c r="Q24" s="1798"/>
      <c r="R24" s="770"/>
      <c r="S24" s="771"/>
      <c r="T24" s="770"/>
      <c r="U24" s="771"/>
      <c r="V24" s="770"/>
      <c r="W24" s="771"/>
      <c r="X24" s="772"/>
      <c r="Y24" s="3188"/>
      <c r="Z24" s="55"/>
      <c r="AA24" s="773">
        <v>1</v>
      </c>
      <c r="AB24" s="773">
        <v>1</v>
      </c>
      <c r="AC24" s="773">
        <v>1</v>
      </c>
    </row>
    <row r="25" spans="1:29" s="117" customFormat="1" ht="28.5">
      <c r="A25" s="649"/>
      <c r="B25" s="633" t="s">
        <v>2654</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8"/>
      <c r="Q25" s="1798"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188"/>
      <c r="Q26" s="1798"/>
      <c r="R26" s="770"/>
      <c r="S26" s="771"/>
      <c r="T26" s="770"/>
      <c r="U26" s="771"/>
      <c r="V26" s="770"/>
      <c r="W26" s="771"/>
      <c r="X26" s="772"/>
      <c r="Y26" s="318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8"/>
      <c r="Z27" s="1817" t="str">
        <f t="shared" ref="Z27:Z40" si="13">Q27</f>
        <v>临街状况</v>
      </c>
      <c r="AA27" s="1814">
        <f t="shared" si="3"/>
        <v>1</v>
      </c>
      <c r="AB27" s="1814">
        <f t="shared" si="4"/>
        <v>1</v>
      </c>
      <c r="AC27" s="1814">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8"/>
      <c r="Q28" s="1813" t="str">
        <f t="shared" si="8"/>
        <v>毗邻道路的类型与等级</v>
      </c>
      <c r="R28" s="774" t="s">
        <v>17</v>
      </c>
      <c r="S28" s="775">
        <f t="shared" si="10"/>
        <v>100</v>
      </c>
      <c r="T28" s="774" t="s">
        <v>17</v>
      </c>
      <c r="U28" s="775">
        <f t="shared" si="11"/>
        <v>100</v>
      </c>
      <c r="V28" s="774" t="s">
        <v>17</v>
      </c>
      <c r="W28" s="775">
        <f t="shared" si="12"/>
        <v>100</v>
      </c>
      <c r="X28" s="1816"/>
      <c r="Y28" s="3188"/>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188"/>
      <c r="Q29" s="1813"/>
      <c r="R29" s="774"/>
      <c r="S29" s="775"/>
      <c r="T29" s="774"/>
      <c r="U29" s="775"/>
      <c r="V29" s="774"/>
      <c r="W29" s="775"/>
      <c r="X29" s="1816"/>
      <c r="Y29" s="3188"/>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8"/>
      <c r="Q30" s="1813" t="str">
        <f t="shared" si="8"/>
        <v>土地级别</v>
      </c>
      <c r="R30" s="774" t="s">
        <v>17</v>
      </c>
      <c r="S30" s="775">
        <f t="shared" si="10"/>
        <v>100</v>
      </c>
      <c r="T30" s="774" t="s">
        <v>17</v>
      </c>
      <c r="U30" s="775">
        <f t="shared" si="11"/>
        <v>100</v>
      </c>
      <c r="V30" s="774" t="s">
        <v>17</v>
      </c>
      <c r="W30" s="775">
        <f t="shared" si="12"/>
        <v>100</v>
      </c>
      <c r="X30" s="1816"/>
      <c r="Y30" s="3188"/>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8"/>
      <c r="Q31" s="1813">
        <f t="shared" si="8"/>
        <v>111</v>
      </c>
      <c r="R31" s="774" t="s">
        <v>17</v>
      </c>
      <c r="S31" s="775">
        <f t="shared" si="10"/>
        <v>100</v>
      </c>
      <c r="T31" s="774" t="s">
        <v>17</v>
      </c>
      <c r="U31" s="775">
        <f t="shared" si="11"/>
        <v>100</v>
      </c>
      <c r="V31" s="774" t="s">
        <v>17</v>
      </c>
      <c r="W31" s="775">
        <f t="shared" si="12"/>
        <v>100</v>
      </c>
      <c r="X31" s="1816"/>
      <c r="Y31" s="3188"/>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9" t="s">
        <v>2564</v>
      </c>
      <c r="Q32" s="1813">
        <f t="shared" si="8"/>
        <v>111</v>
      </c>
      <c r="R32" s="774" t="s">
        <v>17</v>
      </c>
      <c r="S32" s="775">
        <f t="shared" si="10"/>
        <v>100</v>
      </c>
      <c r="T32" s="774" t="s">
        <v>17</v>
      </c>
      <c r="U32" s="775">
        <f t="shared" si="11"/>
        <v>100</v>
      </c>
      <c r="V32" s="774" t="s">
        <v>17</v>
      </c>
      <c r="W32" s="775">
        <f t="shared" si="12"/>
        <v>100</v>
      </c>
      <c r="X32" s="1816"/>
      <c r="Y32" s="3190" t="s">
        <v>2564</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0"/>
      <c r="Q33" s="1813">
        <f t="shared" si="8"/>
        <v>111</v>
      </c>
      <c r="R33" s="777" t="s">
        <v>17</v>
      </c>
      <c r="S33" s="778">
        <f t="shared" si="10"/>
        <v>100</v>
      </c>
      <c r="T33" s="777" t="s">
        <v>17</v>
      </c>
      <c r="U33" s="778">
        <f t="shared" si="11"/>
        <v>100</v>
      </c>
      <c r="V33" s="777" t="s">
        <v>17</v>
      </c>
      <c r="W33" s="778">
        <f t="shared" si="12"/>
        <v>100</v>
      </c>
      <c r="X33" s="779"/>
      <c r="Y33" s="3190"/>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0"/>
      <c r="Q34" s="1813" t="str">
        <f>B34</f>
        <v>宗地面积</v>
      </c>
      <c r="R34" s="774" t="s">
        <v>17</v>
      </c>
      <c r="S34" s="775" t="e">
        <f t="shared" si="10"/>
        <v>#N/A</v>
      </c>
      <c r="T34" s="774" t="s">
        <v>17</v>
      </c>
      <c r="U34" s="775" t="e">
        <f t="shared" si="11"/>
        <v>#N/A</v>
      </c>
      <c r="V34" s="774" t="s">
        <v>17</v>
      </c>
      <c r="W34" s="775" t="e">
        <f t="shared" si="12"/>
        <v>#N/A</v>
      </c>
      <c r="X34" s="1816"/>
      <c r="Y34" s="3190"/>
      <c r="Z34" s="1817" t="str">
        <f t="shared" si="13"/>
        <v>宗地面积</v>
      </c>
      <c r="AA34" s="1814" t="e">
        <f t="shared" si="3"/>
        <v>#N/A</v>
      </c>
      <c r="AB34" s="1814" t="e">
        <f t="shared" si="4"/>
        <v>#N/A</v>
      </c>
      <c r="AC34" s="1814"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90"/>
      <c r="Q35" s="1813" t="str">
        <f t="shared" ref="Q35:Q40" si="14">B35</f>
        <v>宗地形状</v>
      </c>
      <c r="R35" s="774" t="s">
        <v>17</v>
      </c>
      <c r="S35" s="775">
        <f t="shared" si="10"/>
        <v>100</v>
      </c>
      <c r="T35" s="774" t="s">
        <v>17</v>
      </c>
      <c r="U35" s="775">
        <f t="shared" si="11"/>
        <v>100</v>
      </c>
      <c r="V35" s="774" t="s">
        <v>17</v>
      </c>
      <c r="W35" s="775">
        <f t="shared" si="12"/>
        <v>100</v>
      </c>
      <c r="X35" s="1816"/>
      <c r="Y35" s="3190"/>
      <c r="Z35" s="1817" t="str">
        <f t="shared" si="13"/>
        <v>宗地形状</v>
      </c>
      <c r="AA35" s="1814">
        <f t="shared" si="3"/>
        <v>1</v>
      </c>
      <c r="AB35" s="1814">
        <f t="shared" si="4"/>
        <v>1</v>
      </c>
      <c r="AC35" s="1814">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90"/>
      <c r="Q36" s="1813"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90" t="s">
        <v>2564</v>
      </c>
      <c r="Q37" s="1813" t="str">
        <f t="shared" si="14"/>
        <v>工程地质条件</v>
      </c>
      <c r="R37" s="774" t="s">
        <v>17</v>
      </c>
      <c r="S37" s="775">
        <f t="shared" si="10"/>
        <v>100</v>
      </c>
      <c r="T37" s="774" t="s">
        <v>17</v>
      </c>
      <c r="U37" s="775">
        <f t="shared" si="11"/>
        <v>100</v>
      </c>
      <c r="V37" s="774" t="s">
        <v>17</v>
      </c>
      <c r="W37" s="775">
        <f t="shared" si="12"/>
        <v>100</v>
      </c>
      <c r="X37" s="1816"/>
      <c r="Y37" s="3190"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0"/>
      <c r="Q38" s="1813">
        <f t="shared" si="14"/>
        <v>111</v>
      </c>
      <c r="R38" s="774" t="s">
        <v>17</v>
      </c>
      <c r="S38" s="775">
        <f t="shared" si="10"/>
        <v>100</v>
      </c>
      <c r="T38" s="774" t="s">
        <v>17</v>
      </c>
      <c r="U38" s="775">
        <f t="shared" si="11"/>
        <v>100</v>
      </c>
      <c r="V38" s="774" t="s">
        <v>17</v>
      </c>
      <c r="W38" s="775">
        <f t="shared" si="12"/>
        <v>100</v>
      </c>
      <c r="X38" s="1816"/>
      <c r="Y38" s="319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0"/>
      <c r="Q39" s="1813">
        <f t="shared" si="14"/>
        <v>111</v>
      </c>
      <c r="R39" s="774" t="s">
        <v>17</v>
      </c>
      <c r="S39" s="775">
        <f t="shared" si="10"/>
        <v>100</v>
      </c>
      <c r="T39" s="774" t="s">
        <v>17</v>
      </c>
      <c r="U39" s="775">
        <f t="shared" si="11"/>
        <v>100</v>
      </c>
      <c r="V39" s="774" t="s">
        <v>17</v>
      </c>
      <c r="W39" s="775">
        <f t="shared" si="12"/>
        <v>100</v>
      </c>
      <c r="X39" s="1816"/>
      <c r="Y39" s="3190"/>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0"/>
      <c r="Q40" s="1813">
        <f t="shared" si="14"/>
        <v>111</v>
      </c>
      <c r="R40" s="777" t="s">
        <v>17</v>
      </c>
      <c r="S40" s="778">
        <f t="shared" si="10"/>
        <v>100</v>
      </c>
      <c r="T40" s="777" t="s">
        <v>17</v>
      </c>
      <c r="U40" s="778">
        <f t="shared" si="11"/>
        <v>100</v>
      </c>
      <c r="V40" s="777" t="s">
        <v>17</v>
      </c>
      <c r="W40" s="778">
        <f t="shared" si="12"/>
        <v>100</v>
      </c>
      <c r="X40" s="779"/>
      <c r="Y40" s="3190"/>
      <c r="Z40" s="780">
        <f t="shared" si="13"/>
        <v>111</v>
      </c>
      <c r="AA40" s="1814">
        <f t="shared" si="3"/>
        <v>1</v>
      </c>
      <c r="AB40" s="1814">
        <f t="shared" si="4"/>
        <v>1</v>
      </c>
      <c r="AC40" s="1814">
        <f t="shared" si="5"/>
        <v>1</v>
      </c>
    </row>
    <row r="41" spans="1:29" ht="15">
      <c r="A41" s="479" t="s">
        <v>2719</v>
      </c>
      <c r="B41" s="2702" t="s">
        <v>2799</v>
      </c>
      <c r="C41" s="682" t="s">
        <v>1</v>
      </c>
      <c r="D41" s="481"/>
      <c r="E41" s="482"/>
      <c r="F41" s="483"/>
      <c r="G41" s="484"/>
      <c r="H41" s="485"/>
      <c r="I41" s="482"/>
      <c r="J41" s="485"/>
      <c r="K41" s="783"/>
      <c r="L41" s="1146"/>
      <c r="M41" s="1134"/>
      <c r="N41" s="1134"/>
      <c r="O41" s="1147"/>
      <c r="P41" s="3172" t="str">
        <f>A41</f>
        <v>成交单价</v>
      </c>
      <c r="Q41" s="3172"/>
      <c r="R41" s="3185">
        <f>E41</f>
        <v>0</v>
      </c>
      <c r="S41" s="3185"/>
      <c r="T41" s="3185">
        <f>G41</f>
        <v>0</v>
      </c>
      <c r="U41" s="3185"/>
      <c r="V41" s="3185">
        <f>I41</f>
        <v>0</v>
      </c>
      <c r="W41" s="318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72" t="str">
        <f>A42</f>
        <v>比较价值（元/平方米）</v>
      </c>
      <c r="Q42" s="3172"/>
      <c r="R42" s="3191" t="e">
        <f>ROUND(PRODUCT(R41,AA7:AA40),0)</f>
        <v>#DIV/0!</v>
      </c>
      <c r="S42" s="3191"/>
      <c r="T42" s="3191" t="e">
        <f>ROUND(PRODUCT(T41,AB7:AB40),0)</f>
        <v>#DIV/0!</v>
      </c>
      <c r="U42" s="3191"/>
      <c r="V42" s="3191" t="e">
        <f>ROUND(PRODUCT(V41,AC7:AC40),0)</f>
        <v>#DIV/0!</v>
      </c>
      <c r="W42" s="3191"/>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92" t="str">
        <f>A43</f>
        <v>估价对象XX用房的比较价值（楼面单价，元/平方米）</v>
      </c>
      <c r="Q43" s="3193"/>
      <c r="R43" s="3194" t="e">
        <f>ROUND(AVERAGE(R42:V42),0)</f>
        <v>#DIV/0!</v>
      </c>
      <c r="S43" s="3194"/>
      <c r="T43" s="3194"/>
      <c r="U43" s="3194"/>
      <c r="V43" s="3194"/>
      <c r="W43" s="319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3" t="s">
        <v>2759</v>
      </c>
      <c r="D50" s="2704" t="s">
        <v>2760</v>
      </c>
      <c r="E50" s="686" t="s">
        <v>2761</v>
      </c>
      <c r="F50" s="687" t="s">
        <v>2762</v>
      </c>
      <c r="G50" s="3173" t="s">
        <v>2763</v>
      </c>
      <c r="H50" s="3195"/>
      <c r="I50" s="1817" t="s">
        <v>2800</v>
      </c>
      <c r="J50" s="1817">
        <f>项目基本情况!F35</f>
        <v>0</v>
      </c>
      <c r="K50" s="2706" t="s">
        <v>2765</v>
      </c>
      <c r="L50" s="1109"/>
      <c r="M50" s="1147"/>
      <c r="N50" s="1147"/>
      <c r="O50" s="1147"/>
    </row>
    <row r="51" spans="1:17" s="692" customFormat="1">
      <c r="A51" s="688" t="s">
        <v>2766</v>
      </c>
      <c r="B51" s="689" t="e">
        <f>C43</f>
        <v>#DIV/0!</v>
      </c>
      <c r="C51" s="690">
        <v>1</v>
      </c>
      <c r="D51" s="1166">
        <v>1</v>
      </c>
      <c r="E51" s="690">
        <f>'数据-汇总表'!E8+'数据-汇总表'!E9</f>
        <v>66946.100000000006</v>
      </c>
      <c r="F51" s="691" t="e">
        <f t="shared" ref="F51:F60" si="15">ROUND(B51*E51/10000,0)</f>
        <v>#DIV/0!</v>
      </c>
      <c r="G51" s="3196"/>
      <c r="H51" s="3172"/>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97"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97"/>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97"/>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97"/>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07"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10888.3</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0.2</v>
      </c>
      <c r="D58" s="1167">
        <v>0.25</v>
      </c>
      <c r="E58" s="261">
        <f>'数据-汇总表'!E13</f>
        <v>29858.400000000001</v>
      </c>
      <c r="F58" s="691" t="e">
        <f t="shared" si="15"/>
        <v>#DIV/0!</v>
      </c>
      <c r="G58" s="1112" t="s">
        <v>2777</v>
      </c>
      <c r="H58" s="1107" t="str">
        <f>IF(G58="商业",项目基本情况!B37,IF(G58="办公",项目基本情况!C37,IF(G58="住宅",项目基本情况!D37,项目基本情况!E37)))</f>
        <v>六级</v>
      </c>
      <c r="I58" s="945">
        <f>SUMIF(修正!A45:A56,H58,修正!H45:H56)</f>
        <v>0.2</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07"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08"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24664.240000000002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09" t="s">
        <v>2781</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4" t="s">
        <v>2801</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73"/>
      <c r="L1" s="2716" t="s">
        <v>2805</v>
      </c>
      <c r="M1" s="1083">
        <f>SUMPRODUCT((区片价!B5:B9=I2)*(区片价!C3:F3=E2)*(区片价!C5:F9))</f>
        <v>0</v>
      </c>
      <c r="N1" s="1086">
        <f>SUMPRODUCT((因素修正幅度!B5:B9=I2)*(因素修正幅度!C3:F3=E2)*(因素修正幅度!C5:F9))</f>
        <v>0</v>
      </c>
      <c r="O1" s="2717"/>
      <c r="P1" s="2717"/>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73"/>
      <c r="L2" s="2724"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19" t="s">
        <v>2818</v>
      </c>
      <c r="D3" s="2720" t="s">
        <v>2819</v>
      </c>
      <c r="E3" s="2725"/>
      <c r="F3" s="2726" t="s">
        <v>2820</v>
      </c>
      <c r="G3" s="916">
        <f>IF(F3="宗地容积率",'数据-汇总表'!I4,IF(F3="估价对象容积率",'数据-汇总表'!I6,'数据-汇总表'!I7))</f>
        <v>2.8</v>
      </c>
      <c r="H3" s="198" t="s">
        <v>2821</v>
      </c>
      <c r="I3" s="947"/>
      <c r="J3" s="2723" t="s">
        <v>2822</v>
      </c>
      <c r="K3" s="1373"/>
      <c r="L3" s="2724"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3"/>
      <c r="B4" s="3274"/>
      <c r="C4" s="3274"/>
      <c r="D4" s="3275"/>
      <c r="E4" s="3275"/>
      <c r="F4" s="3275"/>
      <c r="G4" s="3275"/>
      <c r="H4" s="3275"/>
      <c r="I4" s="3275"/>
      <c r="J4" s="3276"/>
      <c r="K4" s="1373"/>
      <c r="L4" s="2724"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2825</v>
      </c>
      <c r="C5" s="917" t="e">
        <f>ROUND(IF(E2="商业",IF(F16="增加",C6*C7+C16,C6*C7-C16),IF(E2="住宅",IF(F16="增加",C6*C12+C16,C6*C12-C16),IF(F16="增加",C6+C16,C6-C16))),0)</f>
        <v>#DIV/0!</v>
      </c>
      <c r="D5" s="1790">
        <f>ROUND(IF(E2="商业",IF(F16="增加",C6+C16,C6-C16)),0)</f>
        <v>0</v>
      </c>
      <c r="E5" s="2729"/>
      <c r="F5" s="2729"/>
      <c r="G5" s="2730"/>
      <c r="H5" s="2730"/>
      <c r="I5" s="2730"/>
      <c r="J5" s="2731"/>
      <c r="K5" s="2732"/>
      <c r="L5" s="2724"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2827</v>
      </c>
      <c r="B6" s="2738" t="s">
        <v>2828</v>
      </c>
      <c r="C6" s="918">
        <f>SUMIF(L1:L12,G2,M1:M12)</f>
        <v>0</v>
      </c>
      <c r="D6" s="2739" t="s">
        <v>2829</v>
      </c>
      <c r="E6" s="2740"/>
      <c r="F6" s="2740"/>
      <c r="G6" s="2741"/>
      <c r="H6" s="2741"/>
      <c r="I6" s="2741"/>
      <c r="J6" s="2742"/>
      <c r="K6" s="1845"/>
      <c r="L6" s="2724"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59" t="str">
        <f>IF(E2="商业",IF(C8="不临58条商业街","",2),"")</f>
        <v/>
      </c>
      <c r="B7" s="2743" t="s">
        <v>2831</v>
      </c>
      <c r="C7" s="919" t="e">
        <f>IF(C8="不临58条商业街",1,ROUND(1+(1.6*E8+1.2*E9+0.8*E10+0.4*E11)*C9,4))</f>
        <v>#DIV/0!</v>
      </c>
      <c r="D7" s="2744" t="s">
        <v>2832</v>
      </c>
      <c r="E7" s="948"/>
      <c r="F7" s="2745"/>
      <c r="G7" s="2746"/>
      <c r="H7" s="2746"/>
      <c r="I7" s="2746"/>
      <c r="J7" s="2747"/>
      <c r="K7" s="1845"/>
      <c r="L7" s="2724"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2.8</v>
      </c>
      <c r="AA7" s="1609"/>
      <c r="AB7" s="1609"/>
      <c r="AC7" s="1610"/>
      <c r="AD7" s="1611"/>
      <c r="AE7" s="1611"/>
      <c r="AF7" s="1611"/>
      <c r="AG7" s="1611"/>
      <c r="AH7" s="1611"/>
      <c r="AI7" s="1611"/>
      <c r="AJ7" s="1612"/>
    </row>
    <row r="8" spans="1:36" ht="15">
      <c r="A8" s="3260"/>
      <c r="B8" s="198" t="s">
        <v>2836</v>
      </c>
      <c r="C8" s="2748"/>
      <c r="D8" s="920" t="s">
        <v>139</v>
      </c>
      <c r="E8" s="921" t="e">
        <f>ROUND(C11/E7,4)</f>
        <v>#DIV/0!</v>
      </c>
      <c r="F8" s="2749" t="s">
        <v>2837</v>
      </c>
      <c r="G8" s="2750"/>
      <c r="H8" s="2750"/>
      <c r="I8" s="2750"/>
      <c r="J8" s="2751"/>
      <c r="K8" s="1373"/>
      <c r="L8" s="2724"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0" t="s">
        <v>2839</v>
      </c>
      <c r="X8" s="3271"/>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60"/>
      <c r="B9" s="198" t="s">
        <v>2852</v>
      </c>
      <c r="C9" s="922">
        <f>SUMIF(修正!C59:C119,C8,修正!E59:E119)</f>
        <v>0</v>
      </c>
      <c r="D9" s="200" t="s">
        <v>140</v>
      </c>
      <c r="E9" s="200" t="e">
        <f>ROUND(C11/E7,4)</f>
        <v>#DIV/0!</v>
      </c>
      <c r="F9" s="2749" t="s">
        <v>2853</v>
      </c>
      <c r="G9" s="2750"/>
      <c r="H9" s="2750"/>
      <c r="I9" s="2750"/>
      <c r="J9" s="2751"/>
      <c r="K9" s="1373"/>
      <c r="L9" s="2724"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2"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8" t="s">
        <v>2857</v>
      </c>
      <c r="C10" s="200">
        <f>SUMIF(修正!C59:C119,C8,修正!F59:F119)</f>
        <v>0</v>
      </c>
      <c r="D10" s="200" t="s">
        <v>141</v>
      </c>
      <c r="E10" s="200" t="e">
        <f>ROUND(C11/E7,4)</f>
        <v>#DIV/0!</v>
      </c>
      <c r="F10" s="2749" t="s">
        <v>2858</v>
      </c>
      <c r="G10" s="2750"/>
      <c r="H10" s="2750"/>
      <c r="I10" s="2750"/>
      <c r="J10" s="2751"/>
      <c r="K10" s="1373"/>
      <c r="L10" s="2724"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52" t="s">
        <v>2860</v>
      </c>
      <c r="C11" s="923">
        <f>C10/4</f>
        <v>0</v>
      </c>
      <c r="D11" s="923" t="s">
        <v>142</v>
      </c>
      <c r="E11" s="923" t="e">
        <f>ROUND(C11/E7,4)</f>
        <v>#DIV/0!</v>
      </c>
      <c r="F11" s="2753" t="s">
        <v>2861</v>
      </c>
      <c r="G11" s="2754"/>
      <c r="H11" s="2754"/>
      <c r="I11" s="2754"/>
      <c r="J11" s="2755"/>
      <c r="K11" s="1373"/>
      <c r="L11" s="2724"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2" t="s">
        <v>2863</v>
      </c>
      <c r="X11" s="1617" t="s">
        <v>2864</v>
      </c>
      <c r="Y11" s="1618">
        <f>$G$3</f>
        <v>2.8</v>
      </c>
      <c r="Z11" s="1618">
        <f t="shared" ref="Z11:AJ11" si="3">$G$3</f>
        <v>2.8</v>
      </c>
      <c r="AA11" s="1618">
        <f t="shared" si="3"/>
        <v>2.8</v>
      </c>
      <c r="AB11" s="1618">
        <f t="shared" si="3"/>
        <v>2.8</v>
      </c>
      <c r="AC11" s="1618">
        <f t="shared" si="3"/>
        <v>2.8</v>
      </c>
      <c r="AD11" s="1618">
        <f t="shared" si="3"/>
        <v>2.8</v>
      </c>
      <c r="AE11" s="1618">
        <f t="shared" si="3"/>
        <v>2.8</v>
      </c>
      <c r="AF11" s="1618">
        <f t="shared" si="3"/>
        <v>2.8</v>
      </c>
      <c r="AG11" s="1618">
        <f t="shared" si="3"/>
        <v>2.8</v>
      </c>
      <c r="AH11" s="1618">
        <f t="shared" si="3"/>
        <v>2.8</v>
      </c>
      <c r="AI11" s="1618">
        <f t="shared" si="3"/>
        <v>2.8</v>
      </c>
      <c r="AJ11" s="1618">
        <f t="shared" si="3"/>
        <v>2.8</v>
      </c>
    </row>
    <row r="12" spans="1:36" ht="25.5" thickBot="1">
      <c r="A12" s="3259" t="s">
        <v>2865</v>
      </c>
      <c r="B12" s="2756" t="s">
        <v>2866</v>
      </c>
      <c r="C12" s="919">
        <f>ROUND(C15*D15*E15*F15*G15*H15*I15*J15,4)</f>
        <v>1</v>
      </c>
      <c r="D12" s="2757" t="s">
        <v>2867</v>
      </c>
      <c r="E12" s="2758"/>
      <c r="F12" s="2758"/>
      <c r="G12" s="2759"/>
      <c r="H12" s="2759"/>
      <c r="I12" s="2759"/>
      <c r="J12" s="2760"/>
      <c r="K12" s="1373"/>
      <c r="L12" s="2761"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2"/>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7"/>
      <c r="B13" s="2762" t="s">
        <v>2870</v>
      </c>
      <c r="C13" s="2763" t="s">
        <v>2871</v>
      </c>
      <c r="D13" s="1811" t="s">
        <v>2872</v>
      </c>
      <c r="E13" s="1811" t="s">
        <v>2873</v>
      </c>
      <c r="F13" s="30" t="s">
        <v>2874</v>
      </c>
      <c r="G13" s="2764" t="s">
        <v>2875</v>
      </c>
      <c r="H13" s="2764" t="s">
        <v>2875</v>
      </c>
      <c r="I13" s="2764" t="s">
        <v>2875</v>
      </c>
      <c r="J13" s="2765" t="s">
        <v>2875</v>
      </c>
      <c r="K13" s="1373"/>
      <c r="L13" s="1373"/>
      <c r="M13" s="1373"/>
      <c r="N13" s="1373"/>
      <c r="O13" s="1373"/>
      <c r="P13" s="1373"/>
      <c r="Q13" s="1373"/>
      <c r="R13" s="1605">
        <v>12</v>
      </c>
      <c r="S13" s="1606"/>
      <c r="T13" s="1605" t="e">
        <f t="shared" si="0"/>
        <v>#DIV/0!</v>
      </c>
      <c r="U13" s="1606"/>
      <c r="V13" s="1605" t="e">
        <f t="shared" si="1"/>
        <v>#DIV/0!</v>
      </c>
      <c r="W13" s="3272"/>
      <c r="X13" s="1619"/>
      <c r="Y13" s="1616">
        <f>(-0.163*(Y12^2)-0.59*Y12+7617)*(10^(-4))/Y11</f>
        <v>0.27203571428571433</v>
      </c>
      <c r="Z13" s="1616">
        <f t="shared" ref="Z13:AJ13" si="5">(-0.163*(Z12^2)-0.59*Z12+7617)*(10^(-4))/Z11</f>
        <v>0.27203571428571433</v>
      </c>
      <c r="AA13" s="1616">
        <f t="shared" si="5"/>
        <v>0.27203571428571433</v>
      </c>
      <c r="AB13" s="1616">
        <f t="shared" si="5"/>
        <v>0.27203571428571433</v>
      </c>
      <c r="AC13" s="1616">
        <f t="shared" si="5"/>
        <v>0.27203571428571433</v>
      </c>
      <c r="AD13" s="1616">
        <f t="shared" si="5"/>
        <v>0.27203571428571433</v>
      </c>
      <c r="AE13" s="1616">
        <f t="shared" si="5"/>
        <v>0.27203571428571433</v>
      </c>
      <c r="AF13" s="1616">
        <f t="shared" si="5"/>
        <v>0.27203571428571433</v>
      </c>
      <c r="AG13" s="1616">
        <f t="shared" si="5"/>
        <v>0.27203571428571433</v>
      </c>
      <c r="AH13" s="1616">
        <f t="shared" si="5"/>
        <v>0.27203571428571433</v>
      </c>
      <c r="AI13" s="1616">
        <f t="shared" si="5"/>
        <v>0.27203571428571433</v>
      </c>
      <c r="AJ13" s="1616">
        <f t="shared" si="5"/>
        <v>0.27203571428571433</v>
      </c>
    </row>
    <row r="14" spans="1:36" ht="15">
      <c r="A14" s="3277"/>
      <c r="B14" s="2766"/>
      <c r="C14" s="2767"/>
      <c r="D14" s="2768"/>
      <c r="E14" s="2768"/>
      <c r="F14" s="2769"/>
      <c r="G14" s="2770" t="s">
        <v>2876</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8"/>
      <c r="B15" s="2774" t="s">
        <v>2877</v>
      </c>
      <c r="C15" s="229">
        <f>IF(C14="有",1.1,1)</f>
        <v>1</v>
      </c>
      <c r="D15" s="229">
        <f>IF(D14="有",1.1,1)</f>
        <v>1</v>
      </c>
      <c r="E15" s="229">
        <f>IF(E14="有",1.1,1)</f>
        <v>1</v>
      </c>
      <c r="F15" s="229">
        <f>IF(F14="500米范围内",1.2,IF(F14="500-1000米",1.1,1))</f>
        <v>1</v>
      </c>
      <c r="G15" s="949">
        <v>1</v>
      </c>
      <c r="H15" s="949">
        <v>1</v>
      </c>
      <c r="I15" s="949">
        <v>1</v>
      </c>
      <c r="J15" s="950">
        <v>1</v>
      </c>
      <c r="K15" s="1373"/>
      <c r="L15" s="2775" t="s">
        <v>2813</v>
      </c>
      <c r="M15" s="920" t="s">
        <v>2878</v>
      </c>
      <c r="N15" s="920" t="s">
        <v>2879</v>
      </c>
      <c r="O15" s="920" t="s">
        <v>2880</v>
      </c>
      <c r="P15" s="2776"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9" t="s">
        <v>2882</v>
      </c>
      <c r="B16" s="2743" t="s">
        <v>2883</v>
      </c>
      <c r="C16" s="1804" t="e">
        <f>ROUND(SUM(G17:J17)/C17,0)</f>
        <v>#DIV/0!</v>
      </c>
      <c r="D16" s="2777" t="s">
        <v>2884</v>
      </c>
      <c r="E16" s="2778"/>
      <c r="F16" s="2779"/>
      <c r="G16" s="2780"/>
      <c r="H16" s="2780"/>
      <c r="I16" s="2780"/>
      <c r="J16" s="2781"/>
      <c r="K16" s="1373"/>
      <c r="L16" s="2782"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0"/>
      <c r="B17" s="2783" t="s">
        <v>2886</v>
      </c>
      <c r="C17" s="924">
        <f>SUMPRODUCT((修正!A2:A5=E2)*(修正!B1:M1=G2)*(修正!B2:M5))</f>
        <v>0</v>
      </c>
      <c r="D17" s="2784"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2890</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2891</v>
      </c>
      <c r="C19" s="927" t="e">
        <f>ROUND(IF(H19="按公示增长率计算",SUMPRODUCT((地价!A3:A23=YEAR(G19)&amp;"-"&amp;ROUNDUP(MONTH(G19)/3,0))*(地价!X2:AB2=E2)*(地价!X3:AB23)),IF(H19="地价指数",M20/M19,(1+I19)^O19)),4)</f>
        <v>#DIV/0!</v>
      </c>
      <c r="D19" s="2795" t="s">
        <v>2892</v>
      </c>
      <c r="E19" s="928">
        <v>41640</v>
      </c>
      <c r="F19" s="2795" t="s">
        <v>2893</v>
      </c>
      <c r="G19" s="929">
        <f>'数据-取费表'!B2</f>
        <v>43341</v>
      </c>
      <c r="H19" s="2796" t="s">
        <v>2894</v>
      </c>
      <c r="I19" s="930" t="str">
        <f>IF(H19="季度增幅（自定义）",SUMIF(N21:N24,E2,O21:O24),"")</f>
        <v/>
      </c>
      <c r="J19" s="2793"/>
      <c r="K19" s="1380"/>
      <c r="L19" s="2797" t="s">
        <v>2895</v>
      </c>
      <c r="M19" s="1737">
        <f>ROUND(SUMIF(地价!B2:F2,E2,地价!B23:F23),0)</f>
        <v>0</v>
      </c>
      <c r="N19" s="2798" t="s">
        <v>2896</v>
      </c>
      <c r="O19" s="931">
        <f>ROUNDDOWN(DATEDIF(E19,G19,"M")/3,0)</f>
        <v>18</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2897</v>
      </c>
      <c r="C20" s="932" t="e">
        <f>ROUND(POWER(1+G20,J20-I20)*(POWER(1+G20,I20)-1)/(POWER(1+G20,J20)-1),4)</f>
        <v>#DIV/0!</v>
      </c>
      <c r="D20" s="2804" t="s">
        <v>2898</v>
      </c>
      <c r="E20" s="1771">
        <f ca="1">存贷款利率!D4/100</f>
        <v>4.3499999999999997E-2</v>
      </c>
      <c r="F20" s="2804" t="s">
        <v>2889</v>
      </c>
      <c r="G20" s="937">
        <f>SUMIF(M15:P15,E2,M17:P17)</f>
        <v>0</v>
      </c>
      <c r="H20" s="2804" t="s">
        <v>2899</v>
      </c>
      <c r="I20" s="938" t="e">
        <f>SUMIF('数据-取费表'!C6:C15,E2,'数据-取费表'!F6:F15)/COUNTIF('数据-取费表'!C6:C15,E2)</f>
        <v>#DIV/0!</v>
      </c>
      <c r="J20" s="939">
        <f>IF(E2="住宅",70,IF(E2="商业",40,50))</f>
        <v>50</v>
      </c>
      <c r="K20" s="1380"/>
      <c r="L20" s="2805" t="s">
        <v>2900</v>
      </c>
      <c r="M20" s="1738">
        <f>ROUND(SUMPRODUCT((地价!A4:A23=YEAR(G19)&amp;"-"&amp;ROUNDUP(MONTH(G19)/3,0))*(地价!B2:F2=E2)*(地价!B4:F23)),0)</f>
        <v>0</v>
      </c>
      <c r="N20" s="2806" t="s">
        <v>2901</v>
      </c>
      <c r="O20" s="2807" t="s">
        <v>2902</v>
      </c>
      <c r="P20" s="2808" t="s">
        <v>2903</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2904</v>
      </c>
      <c r="C21" s="940">
        <f>IF(B21="容积率修正",IF(G3&lt;=10,D22,J22),C23)</f>
        <v>0</v>
      </c>
      <c r="D21" s="2811"/>
      <c r="E21" s="2811"/>
      <c r="F21" s="2811"/>
      <c r="G21" s="2811"/>
      <c r="H21" s="2811"/>
      <c r="I21" s="2811"/>
      <c r="J21" s="2812"/>
      <c r="K21" s="1380"/>
      <c r="N21" s="2813" t="s">
        <v>2905</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6" customFormat="1" ht="14.25">
      <c r="A22" s="2662" t="s">
        <v>2906</v>
      </c>
      <c r="B22" s="2814" t="s">
        <v>2907</v>
      </c>
      <c r="C22" s="1813" t="s">
        <v>2908</v>
      </c>
      <c r="D22" s="1813" t="b">
        <f>IF(E22=G22,F22,IF(G3&lt;=10,ROUND(F22+(H22-F22)*(G3-E22)/(G22-E22),4),"——"))</f>
        <v>0</v>
      </c>
      <c r="E22" s="916">
        <f>ROUNDDOWN(G3,1)</f>
        <v>2.8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3" t="s">
        <v>2909</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2" t="s">
        <v>2910</v>
      </c>
      <c r="B23" s="2815" t="s">
        <v>2911</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2912</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2913</v>
      </c>
      <c r="C24" s="927">
        <f>SUMIF(A45:A88,E2,B45:B88)</f>
        <v>0</v>
      </c>
      <c r="D24" s="2791"/>
      <c r="E24" s="2821"/>
      <c r="F24" s="2821"/>
      <c r="G24" s="2821"/>
      <c r="H24" s="2821"/>
      <c r="I24" s="2821"/>
      <c r="J24" s="2822"/>
      <c r="K24" s="1380"/>
      <c r="N24" s="2823" t="s">
        <v>2914</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2915</v>
      </c>
      <c r="C25" s="933"/>
      <c r="D25" s="2746"/>
      <c r="E25" s="2746"/>
      <c r="F25" s="2825"/>
      <c r="G25" s="2746"/>
      <c r="H25" s="2746"/>
      <c r="I25" s="2746"/>
      <c r="J25" s="2747"/>
      <c r="K25" s="1373"/>
      <c r="N25" s="2826" t="s">
        <v>2916</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7"/>
      <c r="B26" s="2814" t="s">
        <v>2917</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2918</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2919</v>
      </c>
      <c r="C28" s="2838" t="s">
        <v>2920</v>
      </c>
      <c r="D28" s="2838" t="s">
        <v>2921</v>
      </c>
      <c r="E28" s="2839" t="s">
        <v>2922</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2923</v>
      </c>
      <c r="C29" s="206" t="e">
        <f>ROUND(C5*C18*C19*C20*C21*C24,0)</f>
        <v>#DIV/0!</v>
      </c>
      <c r="D29" s="2843"/>
      <c r="E29" s="945" t="e">
        <f>ROUND(C29*D29/10000,0)</f>
        <v>#DIV/0!</v>
      </c>
      <c r="F29" s="2844" t="s">
        <v>2924</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2925</v>
      </c>
      <c r="C30" s="229" t="e">
        <f>ROUND(IF(E2="工业",C29*M39,C29*M38),0)</f>
        <v>#DIV/0!</v>
      </c>
      <c r="D30" s="2849"/>
      <c r="E30" s="945" t="e">
        <f>ROUND(C30*D30/10000,0)</f>
        <v>#DIV/0!</v>
      </c>
      <c r="F30" s="2850" t="s">
        <v>2926</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67" t="s">
        <v>2931</v>
      </c>
      <c r="B33" s="2859" t="s">
        <v>2932</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8"/>
      <c r="B34" s="2763" t="s">
        <v>2933</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8"/>
      <c r="B35" s="2763" t="s">
        <v>2934</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69"/>
      <c r="B36" s="2763" t="s">
        <v>2935</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2936</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2937</v>
      </c>
      <c r="M37" s="2863"/>
      <c r="N37" s="1373"/>
      <c r="O37" s="1373"/>
      <c r="P37" s="1373"/>
      <c r="Q37" s="1373"/>
      <c r="R37" s="1373"/>
      <c r="S37" s="1373"/>
      <c r="T37" s="1373"/>
      <c r="U37" s="1373"/>
      <c r="V37" s="1373"/>
      <c r="W37" s="1373"/>
      <c r="X37" s="1373"/>
      <c r="Y37" s="1373"/>
      <c r="Z37" s="1374"/>
    </row>
    <row r="38" spans="1:37">
      <c r="A38" s="2861"/>
      <c r="B38" s="2763" t="s">
        <v>2938</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90" t="s">
        <v>2939</v>
      </c>
      <c r="M38" s="2864">
        <v>0.25</v>
      </c>
      <c r="N38" s="1373"/>
      <c r="O38" s="1373"/>
      <c r="P38" s="1373"/>
      <c r="Q38" s="1373"/>
      <c r="R38" s="1373"/>
      <c r="S38" s="1373"/>
      <c r="T38" s="1373"/>
      <c r="U38" s="1373"/>
      <c r="V38" s="1373"/>
      <c r="W38" s="1373"/>
      <c r="X38" s="1373"/>
      <c r="Y38" s="1373"/>
      <c r="Z38" s="1374"/>
    </row>
    <row r="39" spans="1:37" ht="13.5" thickBot="1">
      <c r="A39" s="2847"/>
      <c r="B39" s="2865" t="s">
        <v>2940</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2881</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2941</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2942</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2943</v>
      </c>
      <c r="B47" s="1812" t="s">
        <v>2944</v>
      </c>
      <c r="C47" s="1812" t="s">
        <v>2945</v>
      </c>
      <c r="D47" s="1812" t="s">
        <v>2946</v>
      </c>
      <c r="E47" s="819" t="s">
        <v>2947</v>
      </c>
      <c r="F47" s="2877" t="s">
        <v>2948</v>
      </c>
      <c r="G47" s="1812" t="s">
        <v>754</v>
      </c>
      <c r="H47" s="2878"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24.75">
      <c r="A48" s="2876" t="s">
        <v>2951</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76" t="s">
        <v>2952</v>
      </c>
      <c r="B49" s="2880" t="str">
        <f>估价对象房地状况!C18</f>
        <v>估价对象周边道路状况较好、公共交通通达情况较好、有322、342、442等多路公交车，距6号线北运河西站约1.5公里，停车便捷程度较好，综合评价交通便捷度较好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2953</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2954</v>
      </c>
      <c r="B51" s="2881" t="s">
        <v>2955</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2956</v>
      </c>
      <c r="B52" s="2880">
        <f>估价对象房地状况!C24</f>
        <v>0</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2957</v>
      </c>
      <c r="B53" s="2882" t="s">
        <v>2958</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2959</v>
      </c>
      <c r="B54" s="1728" t="str">
        <f>估价对象房地状况!C21</f>
        <v>估价对象所在区域公共配套设施齐备情况一般</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2960</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2961</v>
      </c>
      <c r="B56" s="2885" t="str">
        <f>估价对象房地状况!C20</f>
        <v>区域自然环境：减河公园、运河奥体公园、潞河中学公园；人文环境：大运河美术馆；综合评价环境状况较好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2962</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2943</v>
      </c>
      <c r="B58" s="1812"/>
      <c r="C58" s="1812" t="s">
        <v>2945</v>
      </c>
      <c r="D58" s="1812" t="s">
        <v>2946</v>
      </c>
      <c r="E58" s="819" t="s">
        <v>2947</v>
      </c>
      <c r="F58" s="2877" t="s">
        <v>2963</v>
      </c>
      <c r="G58" s="1812" t="s">
        <v>754</v>
      </c>
      <c r="H58" s="2878"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76" t="s">
        <v>2964</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76" t="s">
        <v>2952</v>
      </c>
      <c r="B60" s="2880" t="str">
        <f>估价对象房地状况!C18</f>
        <v>估价对象周边道路状况较好、公共交通通达情况较好、有322、342、442等多路公交车，距6号线北运河西站约1.5公里，停车便捷程度较好，综合评价交通便捷度较好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2953</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2954</v>
      </c>
      <c r="B62" s="2881" t="s">
        <v>2955</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2956</v>
      </c>
      <c r="B63" s="2880">
        <f>估价对象房地状况!C24</f>
        <v>0</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2957</v>
      </c>
      <c r="B64" s="2882" t="s">
        <v>2958</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2959</v>
      </c>
      <c r="B65" s="1728" t="str">
        <f>估价对象房地状况!C21</f>
        <v>估价对象所在区域公共配套设施齐备情况一般</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2960</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2961</v>
      </c>
      <c r="B67" s="2886" t="str">
        <f>估价对象房地状况!C20</f>
        <v>区域自然环境：减河公园、运河奥体公园、潞河中学公园；人文环境：大运河美术馆；综合评价环境状况较好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2965</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2943</v>
      </c>
      <c r="B69" s="1812"/>
      <c r="C69" s="1812" t="s">
        <v>2945</v>
      </c>
      <c r="D69" s="1812" t="s">
        <v>2946</v>
      </c>
      <c r="E69" s="819" t="s">
        <v>2947</v>
      </c>
      <c r="F69" s="2877" t="s">
        <v>2963</v>
      </c>
      <c r="G69" s="1812" t="s">
        <v>754</v>
      </c>
      <c r="H69" s="2878"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76.5">
      <c r="A70" s="2876" t="s">
        <v>2966</v>
      </c>
      <c r="B70" s="2879" t="str">
        <f>估价对象房地状况!C15</f>
        <v>估价对象周边居住用地比例较高、居住小区规模较大、社区发展完善程度较好，有月季园、荔景园等多个住宅项目，综合评价居住社区成熟度较好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76" t="s">
        <v>2952</v>
      </c>
      <c r="B71" s="2880" t="str">
        <f>估价对象房地状况!C18</f>
        <v>估价对象周边道路状况较好、公共交通通达情况较好、有322、342、442等多路公交车，距6号线北运河西站约1.5公里，停车便捷程度较好，综合评价交通便捷度较好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2953</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2967</v>
      </c>
      <c r="B73" s="2880">
        <f>估价对象房地状况!C24</f>
        <v>0</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2959</v>
      </c>
      <c r="B74" s="1728" t="str">
        <f>估价对象房地状况!C21</f>
        <v>估价对象所在区域公共配套设施齐备情况一般</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2960</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2957</v>
      </c>
      <c r="B76" s="2882" t="s">
        <v>2958</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2961</v>
      </c>
      <c r="B77" s="2879" t="str">
        <f>估价对象房地状况!C20</f>
        <v>区域自然环境：减河公园、运河奥体公园、潞河中学公园；人文环境：大运河美术馆；综合评价环境状况较好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2968</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2969</v>
      </c>
      <c r="B79" s="2873">
        <f>1+E81</f>
        <v>1</v>
      </c>
      <c r="C79" s="814"/>
      <c r="D79" s="814"/>
      <c r="E79" s="815"/>
      <c r="F79" s="2875"/>
      <c r="G79" s="6"/>
      <c r="H79" s="6"/>
      <c r="I79" s="6"/>
      <c r="J79" s="7"/>
      <c r="K79" s="7"/>
      <c r="L79" s="7"/>
      <c r="M79" s="7"/>
      <c r="N79" s="7"/>
      <c r="Z79" s="2718"/>
      <c r="AA79" s="2794"/>
      <c r="AG79" s="1375"/>
      <c r="AK79" s="2794"/>
    </row>
    <row r="80" spans="1:37" ht="24.75">
      <c r="A80" s="2876" t="s">
        <v>2943</v>
      </c>
      <c r="B80" s="1812"/>
      <c r="C80" s="1812" t="s">
        <v>2945</v>
      </c>
      <c r="D80" s="1812" t="s">
        <v>2946</v>
      </c>
      <c r="E80" s="819" t="s">
        <v>2947</v>
      </c>
      <c r="F80" s="2877" t="s">
        <v>2963</v>
      </c>
      <c r="G80" s="1812" t="s">
        <v>754</v>
      </c>
      <c r="H80" s="2878" t="s">
        <v>2949</v>
      </c>
      <c r="I80" s="1812" t="s">
        <v>2950</v>
      </c>
      <c r="J80" s="603" t="s">
        <v>2596</v>
      </c>
      <c r="K80" s="603" t="s">
        <v>2597</v>
      </c>
      <c r="L80" s="603" t="s">
        <v>2598</v>
      </c>
      <c r="M80" s="603" t="s">
        <v>2599</v>
      </c>
      <c r="N80" s="603" t="s">
        <v>2600</v>
      </c>
      <c r="Z80" s="2718"/>
      <c r="AA80" s="2794"/>
      <c r="AG80" s="1375"/>
      <c r="AK80" s="2794"/>
    </row>
    <row r="81" spans="1:37" ht="38.25">
      <c r="A81" s="2876" t="s">
        <v>2970</v>
      </c>
      <c r="B81" s="2880" t="str">
        <f>估价对象房地状况!G15</f>
        <v>估价对象位于XX开发区，园区建设成熟度XX，产业集聚程度XX</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2952</v>
      </c>
      <c r="B82" s="2880" t="str">
        <f>估价对象房地状况!G16</f>
        <v>估价对象周边道路状况、公共交通通达情况、停车便捷程度，综合评价交通便捷度较好</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2953</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2967</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2959</v>
      </c>
      <c r="B85" s="1728" t="str">
        <f>估价对象房地状况!G19</f>
        <v>估价对象所在区域公共配套设施齐备情况</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2960</v>
      </c>
      <c r="B86" s="1728" t="str">
        <f>估价对象房地状况!G20</f>
        <v>估价对象所在区域基础设施水平</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2957</v>
      </c>
      <c r="B87" s="2882" t="s">
        <v>2971</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2972</v>
      </c>
      <c r="B88" s="2889" t="str">
        <f>估价对象房地状况!G18</f>
        <v>该园区内是否有污染型企业，绿化情况，卫生条件，整体环境状况判断</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61" t="s">
        <v>2973</v>
      </c>
      <c r="B90" s="3261"/>
      <c r="C90" s="3261"/>
      <c r="D90" s="3261"/>
      <c r="E90" s="3261"/>
      <c r="F90" s="3261"/>
      <c r="G90" s="3261"/>
      <c r="H90" s="3261"/>
      <c r="I90" s="3261"/>
      <c r="J90" s="3261"/>
      <c r="K90" s="2890"/>
      <c r="L90" s="2890"/>
      <c r="M90" s="2890"/>
      <c r="N90" s="2890"/>
    </row>
    <row r="91" spans="1:37">
      <c r="A91" s="3263" t="s">
        <v>2974</v>
      </c>
      <c r="B91" s="3263" t="s">
        <v>2975</v>
      </c>
      <c r="C91" s="2844" t="s">
        <v>2976</v>
      </c>
      <c r="D91" s="2845"/>
      <c r="E91" s="2845"/>
      <c r="F91" s="2845"/>
      <c r="G91" s="2845"/>
      <c r="H91" s="2845"/>
      <c r="I91" s="2845"/>
      <c r="J91" s="2891"/>
      <c r="K91" s="2892"/>
      <c r="L91" s="2892"/>
      <c r="M91" s="2892"/>
      <c r="N91" s="2892"/>
    </row>
    <row r="92" spans="1:37">
      <c r="A92" s="3263"/>
      <c r="B92" s="3263"/>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64"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5"/>
      <c r="B99" s="2893" t="s">
        <v>2856</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4" t="s">
        <v>2978</v>
      </c>
      <c r="B101" s="2897" t="s">
        <v>2979</v>
      </c>
      <c r="C101" s="2898">
        <f>$G$3</f>
        <v>2.8</v>
      </c>
      <c r="D101" s="2898">
        <f t="shared" ref="D101:N101" si="31">$G$3</f>
        <v>2.8</v>
      </c>
      <c r="E101" s="2898">
        <f t="shared" si="31"/>
        <v>2.8</v>
      </c>
      <c r="F101" s="2898">
        <f t="shared" si="31"/>
        <v>2.8</v>
      </c>
      <c r="G101" s="2898">
        <f t="shared" si="31"/>
        <v>2.8</v>
      </c>
      <c r="H101" s="2898">
        <f t="shared" si="31"/>
        <v>2.8</v>
      </c>
      <c r="I101" s="2898">
        <f t="shared" si="31"/>
        <v>2.8</v>
      </c>
      <c r="J101" s="2898">
        <f t="shared" si="31"/>
        <v>2.8</v>
      </c>
      <c r="K101" s="2898">
        <f t="shared" si="31"/>
        <v>2.8</v>
      </c>
      <c r="L101" s="2898">
        <f t="shared" si="31"/>
        <v>2.8</v>
      </c>
      <c r="M101" s="2898">
        <f t="shared" si="31"/>
        <v>2.8</v>
      </c>
      <c r="N101" s="2898">
        <f t="shared" si="31"/>
        <v>2.8</v>
      </c>
    </row>
    <row r="102" spans="1:14">
      <c r="A102" s="3265"/>
      <c r="B102" s="2893">
        <v>1</v>
      </c>
      <c r="C102" s="2894">
        <f>1.9362/C101</f>
        <v>0.6915</v>
      </c>
      <c r="D102" s="2894">
        <f>1.9362/D101</f>
        <v>0.6915</v>
      </c>
      <c r="E102" s="2894">
        <f>1.8629/E101</f>
        <v>0.66532142857142862</v>
      </c>
      <c r="F102" s="2894">
        <f>1.8629/F101</f>
        <v>0.66532142857142862</v>
      </c>
      <c r="G102" s="2894">
        <f>1.8629/G101</f>
        <v>0.66532142857142862</v>
      </c>
      <c r="H102" s="2894">
        <f>1.8629/H101</f>
        <v>0.66532142857142862</v>
      </c>
      <c r="I102" s="2894">
        <f>1.8629/I101</f>
        <v>0.66532142857142862</v>
      </c>
      <c r="J102" s="2894">
        <f>1.942/J101</f>
        <v>0.69357142857142862</v>
      </c>
      <c r="K102" s="2894">
        <f>1.942/K101</f>
        <v>0.69357142857142862</v>
      </c>
      <c r="L102" s="2894">
        <f>1.942/L101</f>
        <v>0.69357142857142862</v>
      </c>
      <c r="M102" s="2894">
        <f>1.942/M101</f>
        <v>0.69357142857142862</v>
      </c>
      <c r="N102" s="2894">
        <f>1.942/N101</f>
        <v>0.69357142857142862</v>
      </c>
    </row>
    <row r="103" spans="1:14">
      <c r="A103" s="3265"/>
      <c r="B103" s="2893">
        <v>2</v>
      </c>
      <c r="C103" s="2894">
        <f>1.4198/C101</f>
        <v>0.50707142857142862</v>
      </c>
      <c r="D103" s="2894">
        <f>1.4198/D101</f>
        <v>0.50707142857142862</v>
      </c>
      <c r="E103" s="2894">
        <f>1.3372/E101</f>
        <v>0.47757142857142859</v>
      </c>
      <c r="F103" s="2894">
        <f>1.3372/F101</f>
        <v>0.47757142857142859</v>
      </c>
      <c r="G103" s="2894">
        <f>1.3372/G101</f>
        <v>0.47757142857142859</v>
      </c>
      <c r="H103" s="2894">
        <f>1.3372/H101</f>
        <v>0.47757142857142859</v>
      </c>
      <c r="I103" s="2894">
        <f>1.3372/I101</f>
        <v>0.47757142857142859</v>
      </c>
      <c r="J103" s="2894">
        <f>1.2799/J101</f>
        <v>0.45710714285714288</v>
      </c>
      <c r="K103" s="2894">
        <f>1.2799/K101</f>
        <v>0.45710714285714288</v>
      </c>
      <c r="L103" s="2894">
        <f>1.2799/L101</f>
        <v>0.45710714285714288</v>
      </c>
      <c r="M103" s="2894">
        <f>1.2799/M101</f>
        <v>0.45710714285714288</v>
      </c>
      <c r="N103" s="2894">
        <f>1.2799/N101</f>
        <v>0.45710714285714288</v>
      </c>
    </row>
    <row r="104" spans="1:14">
      <c r="A104" s="3265"/>
      <c r="B104" s="2893">
        <v>3</v>
      </c>
      <c r="C104" s="2894">
        <f>1.1594/C101</f>
        <v>0.41407142857142859</v>
      </c>
      <c r="D104" s="2894">
        <f>1.1594/D101</f>
        <v>0.41407142857142859</v>
      </c>
      <c r="E104" s="2894">
        <f>1.0788/E101</f>
        <v>0.38528571428571429</v>
      </c>
      <c r="F104" s="2894">
        <f>1.0788/F101</f>
        <v>0.38528571428571429</v>
      </c>
      <c r="G104" s="2894">
        <f>1.0788/G101</f>
        <v>0.38528571428571429</v>
      </c>
      <c r="H104" s="2894">
        <f>1.0788/H101</f>
        <v>0.38528571428571429</v>
      </c>
      <c r="I104" s="2894">
        <f>1.0788/I101</f>
        <v>0.38528571428571429</v>
      </c>
      <c r="J104" s="2894">
        <f>1.0072/J101</f>
        <v>0.35971428571428576</v>
      </c>
      <c r="K104" s="2894">
        <f>1.0072/K101</f>
        <v>0.35971428571428576</v>
      </c>
      <c r="L104" s="2894">
        <f>1.0072/L101</f>
        <v>0.35971428571428576</v>
      </c>
      <c r="M104" s="2894">
        <f>1.0072/M101</f>
        <v>0.35971428571428576</v>
      </c>
      <c r="N104" s="2894">
        <f>1.0072/N101</f>
        <v>0.35971428571428576</v>
      </c>
    </row>
    <row r="105" spans="1:14">
      <c r="A105" s="3265"/>
      <c r="B105" s="2893">
        <v>4</v>
      </c>
      <c r="C105" s="2894">
        <f>0.9622/C101</f>
        <v>0.34364285714285719</v>
      </c>
      <c r="D105" s="2894">
        <f>0.9622/D101</f>
        <v>0.34364285714285719</v>
      </c>
      <c r="E105" s="2894">
        <f>0.8656/E101</f>
        <v>0.30914285714285716</v>
      </c>
      <c r="F105" s="2894">
        <f>0.8656/F101</f>
        <v>0.30914285714285716</v>
      </c>
      <c r="G105" s="2894">
        <f>0.8656/G101</f>
        <v>0.30914285714285716</v>
      </c>
      <c r="H105" s="2894">
        <f>0.8656/H101</f>
        <v>0.30914285714285716</v>
      </c>
      <c r="I105" s="2894">
        <f>0.8656/I101</f>
        <v>0.30914285714285716</v>
      </c>
      <c r="J105" s="2894">
        <f>0.7525/J101</f>
        <v>0.26874999999999999</v>
      </c>
      <c r="K105" s="2894">
        <f>0.7525/K101</f>
        <v>0.26874999999999999</v>
      </c>
      <c r="L105" s="2894">
        <f>0.7525/L101</f>
        <v>0.26874999999999999</v>
      </c>
      <c r="M105" s="2894">
        <f>0.7525/M101</f>
        <v>0.26874999999999999</v>
      </c>
      <c r="N105" s="2894">
        <f>0.7525/N101</f>
        <v>0.26874999999999999</v>
      </c>
    </row>
    <row r="106" spans="1:14">
      <c r="A106" s="3265"/>
      <c r="B106" s="2893">
        <v>5</v>
      </c>
      <c r="C106" s="2894">
        <f>0.8417/C101</f>
        <v>0.30060714285714285</v>
      </c>
      <c r="D106" s="2894">
        <f>0.8417/D101</f>
        <v>0.30060714285714285</v>
      </c>
      <c r="E106" s="2894">
        <f>0.7371/E101</f>
        <v>0.26324999999999998</v>
      </c>
      <c r="F106" s="2894">
        <f>0.7371/F101</f>
        <v>0.26324999999999998</v>
      </c>
      <c r="G106" s="2894">
        <f>0.7371/G101</f>
        <v>0.26324999999999998</v>
      </c>
      <c r="H106" s="2894">
        <f>0.7371/H101</f>
        <v>0.26324999999999998</v>
      </c>
      <c r="I106" s="2894">
        <f>0.7371/I101</f>
        <v>0.26324999999999998</v>
      </c>
      <c r="J106" s="2894">
        <f>0.5659/J101</f>
        <v>0.20210714285714285</v>
      </c>
      <c r="K106" s="2894">
        <f>0.5659/K101</f>
        <v>0.20210714285714285</v>
      </c>
      <c r="L106" s="2894">
        <f>0.5659/L101</f>
        <v>0.20210714285714285</v>
      </c>
      <c r="M106" s="2894">
        <f>0.5659/M101</f>
        <v>0.20210714285714285</v>
      </c>
      <c r="N106" s="2894">
        <f>0.5659/N101</f>
        <v>0.20210714285714285</v>
      </c>
    </row>
    <row r="107" spans="1:14">
      <c r="A107" s="3265"/>
      <c r="B107" s="2893">
        <v>6</v>
      </c>
      <c r="C107" s="2894">
        <f>0.7608/C101</f>
        <v>0.27171428571428574</v>
      </c>
      <c r="D107" s="2894">
        <f>0.7608/D101</f>
        <v>0.27171428571428574</v>
      </c>
      <c r="E107" s="2894">
        <f>0.6482/E101</f>
        <v>0.23150000000000001</v>
      </c>
      <c r="F107" s="2894">
        <f>0.6482/F101</f>
        <v>0.23150000000000001</v>
      </c>
      <c r="G107" s="2894">
        <f>0.6482/G101</f>
        <v>0.23150000000000001</v>
      </c>
      <c r="H107" s="2894">
        <f>0.6482/H101</f>
        <v>0.23150000000000001</v>
      </c>
      <c r="I107" s="2894">
        <f>0.6482/I101</f>
        <v>0.23150000000000001</v>
      </c>
      <c r="J107" s="2894">
        <f>0.4525/J101</f>
        <v>0.16160714285714287</v>
      </c>
      <c r="K107" s="2894">
        <f>0.4525/K101</f>
        <v>0.16160714285714287</v>
      </c>
      <c r="L107" s="2894">
        <f>0.4525/L101</f>
        <v>0.16160714285714287</v>
      </c>
      <c r="M107" s="2894">
        <f>0.4525/M101</f>
        <v>0.16160714285714287</v>
      </c>
      <c r="N107" s="2894">
        <f>0.4525/N101</f>
        <v>0.16160714285714287</v>
      </c>
    </row>
    <row r="108" spans="1:14">
      <c r="A108" s="3265"/>
      <c r="B108" s="3089"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6"/>
      <c r="B109" s="3090"/>
      <c r="C109" s="2896">
        <f>(-0.163*(C108^2)-0.59*C108+7617)*(10^(-4))/C101</f>
        <v>0.27203571428571433</v>
      </c>
      <c r="D109" s="2896">
        <f>(-0.163*(D108^2)-0.59*D108+7617)*(10^(-4))/D101</f>
        <v>0.27203571428571433</v>
      </c>
      <c r="E109" s="2896">
        <f>(-0.161*(E108^2)-7.509*E108+6533)*(10^(-4))/E101</f>
        <v>0.2333214285714286</v>
      </c>
      <c r="F109" s="2896">
        <f>(-0.161*(F108^2)-7.509*F108+6533)*(10^(-4))/F101</f>
        <v>0.2333214285714286</v>
      </c>
      <c r="G109" s="2896">
        <f>(-0.161*(G108^2)-7.509*G108+6533)*(10^(-4))/G101</f>
        <v>0.2333214285714286</v>
      </c>
      <c r="H109" s="2896">
        <f>(-0.161*(H108^2)-7.509*H108+6533)*(10^(-4))/H101</f>
        <v>0.2333214285714286</v>
      </c>
      <c r="I109" s="2896">
        <f>(-0.161*(I108^2)-7.509*I108+6533)*(10^(-4))/I101</f>
        <v>0.2333214285714286</v>
      </c>
      <c r="J109" s="2896">
        <f>(-0.214*(J108^2)-21.991*J108+4665)*(10^(-4))/J101</f>
        <v>0.16660714285714287</v>
      </c>
      <c r="K109" s="2896">
        <f>(-0.214*(K108^2)-21.991*K108+4665)*(10^(-4))/K101</f>
        <v>0.16660714285714287</v>
      </c>
      <c r="L109" s="2896">
        <f>(-0.214*(L108^2)-21.991*L108+4665)*(10^(-4))/L101</f>
        <v>0.16660714285714287</v>
      </c>
      <c r="M109" s="2896">
        <f>(-0.214*(M108^2)-21.991*M108+4665)*(10^(-4))/M101</f>
        <v>0.16660714285714287</v>
      </c>
      <c r="N109" s="2896">
        <f>(-0.214*(N108^2)-21.991*N108+4665)*(10^(-4))/N101</f>
        <v>0.16660714285714287</v>
      </c>
    </row>
    <row r="110" spans="1:14">
      <c r="A110" s="3262" t="s">
        <v>2981</v>
      </c>
      <c r="B110" s="3262"/>
      <c r="C110" s="3262"/>
      <c r="D110" s="3262"/>
      <c r="E110" s="3262"/>
      <c r="F110" s="3262"/>
      <c r="G110" s="3262"/>
      <c r="H110" s="3262"/>
      <c r="I110" s="3262"/>
      <c r="J110" s="3262"/>
      <c r="K110" s="2899"/>
      <c r="L110" s="2899"/>
      <c r="M110" s="2899"/>
      <c r="N110" s="2899"/>
    </row>
    <row r="112" spans="1:14" ht="13.5" thickBot="1"/>
    <row r="113" spans="1:13" ht="25.5" thickBot="1">
      <c r="A113" s="903" t="s">
        <v>2982</v>
      </c>
      <c r="B113" s="1290">
        <f>G3</f>
        <v>2.8</v>
      </c>
      <c r="C113" s="904" t="s">
        <v>2983</v>
      </c>
      <c r="D113" s="905">
        <f>SUMPRODUCT((A115:A118=F113)*(B114:M114=H113)*B115:M118)</f>
        <v>0</v>
      </c>
      <c r="E113" s="2722" t="s">
        <v>2813</v>
      </c>
      <c r="F113" s="2901">
        <f>E2</f>
        <v>0</v>
      </c>
      <c r="G113" s="2722" t="s">
        <v>2814</v>
      </c>
      <c r="H113" s="2901">
        <f>G2</f>
        <v>0</v>
      </c>
      <c r="I113" s="2722"/>
      <c r="J113" s="2902"/>
      <c r="K113" s="2902"/>
      <c r="L113" s="2902"/>
      <c r="M113" s="2902"/>
    </row>
    <row r="114" spans="1:13">
      <c r="A114" s="908"/>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9" t="s">
        <v>2878</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2879</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2880</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2881</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6">
        <f ca="1">SUMIF(INDIRECT("'"&amp;A6&amp;"'"&amp;"!C:C"),"建筑面积",INDIRECT("'"&amp;A6&amp;"'"&amp;"!D:D"))</f>
        <v>0</v>
      </c>
    </row>
    <row r="7" spans="1:5" ht="15.75">
      <c r="A7" s="2913"/>
      <c r="B7" s="2909" t="e">
        <f ca="1">SUMIF(INDIRECT("'"&amp;A7&amp;"'"&amp;"!A:A"),"总价",INDIRECT("'"&amp;A7&amp;"'"&amp;"!B:B"))</f>
        <v>#REF!</v>
      </c>
      <c r="C7" s="2908" t="s">
        <v>2997</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6" t="e">
        <f t="shared" ca="1" si="0"/>
        <v>#REF!</v>
      </c>
    </row>
    <row r="9" spans="1:5" ht="15.75">
      <c r="A9" s="2913"/>
      <c r="B9" s="2909" t="e">
        <f t="shared" ca="1" si="1"/>
        <v>#REF!</v>
      </c>
      <c r="C9" s="2908" t="s">
        <v>2997</v>
      </c>
      <c r="D9" s="2910"/>
      <c r="E9" s="2576" t="e">
        <f t="shared" ca="1" si="0"/>
        <v>#REF!</v>
      </c>
    </row>
    <row r="10" spans="1:5" ht="15.75">
      <c r="A10" s="2913"/>
      <c r="B10" s="2909" t="e">
        <f t="shared" ca="1" si="1"/>
        <v>#REF!</v>
      </c>
      <c r="C10" s="2908" t="s">
        <v>2997</v>
      </c>
      <c r="D10" s="2910"/>
      <c r="E10" s="2576" t="e">
        <f t="shared" ca="1" si="0"/>
        <v>#REF!</v>
      </c>
    </row>
    <row r="11" spans="1:5" ht="15.75">
      <c r="A11" s="2913"/>
      <c r="B11" s="2909" t="e">
        <f t="shared" ca="1" si="1"/>
        <v>#REF!</v>
      </c>
      <c r="C11" s="2908" t="s">
        <v>2997</v>
      </c>
      <c r="D11" s="2910"/>
      <c r="E11" s="2576" t="e">
        <f t="shared" ca="1" si="0"/>
        <v>#REF!</v>
      </c>
    </row>
    <row r="12" spans="1:5" ht="15.75">
      <c r="A12" s="2913"/>
      <c r="B12" s="2909" t="e">
        <f t="shared" ca="1" si="1"/>
        <v>#REF!</v>
      </c>
      <c r="C12" s="2908" t="s">
        <v>2997</v>
      </c>
      <c r="D12" s="2910"/>
      <c r="E12" s="2576" t="e">
        <f t="shared" ca="1" si="0"/>
        <v>#REF!</v>
      </c>
    </row>
    <row r="13" spans="1:5" ht="15.75">
      <c r="A13" s="2913"/>
      <c r="B13" s="2909" t="e">
        <f t="shared" ca="1" si="1"/>
        <v>#REF!</v>
      </c>
      <c r="C13" s="2908" t="s">
        <v>2997</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估价结果一览表（市场价值不需“结果表-1”）</v>
      </c>
      <c r="B3" s="2975"/>
      <c r="C3" s="2975"/>
      <c r="D3" s="2975"/>
      <c r="E3" s="2975"/>
    </row>
    <row r="4" spans="1:5" ht="19.5" thickBot="1">
      <c r="A4" s="1964"/>
      <c r="B4" s="2973" t="s">
        <v>1630</v>
      </c>
      <c r="C4" s="2973"/>
      <c r="D4" s="2973"/>
      <c r="E4" s="1964"/>
    </row>
    <row r="5" spans="1:5" ht="16.5" thickTop="1">
      <c r="A5" s="1962"/>
      <c r="B5" s="2971" t="s">
        <v>1622</v>
      </c>
      <c r="C5" s="1965" t="s">
        <v>1623</v>
      </c>
      <c r="D5" s="1043">
        <f ca="1">结果表!H101</f>
        <v>99991</v>
      </c>
      <c r="E5" s="1962"/>
    </row>
    <row r="6" spans="1:5" ht="15.75">
      <c r="A6" s="1962"/>
      <c r="B6" s="2971"/>
      <c r="C6" s="1965" t="s">
        <v>1624</v>
      </c>
      <c r="D6" s="1043" t="str">
        <f ca="1">NUMBERSTRING(INT(D5*10000),2)&amp;"元整"</f>
        <v>玖亿玖仟玖佰玖拾壹万元整</v>
      </c>
      <c r="E6" s="1962"/>
    </row>
    <row r="7" spans="1:5" ht="15.75">
      <c r="A7" s="1962"/>
      <c r="B7" s="2976"/>
      <c r="C7" s="1966" t="s">
        <v>1625</v>
      </c>
      <c r="D7" s="1044">
        <f ca="1">结果表!H102</f>
        <v>14936</v>
      </c>
      <c r="E7" s="1962"/>
    </row>
    <row r="8" spans="1:5" ht="15.75">
      <c r="A8" s="1962"/>
      <c r="B8" s="2977" t="str">
        <f>结果表!E103</f>
        <v>2.估价师知悉的法定优先受偿款</v>
      </c>
      <c r="C8" s="1967" t="s">
        <v>1626</v>
      </c>
      <c r="D8" s="1044">
        <f>结果表!H103</f>
        <v>0</v>
      </c>
      <c r="E8" s="1962"/>
    </row>
    <row r="9" spans="1:5" ht="15.75">
      <c r="A9" s="1962"/>
      <c r="B9" s="297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0" t="str">
        <f>结果表!E107</f>
        <v>3.房地产抵押价值</v>
      </c>
      <c r="C13" s="1970" t="s">
        <v>1623</v>
      </c>
      <c r="D13" s="1046">
        <f ca="1">结果表!H107</f>
        <v>99991</v>
      </c>
      <c r="E13" s="1962"/>
    </row>
    <row r="14" spans="1:5" ht="15.75">
      <c r="A14" s="1962"/>
      <c r="B14" s="2971"/>
      <c r="C14" s="1965" t="s">
        <v>1624</v>
      </c>
      <c r="D14" s="1043" t="str">
        <f ca="1">NUMBERSTRING(INT(D13*10000),2)&amp;"元整"</f>
        <v>玖亿玖仟玖佰玖拾壹万元整</v>
      </c>
      <c r="E14" s="1962"/>
    </row>
    <row r="15" spans="1:5" ht="15">
      <c r="A15" s="1962"/>
      <c r="B15" s="2976"/>
      <c r="C15" s="1966" t="s">
        <v>1634</v>
      </c>
      <c r="D15" s="1055">
        <f ca="1">结果表!H108</f>
        <v>9285</v>
      </c>
      <c r="E15" s="1962"/>
    </row>
    <row r="16" spans="1:5" ht="15">
      <c r="A16" s="1962"/>
      <c r="B16" s="2977" t="str">
        <f>结果表!E109</f>
        <v>——</v>
      </c>
      <c r="C16" s="1970" t="s">
        <v>1635</v>
      </c>
      <c r="D16" s="1971" t="str">
        <f>结果表!H109</f>
        <v>——</v>
      </c>
      <c r="E16" s="1962"/>
    </row>
    <row r="17" spans="1:5" ht="15.75">
      <c r="A17" s="1962"/>
      <c r="B17" s="2978"/>
      <c r="C17" s="1965" t="s">
        <v>1636</v>
      </c>
      <c r="D17" s="1043" t="e">
        <f>NUMBERSTRING(INT(D16*10000),2)&amp;"元整"</f>
        <v>#VALUE!</v>
      </c>
      <c r="E17" s="1962"/>
    </row>
    <row r="18" spans="1:5" ht="15">
      <c r="A18" s="1962"/>
      <c r="B18" s="2979"/>
      <c r="C18" s="1966" t="s">
        <v>1625</v>
      </c>
      <c r="D18" s="1055" t="str">
        <f>结果表!H110</f>
        <v>——</v>
      </c>
      <c r="E18" s="1962"/>
    </row>
    <row r="19" spans="1:5" ht="15.75">
      <c r="A19" s="1962"/>
      <c r="B19" s="2970" t="str">
        <f>结果表!E111</f>
        <v>——</v>
      </c>
      <c r="C19" s="1970" t="s">
        <v>1623</v>
      </c>
      <c r="D19" s="1044" t="str">
        <f>结果表!H111</f>
        <v>——</v>
      </c>
      <c r="E19" s="1962"/>
    </row>
    <row r="20" spans="1:5" ht="15.75">
      <c r="A20" s="1962"/>
      <c r="B20" s="2971"/>
      <c r="C20" s="1965" t="s">
        <v>1636</v>
      </c>
      <c r="D20" s="1043" t="e">
        <f>NUMBERSTRING(INT(D19*10000),2)&amp;"元整"</f>
        <v>#VALUE!</v>
      </c>
      <c r="E20" s="1962"/>
    </row>
    <row r="21" spans="1:5" ht="15.75" thickBot="1">
      <c r="A21" s="1962"/>
      <c r="B21" s="297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1" t="s">
        <v>1151</v>
      </c>
      <c r="H1" s="3281"/>
      <c r="I1" s="3281"/>
      <c r="J1" s="3281"/>
      <c r="K1" s="3281"/>
      <c r="L1" s="3281"/>
      <c r="N1" s="3281" t="s">
        <v>1152</v>
      </c>
      <c r="O1" s="3281"/>
      <c r="P1" s="3281"/>
      <c r="Q1" s="3281"/>
      <c r="R1" s="1449"/>
      <c r="S1" s="3281" t="s">
        <v>1153</v>
      </c>
      <c r="T1" s="3281"/>
      <c r="U1" s="3281"/>
      <c r="V1" s="3281"/>
      <c r="X1" s="3280" t="s">
        <v>1154</v>
      </c>
      <c r="Y1" s="3281"/>
      <c r="Z1" s="3281"/>
      <c r="AA1" s="3281"/>
      <c r="AB1" s="3281"/>
      <c r="AD1" s="3280" t="s">
        <v>1155</v>
      </c>
      <c r="AE1" s="3281"/>
      <c r="AF1" s="3281"/>
      <c r="AG1" s="3281"/>
      <c r="AH1" s="328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39">
        <v>2018</v>
      </c>
      <c r="H5" s="1733">
        <v>3</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6"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7"/>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7"/>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24">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0"/>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9"/>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0"/>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1" t="s">
        <v>3007</v>
      </c>
      <c r="D1" s="3292"/>
      <c r="E1" s="3292"/>
      <c r="F1" s="3292"/>
      <c r="G1" s="3292"/>
      <c r="H1" s="3292"/>
      <c r="I1" s="3292"/>
      <c r="J1" s="3292"/>
      <c r="K1" s="3292"/>
      <c r="L1" s="3292"/>
      <c r="M1" s="3292"/>
      <c r="N1" s="3292"/>
      <c r="O1" s="3292"/>
      <c r="P1" s="3292"/>
      <c r="Q1" s="3292"/>
      <c r="R1" s="3292"/>
      <c r="S1" s="3293"/>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6"/>
      <c r="F20" s="1207" t="e">
        <f ca="1">SUMIF(INDIRECT("'"&amp;H20&amp;"'"&amp;"!A:A"),"承租人权益价值",INDIRECT("'"&amp;H20&amp;"'"&amp;"!c:c"))</f>
        <v>#REF!</v>
      </c>
      <c r="G20" s="1207"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70" t="s">
        <v>33</v>
      </c>
      <c r="D22" s="3071"/>
      <c r="E22" s="3071"/>
      <c r="F22" s="3071"/>
      <c r="G22" s="3071"/>
      <c r="H22" s="3071"/>
      <c r="I22" s="3071"/>
      <c r="J22" s="3071"/>
      <c r="K22" s="3071"/>
      <c r="L22" s="3071"/>
      <c r="M22" s="3071"/>
      <c r="N22" s="3071"/>
      <c r="O22" s="3071"/>
      <c r="P22" s="3071"/>
      <c r="Q22" s="3290"/>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62152</v>
      </c>
      <c r="C2" s="2" t="s">
        <v>133</v>
      </c>
      <c r="D2" s="243"/>
      <c r="E2" s="243"/>
      <c r="F2" s="243"/>
      <c r="G2" s="243"/>
    </row>
    <row r="3" spans="1:7" s="244" customFormat="1" ht="18" customHeight="1" thickBot="1">
      <c r="A3" s="247" t="s">
        <v>85</v>
      </c>
      <c r="B3" s="248">
        <f ca="1">ROUND(B2*10000/'数据-汇总表'!E3,0)</f>
        <v>5771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1071</v>
      </c>
      <c r="D9" s="1035">
        <f>'数据-汇总表'!E5</f>
        <v>66946.100000000006</v>
      </c>
      <c r="E9" s="269">
        <f>'数据-取费表'!B27</f>
        <v>160</v>
      </c>
      <c r="F9" s="265"/>
      <c r="G9" s="270"/>
    </row>
    <row r="10" spans="1:7" s="258" customFormat="1" ht="13.5" customHeight="1">
      <c r="A10" s="953" t="s">
        <v>801</v>
      </c>
      <c r="B10" s="268" t="s">
        <v>94</v>
      </c>
      <c r="C10" s="269">
        <f>ROUND(D10*E10/10000,0)</f>
        <v>815</v>
      </c>
      <c r="D10" s="1035">
        <f>'数据-汇总表'!E6</f>
        <v>40746.699999999997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1615</v>
      </c>
      <c r="D19" s="1039">
        <f>'数据-汇总表'!E3</f>
        <v>107692.8</v>
      </c>
      <c r="E19" s="255">
        <f>'数据-取费表'!B31</f>
        <v>150</v>
      </c>
      <c r="F19" s="275"/>
      <c r="G19" s="1" t="s">
        <v>1074</v>
      </c>
    </row>
    <row r="20" spans="1:7" s="258" customFormat="1" ht="13.5" customHeight="1">
      <c r="A20" s="951" t="s">
        <v>1057</v>
      </c>
      <c r="B20" s="254" t="s">
        <v>104</v>
      </c>
      <c r="C20" s="276">
        <f>ROUND((C5+C19)*F20,0)</f>
        <v>222</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1610</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116</v>
      </c>
      <c r="D24" s="282"/>
      <c r="E24" s="282"/>
      <c r="F24" s="283"/>
      <c r="G24" s="284" t="s">
        <v>109</v>
      </c>
    </row>
    <row r="25" spans="1:7" s="258" customFormat="1" ht="24">
      <c r="A25" s="954" t="s">
        <v>793</v>
      </c>
      <c r="B25" s="259" t="s">
        <v>1058</v>
      </c>
      <c r="C25" s="1358">
        <f ca="1">ROUND(IF('数据-取费表'!B22&lt;=1,C20*F22*'数据-取费表'!B23/2,C20*(POWER((1+F22),'数据-取费表'!B23/2)-1)),0)</f>
        <v>8</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673</v>
      </c>
      <c r="D27" s="279">
        <f>C29</f>
        <v>2.9999999999999997E-4</v>
      </c>
      <c r="E27" s="280" t="s">
        <v>126</v>
      </c>
      <c r="F27" s="290">
        <f>'数据-取费表'!Q16</f>
        <v>0.03</v>
      </c>
      <c r="G27" s="291" t="s">
        <v>1069</v>
      </c>
    </row>
    <row r="28" spans="1:7" s="258" customFormat="1" ht="13.5" customHeight="1">
      <c r="A28" s="954" t="s">
        <v>794</v>
      </c>
      <c r="B28" s="292" t="s">
        <v>1062</v>
      </c>
      <c r="C28" s="293">
        <f>ROUND((C5+C19+C20)*F27*'数据-取费表'!B21/'数据-取费表'!B20,0)</f>
        <v>673</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31133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27709</v>
      </c>
      <c r="D34" s="261"/>
      <c r="E34" s="264"/>
      <c r="F34" s="301">
        <f>IF('数据-取费表'!B24=0,1,'数据-取费表'!N16)</f>
        <v>1</v>
      </c>
      <c r="G34" s="263" t="s">
        <v>116</v>
      </c>
    </row>
    <row r="35" spans="1:7" ht="13.5" customHeight="1">
      <c r="A35" s="954" t="s">
        <v>796</v>
      </c>
      <c r="B35" s="259" t="s">
        <v>60</v>
      </c>
      <c r="C35" s="264">
        <f>ROUND(C34*F35,0)</f>
        <v>831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562</v>
      </c>
      <c r="D36" s="264"/>
      <c r="E36" s="264"/>
      <c r="F36" s="303">
        <f>'数据-取费表'!B34</f>
        <v>0.03</v>
      </c>
      <c r="G36" s="304" t="s">
        <v>62</v>
      </c>
    </row>
    <row r="37" spans="1:7" s="302" customFormat="1" ht="13.5" customHeight="1">
      <c r="A37" s="954" t="s">
        <v>798</v>
      </c>
      <c r="B37" s="259" t="s">
        <v>118</v>
      </c>
      <c r="C37" s="293">
        <f>ROUND(E37*D37*F34/10000,0)</f>
        <v>1615</v>
      </c>
      <c r="D37" s="261">
        <f>'数据-汇总表'!E3</f>
        <v>107692.8</v>
      </c>
      <c r="E37" s="293">
        <f>'数据-取费表'!B35</f>
        <v>150</v>
      </c>
      <c r="F37" s="303"/>
      <c r="G37" s="305" t="s">
        <v>119</v>
      </c>
    </row>
    <row r="38" spans="1:7" ht="13.5" customHeight="1">
      <c r="A38" s="954" t="s">
        <v>799</v>
      </c>
      <c r="B38" s="259" t="s">
        <v>63</v>
      </c>
      <c r="C38" s="264">
        <f>ROUND(C34*F38,0)</f>
        <v>416</v>
      </c>
      <c r="D38" s="264"/>
      <c r="E38" s="264"/>
      <c r="F38" s="303">
        <f>'数据-取费表'!B36</f>
        <v>1.4999999999999999E-2</v>
      </c>
      <c r="G38" s="263" t="s">
        <v>117</v>
      </c>
    </row>
    <row r="39" spans="1:7" s="258" customFormat="1" ht="13.5" customHeight="1">
      <c r="A39" s="951" t="s">
        <v>783</v>
      </c>
      <c r="B39" s="254" t="s">
        <v>104</v>
      </c>
      <c r="C39" s="276">
        <f>ROUND(C33*F20,0)</f>
        <v>311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1114</v>
      </c>
      <c r="D41" s="279">
        <f ca="1">C44</f>
        <v>4.0000000000000002E-4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1103</v>
      </c>
      <c r="D42" s="282"/>
      <c r="E42" s="282"/>
      <c r="F42" s="283"/>
      <c r="G42" s="3198" t="s">
        <v>121</v>
      </c>
    </row>
    <row r="43" spans="1:7" ht="13.5" customHeight="1">
      <c r="A43" s="954" t="s">
        <v>792</v>
      </c>
      <c r="B43" s="259" t="s">
        <v>1064</v>
      </c>
      <c r="C43" s="282">
        <f ca="1">ROUND(IF('数据-取费表'!B22&lt;=1,C39*F22*'数据-取费表'!B21/2,C39*(POWER((1+F22),'数据-取费表'!B21/2)-1)),0)</f>
        <v>11</v>
      </c>
      <c r="D43" s="282"/>
      <c r="E43" s="282"/>
      <c r="F43" s="283"/>
      <c r="G43" s="3199"/>
    </row>
    <row r="44" spans="1:7" ht="13.5" customHeight="1">
      <c r="A44" s="954" t="s">
        <v>793</v>
      </c>
      <c r="B44" s="259" t="s">
        <v>1066</v>
      </c>
      <c r="C44" s="282">
        <f ca="1">ROUND(IF('数据-取费表'!B22&lt;=1,C40*F22*'数据-取费表'!B21/2,C40*(POWER((1+F22),'数据-取费表'!B21/2)-1)),4)</f>
        <v>4.0000000000000002E-4</v>
      </c>
      <c r="D44" s="282"/>
      <c r="E44" s="282"/>
      <c r="F44" s="283"/>
      <c r="G44" s="3200"/>
    </row>
    <row r="45" spans="1:7" s="258" customFormat="1" ht="13.5" customHeight="1">
      <c r="A45" s="951" t="s">
        <v>786</v>
      </c>
      <c r="B45" s="288" t="s">
        <v>112</v>
      </c>
      <c r="C45" s="289">
        <f>C46</f>
        <v>943</v>
      </c>
      <c r="D45" s="279">
        <f>C47</f>
        <v>2.9999999999999997E-4</v>
      </c>
      <c r="E45" s="280" t="s">
        <v>129</v>
      </c>
      <c r="F45" s="290"/>
      <c r="G45" s="291" t="s">
        <v>1072</v>
      </c>
    </row>
    <row r="46" spans="1:7" s="258" customFormat="1" ht="13.5" customHeight="1">
      <c r="A46" s="954" t="s">
        <v>794</v>
      </c>
      <c r="B46" s="292" t="s">
        <v>1065</v>
      </c>
      <c r="C46" s="293">
        <f>ROUND((C33+C39)*F27,0)</f>
        <v>943</v>
      </c>
      <c r="D46" s="307"/>
      <c r="E46" s="280"/>
      <c r="F46" s="290"/>
      <c r="G46" s="291"/>
    </row>
    <row r="47" spans="1:7" s="258" customFormat="1" ht="13.5" customHeight="1">
      <c r="A47" s="954" t="s">
        <v>792</v>
      </c>
      <c r="B47" s="292" t="s">
        <v>1067</v>
      </c>
      <c r="C47" s="282">
        <f>ROUND(C40*F27,4)</f>
        <v>2.9999999999999997E-4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35757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35757</v>
      </c>
      <c r="D51" s="276"/>
      <c r="E51" s="276"/>
      <c r="F51" s="308"/>
      <c r="G51" s="278" t="s">
        <v>64</v>
      </c>
    </row>
    <row r="52" spans="1:7" s="252" customFormat="1" ht="16.5" thickBot="1">
      <c r="A52" s="309" t="s">
        <v>65</v>
      </c>
      <c r="B52" s="310"/>
      <c r="C52" s="311">
        <f ca="1">C31+C51</f>
        <v>62152</v>
      </c>
      <c r="D52" s="310"/>
      <c r="E52" s="310"/>
      <c r="F52" s="310"/>
      <c r="G52" s="312"/>
    </row>
    <row r="55" spans="1:7" ht="15">
      <c r="B55" s="314" t="s">
        <v>66</v>
      </c>
      <c r="C55" s="315"/>
    </row>
    <row r="56" spans="1:7">
      <c r="B56" s="317" t="s">
        <v>67</v>
      </c>
      <c r="C56" s="318">
        <f ca="1">ROUND(C51/C52,3)</f>
        <v>0.57499999999999996</v>
      </c>
    </row>
    <row r="57" spans="1:7">
      <c r="B57" s="317" t="s">
        <v>68</v>
      </c>
      <c r="C57" s="319">
        <f ca="1">1-C56</f>
        <v>0.42500000000000004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43341</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topLeftCell="S1" workbookViewId="0">
      <selection activeCell="AB4" sqref="AB2:AB4"/>
    </sheetView>
  </sheetViews>
  <sheetFormatPr defaultRowHeight="13.5"/>
  <cols>
    <col min="5" max="5" width="0" hidden="1" customWidth="1"/>
    <col min="13" max="13" width="0" hidden="1" customWidth="1"/>
    <col min="16" max="18" width="0" hidden="1" customWidth="1"/>
    <col min="19" max="19" width="80.75" customWidth="1"/>
    <col min="24" max="24" width="11.25" customWidth="1"/>
  </cols>
  <sheetData>
    <row r="1" spans="1:30" s="1638" customFormat="1">
      <c r="A1" s="1638" t="s">
        <v>3096</v>
      </c>
      <c r="B1" s="1638" t="s">
        <v>3097</v>
      </c>
      <c r="C1" s="1638" t="s">
        <v>3098</v>
      </c>
      <c r="D1" s="1638" t="s">
        <v>3099</v>
      </c>
      <c r="E1" s="1638" t="s">
        <v>3100</v>
      </c>
      <c r="F1" s="1638" t="s">
        <v>3101</v>
      </c>
      <c r="G1" s="1638" t="s">
        <v>3102</v>
      </c>
      <c r="H1" s="1638" t="s">
        <v>3103</v>
      </c>
      <c r="I1" s="1638" t="s">
        <v>3104</v>
      </c>
      <c r="J1" s="1638" t="s">
        <v>3105</v>
      </c>
      <c r="K1" s="1638" t="s">
        <v>3106</v>
      </c>
      <c r="L1" s="1638" t="s">
        <v>3107</v>
      </c>
      <c r="M1" s="1638" t="s">
        <v>3108</v>
      </c>
      <c r="N1" s="1638" t="s">
        <v>3109</v>
      </c>
      <c r="O1" s="1638" t="s">
        <v>3110</v>
      </c>
      <c r="P1" s="1638" t="s">
        <v>3111</v>
      </c>
      <c r="Q1" s="1638" t="s">
        <v>3112</v>
      </c>
      <c r="R1" s="1638" t="s">
        <v>3113</v>
      </c>
      <c r="S1" s="1638" t="s">
        <v>3114</v>
      </c>
      <c r="T1" s="1638" t="s">
        <v>3115</v>
      </c>
      <c r="U1" s="1638" t="s">
        <v>3116</v>
      </c>
      <c r="V1" s="1638" t="s">
        <v>3117</v>
      </c>
      <c r="W1" s="1638" t="s">
        <v>3118</v>
      </c>
      <c r="X1" s="1638" t="s">
        <v>3119</v>
      </c>
      <c r="Y1" s="1638" t="s">
        <v>3120</v>
      </c>
      <c r="Z1" s="1638" t="s">
        <v>3121</v>
      </c>
      <c r="AA1" s="1638" t="s">
        <v>3122</v>
      </c>
      <c r="AB1" s="1638" t="s">
        <v>3123</v>
      </c>
      <c r="AC1" s="1638" t="s">
        <v>3124</v>
      </c>
      <c r="AD1" s="1638" t="s">
        <v>3125</v>
      </c>
    </row>
    <row r="2" spans="1:30" s="2945" customFormat="1">
      <c r="A2" s="2945" t="s">
        <v>3126</v>
      </c>
      <c r="B2" s="2945" t="s">
        <v>3050</v>
      </c>
      <c r="C2" s="2945" t="s">
        <v>3127</v>
      </c>
      <c r="D2" s="2945" t="s">
        <v>3128</v>
      </c>
      <c r="E2" s="2945" t="s">
        <v>1331</v>
      </c>
      <c r="F2" s="2945" t="s">
        <v>3129</v>
      </c>
      <c r="G2" s="2945" t="s">
        <v>3130</v>
      </c>
      <c r="H2" s="2945" t="s">
        <v>3131</v>
      </c>
      <c r="I2" s="2945" t="s">
        <v>3132</v>
      </c>
      <c r="J2" s="2945">
        <v>81664.259999999995</v>
      </c>
      <c r="K2" s="2945">
        <v>97997</v>
      </c>
      <c r="L2" s="2945">
        <v>1.2</v>
      </c>
      <c r="M2" s="2945" t="s">
        <v>1331</v>
      </c>
      <c r="N2" s="2945" t="s">
        <v>3133</v>
      </c>
      <c r="O2" s="2945" t="s">
        <v>3134</v>
      </c>
      <c r="P2" s="2945" t="s">
        <v>1331</v>
      </c>
      <c r="Q2" s="2945" t="s">
        <v>1331</v>
      </c>
      <c r="R2" s="2945" t="s">
        <v>1331</v>
      </c>
      <c r="S2" s="2945" t="s">
        <v>3135</v>
      </c>
      <c r="T2" s="2945" t="s">
        <v>3136</v>
      </c>
      <c r="U2" s="2945" t="s">
        <v>3136</v>
      </c>
      <c r="V2" s="2945" t="s">
        <v>1331</v>
      </c>
      <c r="W2" s="2945" t="s">
        <v>3137</v>
      </c>
      <c r="X2" s="2945" t="s">
        <v>3138</v>
      </c>
      <c r="Y2" s="2945" t="s">
        <v>3139</v>
      </c>
      <c r="Z2" s="2945">
        <v>125000</v>
      </c>
      <c r="AA2" s="2945">
        <v>1020.44</v>
      </c>
      <c r="AB2" s="2945">
        <v>12755.48</v>
      </c>
      <c r="AC2" s="2945" t="s">
        <v>1331</v>
      </c>
      <c r="AD2" s="2945">
        <v>38.89</v>
      </c>
    </row>
    <row r="3" spans="1:30" s="2945" customFormat="1">
      <c r="A3" s="2945" t="s">
        <v>3140</v>
      </c>
      <c r="B3" s="2945" t="s">
        <v>3050</v>
      </c>
      <c r="C3" s="2945" t="s">
        <v>3141</v>
      </c>
      <c r="D3" s="2945" t="s">
        <v>3128</v>
      </c>
      <c r="E3" s="2945" t="s">
        <v>1331</v>
      </c>
      <c r="F3" s="2945" t="s">
        <v>3142</v>
      </c>
      <c r="G3" s="2945" t="s">
        <v>3130</v>
      </c>
      <c r="H3" s="2945" t="s">
        <v>3143</v>
      </c>
      <c r="I3" s="2945" t="s">
        <v>3144</v>
      </c>
      <c r="J3" s="2945">
        <v>65516.160000000003</v>
      </c>
      <c r="K3" s="2945">
        <v>163790</v>
      </c>
      <c r="L3" s="2945">
        <v>2.5</v>
      </c>
      <c r="M3" s="2945" t="s">
        <v>1331</v>
      </c>
      <c r="N3" s="2945" t="s">
        <v>3145</v>
      </c>
      <c r="O3" s="2945" t="s">
        <v>3146</v>
      </c>
      <c r="P3" s="2945" t="s">
        <v>1331</v>
      </c>
      <c r="Q3" s="2945" t="s">
        <v>1331</v>
      </c>
      <c r="R3" s="2945" t="s">
        <v>1331</v>
      </c>
      <c r="S3" s="2945" t="s">
        <v>3147</v>
      </c>
      <c r="T3" s="2945" t="s">
        <v>3136</v>
      </c>
      <c r="U3" s="2945" t="s">
        <v>3136</v>
      </c>
      <c r="V3" s="2945" t="s">
        <v>1331</v>
      </c>
      <c r="W3" s="2945" t="s">
        <v>3137</v>
      </c>
      <c r="X3" s="2945" t="s">
        <v>3148</v>
      </c>
      <c r="Y3" s="2945" t="s">
        <v>3149</v>
      </c>
      <c r="Z3" s="2945">
        <v>240000</v>
      </c>
      <c r="AA3" s="2945">
        <v>2442.15</v>
      </c>
      <c r="AB3" s="2945">
        <v>14652.9</v>
      </c>
      <c r="AC3" s="2945" t="s">
        <v>1331</v>
      </c>
      <c r="AD3" s="2945">
        <v>26.25</v>
      </c>
    </row>
    <row r="4" spans="1:30" s="2945" customFormat="1">
      <c r="A4" s="2960" t="s">
        <v>3220</v>
      </c>
      <c r="B4" s="2945" t="s">
        <v>3050</v>
      </c>
      <c r="C4" s="2945" t="s">
        <v>3141</v>
      </c>
      <c r="D4" s="2945" t="s">
        <v>3128</v>
      </c>
      <c r="E4" s="2945" t="s">
        <v>1331</v>
      </c>
      <c r="F4" s="2945" t="s">
        <v>3190</v>
      </c>
      <c r="G4" s="2945" t="s">
        <v>3130</v>
      </c>
      <c r="H4" s="2945" t="s">
        <v>3191</v>
      </c>
      <c r="I4" s="2945" t="s">
        <v>3144</v>
      </c>
      <c r="J4" s="2945">
        <v>39199.449999999997</v>
      </c>
      <c r="K4" s="2945">
        <v>97998</v>
      </c>
      <c r="L4" s="2945">
        <v>2.5</v>
      </c>
      <c r="M4" s="2945" t="s">
        <v>1331</v>
      </c>
      <c r="N4" s="2945" t="s">
        <v>3145</v>
      </c>
      <c r="O4" s="2945" t="s">
        <v>3192</v>
      </c>
      <c r="P4" s="2945" t="s">
        <v>1331</v>
      </c>
      <c r="Q4" s="2945" t="s">
        <v>1331</v>
      </c>
      <c r="R4" s="2945" t="s">
        <v>1331</v>
      </c>
      <c r="S4" s="2945" t="s">
        <v>3193</v>
      </c>
      <c r="T4" s="2945" t="s">
        <v>3136</v>
      </c>
      <c r="U4" s="2945" t="s">
        <v>3136</v>
      </c>
      <c r="V4" s="2945" t="s">
        <v>1331</v>
      </c>
      <c r="W4" s="2945" t="s">
        <v>3194</v>
      </c>
      <c r="X4" s="2945" t="s">
        <v>3195</v>
      </c>
      <c r="Y4" s="2945" t="s">
        <v>3196</v>
      </c>
      <c r="Z4" s="2945">
        <v>157000</v>
      </c>
      <c r="AA4" s="2945">
        <v>2670.11</v>
      </c>
      <c r="AB4" s="2945">
        <v>16020.73</v>
      </c>
      <c r="AC4" s="2945" t="s">
        <v>1331</v>
      </c>
      <c r="AD4" s="2945">
        <v>33.619999999999997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估价结果一览表</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在建建筑物价值</v>
      </c>
      <c r="G2" s="2981"/>
      <c r="H2" s="2981" t="str">
        <f>IF(项目基本情况!B9="房地产市场价值","房地产市场价值","房地产价值")</f>
        <v>房地产市场价值</v>
      </c>
      <c r="I2" s="2981"/>
    </row>
    <row r="3" spans="1:9" ht="15">
      <c r="A3" s="2982"/>
      <c r="B3" s="2982"/>
      <c r="C3" s="2982"/>
      <c r="D3" s="1047" t="s">
        <v>1638</v>
      </c>
      <c r="E3" s="1047" t="s">
        <v>1644</v>
      </c>
      <c r="F3" s="1047" t="s">
        <v>1638</v>
      </c>
      <c r="G3" s="1047" t="s">
        <v>1639</v>
      </c>
      <c r="H3" s="1047" t="s">
        <v>1638</v>
      </c>
      <c r="I3" s="1047" t="s">
        <v>1639</v>
      </c>
    </row>
    <row r="4" spans="1:9" ht="45">
      <c r="A4" s="1976" t="str">
        <f>项目基本情况!S2</f>
        <v>北京市通州区潞河镇（武夷花园东区）限价住宅及地下车库用房房地产市场价值房地产</v>
      </c>
      <c r="B4" s="1047">
        <f>项目基本情况!C17</f>
        <v>107692.8</v>
      </c>
      <c r="C4" s="1047">
        <f>项目基本情况!C18</f>
        <v>24664.240000000002</v>
      </c>
      <c r="D4" s="1047" t="e">
        <f ca="1">结果表!D118</f>
        <v>#REF!</v>
      </c>
      <c r="E4" s="1047" t="e">
        <f ca="1">结果表!E118</f>
        <v>#REF!</v>
      </c>
      <c r="F4" s="1047" t="e">
        <f ca="1">结果表!F118</f>
        <v>#REF!</v>
      </c>
      <c r="G4" s="1047" t="e">
        <f ca="1">结果表!G118</f>
        <v>#REF!</v>
      </c>
      <c r="H4" s="1047">
        <f ca="1">结果表!H118</f>
        <v>99991</v>
      </c>
      <c r="I4" s="1047">
        <f ca="1">结果表!I118</f>
        <v>14936</v>
      </c>
    </row>
    <row r="5" spans="1:9" ht="30" customHeight="1">
      <c r="A5" s="2982" t="s">
        <v>1640</v>
      </c>
      <c r="B5" s="2982"/>
      <c r="C5" s="2982"/>
      <c r="D5" s="2983" t="e">
        <f ca="1">结果表!D119</f>
        <v>#REF!</v>
      </c>
      <c r="E5" s="2983"/>
      <c r="F5" s="2983" t="e">
        <f ca="1">结果表!F119</f>
        <v>#REF!</v>
      </c>
      <c r="G5" s="2983"/>
      <c r="H5" s="2983" t="str">
        <f ca="1">结果表!H119</f>
        <v>玖亿玖仟玖佰玖拾壹万元整</v>
      </c>
      <c r="I5" s="2983"/>
    </row>
    <row r="6" spans="1:9" ht="15.75">
      <c r="A6" s="2984" t="str">
        <f>结果表!A120</f>
        <v/>
      </c>
      <c r="B6" s="2984"/>
      <c r="C6" s="2984"/>
      <c r="D6" s="2984">
        <f>结果表!D120</f>
        <v>0</v>
      </c>
      <c r="E6" s="2984"/>
      <c r="F6" s="2984"/>
      <c r="G6" s="2984"/>
      <c r="H6" s="2984"/>
      <c r="I6" s="2984"/>
    </row>
    <row r="7" spans="1:9" ht="15">
      <c r="A7" s="2982" t="s">
        <v>1640</v>
      </c>
      <c r="B7" s="2982"/>
      <c r="C7" s="2982"/>
      <c r="D7" s="2985" t="str">
        <f>结果表!D121</f>
        <v>零元整</v>
      </c>
      <c r="E7" s="2986"/>
      <c r="F7" s="2986"/>
      <c r="G7" s="2986"/>
      <c r="H7" s="2986"/>
      <c r="I7" s="2987"/>
    </row>
    <row r="8" spans="1:9" ht="15.75">
      <c r="A8" s="2984" t="str">
        <f>结果表!A122</f>
        <v/>
      </c>
      <c r="B8" s="2984"/>
      <c r="C8" s="2984"/>
      <c r="D8" s="2984">
        <f ca="1">结果表!D122</f>
        <v>99991</v>
      </c>
      <c r="E8" s="2984"/>
      <c r="F8" s="2984"/>
      <c r="G8" s="2984"/>
      <c r="H8" s="2984"/>
      <c r="I8" s="2984"/>
    </row>
    <row r="9" spans="1:9" ht="15">
      <c r="A9" s="2982" t="s">
        <v>1640</v>
      </c>
      <c r="B9" s="2982"/>
      <c r="C9" s="2982"/>
      <c r="D9" s="2983" t="str">
        <f ca="1">结果表!D123</f>
        <v>玖亿玖仟玖佰玖拾壹万元整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1640</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1640</v>
      </c>
      <c r="B13" s="2988"/>
      <c r="C13" s="2988"/>
      <c r="D13" s="2989" t="e">
        <f>结果表!D127</f>
        <v>#VALUE!</v>
      </c>
      <c r="E13" s="2989"/>
      <c r="F13" s="2989"/>
      <c r="G13" s="2989"/>
      <c r="H13" s="2989"/>
      <c r="I13" s="2989"/>
    </row>
    <row r="14" spans="1:9" ht="15" thickTop="1">
      <c r="A14" s="2990" t="s">
        <v>1645</v>
      </c>
      <c r="B14" s="2990"/>
      <c r="C14" s="2990"/>
      <c r="D14" s="2990"/>
      <c r="E14" s="2990"/>
      <c r="F14" s="2990"/>
      <c r="G14" s="2990"/>
      <c r="H14" s="2990"/>
      <c r="I14" s="299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1" t="s">
        <v>1662</v>
      </c>
      <c r="B1" s="2991"/>
      <c r="C1" s="2991"/>
      <c r="D1" s="2991"/>
    </row>
    <row r="2" spans="1:4" ht="18">
      <c r="A2" s="2992" t="s">
        <v>1646</v>
      </c>
      <c r="B2" s="2992"/>
      <c r="C2" s="2992"/>
      <c r="D2" s="2992"/>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崔锴</v>
      </c>
      <c r="B5" s="1982">
        <f ca="1">项目基本情况!E4</f>
        <v>1120100036</v>
      </c>
      <c r="C5" s="1985"/>
      <c r="D5" s="1984" t="s">
        <v>1651</v>
      </c>
    </row>
    <row r="6" spans="1:4" ht="18">
      <c r="A6" s="2992" t="s">
        <v>1652</v>
      </c>
      <c r="B6" s="2992"/>
      <c r="C6" s="2992"/>
      <c r="D6" s="299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3"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5"/>
      <c r="C12" s="2995"/>
      <c r="D12" s="2995"/>
    </row>
    <row r="13" spans="1:4" ht="30" customHeight="1">
      <c r="A13" s="2994" t="str">
        <f>IF(项目基本情况!B8="抵押","3.抵押双方在办理抵押登记手续时，应使用本公司出具的正式《房地产评估报告》，特提醒报告使用者注意。","——")</f>
        <v>——</v>
      </c>
      <c r="B13" s="2995"/>
      <c r="C13" s="2995"/>
      <c r="D13" s="2995"/>
    </row>
    <row r="14" spans="1:4" ht="15.75" customHeight="1">
      <c r="A14" s="2994" t="str">
        <f>IF(项目基本情况!B8="抵押","4.本次评估估价师所知悉的法定优先受偿款情况说明如下：","——")</f>
        <v>——</v>
      </c>
      <c r="B14" s="2995"/>
      <c r="C14" s="2995"/>
      <c r="D14" s="2995"/>
    </row>
    <row r="15" spans="1:4" ht="42" customHeight="1">
      <c r="A15" s="2994" t="str">
        <f>IF(项目基本情况!B8="抵押","（1）"&amp;CONCATENATE(项目基本情况!L20,项目基本情况!L21,项目基本情况!L22),"——")</f>
        <v>——</v>
      </c>
      <c r="B15" s="2994"/>
      <c r="C15" s="2994"/>
      <c r="D15" s="2994"/>
    </row>
    <row r="16" spans="1:4" ht="30" customHeight="1">
      <c r="A16" s="2997" t="s">
        <v>1656</v>
      </c>
      <c r="B16" s="2997"/>
      <c r="C16" s="2997"/>
      <c r="D16" s="2997"/>
    </row>
    <row r="17" spans="1:4" ht="144" customHeight="1">
      <c r="A17" s="2997" t="s">
        <v>1657</v>
      </c>
      <c r="B17" s="2997"/>
      <c r="C17" s="2997"/>
      <c r="D17" s="2997"/>
    </row>
    <row r="18" spans="1:4" ht="15.75" customHeight="1">
      <c r="A18" s="2994" t="str">
        <f>IF(项目基本情况!B8="抵押",结果表!K120,"——")</f>
        <v>——</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1658</v>
      </c>
      <c r="B22" s="2999"/>
      <c r="C22" s="2999"/>
      <c r="D22" s="299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5" t="s">
        <v>1669</v>
      </c>
      <c r="B15" s="3000" t="s">
        <v>136</v>
      </c>
      <c r="C15" s="3001"/>
    </row>
    <row r="16" spans="1:7" ht="13.5">
      <c r="A16" s="3006"/>
      <c r="B16" s="3000" t="s">
        <v>69</v>
      </c>
      <c r="C16" s="3001"/>
    </row>
    <row r="17" spans="1:3" ht="13.5">
      <c r="A17" s="3006"/>
      <c r="B17" s="3003" t="s">
        <v>1670</v>
      </c>
      <c r="C17" s="2003" t="s">
        <v>1669</v>
      </c>
    </row>
    <row r="18" spans="1:3" ht="13.5">
      <c r="A18" s="3006"/>
      <c r="B18" s="3003"/>
      <c r="C18" s="2003" t="s">
        <v>1671</v>
      </c>
    </row>
    <row r="19" spans="1:3" ht="13.5">
      <c r="A19" s="3006"/>
      <c r="B19" s="3003"/>
      <c r="C19" s="2003" t="s">
        <v>1672</v>
      </c>
    </row>
    <row r="20" spans="1:3" ht="13.5">
      <c r="A20" s="3007"/>
      <c r="B20" s="3002" t="s">
        <v>1673</v>
      </c>
      <c r="C20" s="3001"/>
    </row>
    <row r="21" spans="1:3" ht="13.5">
      <c r="A21" s="2004" t="s">
        <v>1674</v>
      </c>
      <c r="B21" s="2005"/>
      <c r="C21" s="2006"/>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2003" t="s">
        <v>1680</v>
      </c>
    </row>
    <row r="26" spans="1:3" ht="13.5">
      <c r="A26" s="3004"/>
      <c r="B26" s="3003"/>
      <c r="C26" s="2003" t="s">
        <v>1681</v>
      </c>
    </row>
    <row r="27" spans="1:3" ht="13.5">
      <c r="A27" s="3004"/>
      <c r="B27" s="3003"/>
      <c r="C27" s="2003" t="s">
        <v>1682</v>
      </c>
    </row>
    <row r="28" spans="1:3" ht="13.5">
      <c r="A28" s="3004"/>
      <c r="B28" s="3003"/>
      <c r="C28" s="2003" t="s">
        <v>1683</v>
      </c>
    </row>
    <row r="29" spans="1:3" ht="13.5">
      <c r="A29" s="3004"/>
      <c r="B29" s="3003"/>
      <c r="C29" s="2003" t="s">
        <v>1684</v>
      </c>
    </row>
    <row r="30" spans="1:3" ht="13.5">
      <c r="A30" s="3004"/>
      <c r="B30" s="3003"/>
      <c r="C30" s="2003" t="s">
        <v>1685</v>
      </c>
    </row>
    <row r="31" spans="1:3" ht="13.5">
      <c r="A31" s="3004"/>
      <c r="B31" s="3003"/>
      <c r="C31" s="2003" t="s">
        <v>1686</v>
      </c>
    </row>
    <row r="32" spans="1:3" ht="13.5">
      <c r="A32" s="3004"/>
      <c r="B32" s="3003"/>
      <c r="C32" s="2003" t="s">
        <v>1687</v>
      </c>
    </row>
    <row r="33" spans="1:3" ht="13.5">
      <c r="A33" s="3004"/>
      <c r="B33" s="300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43343</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3045</v>
      </c>
      <c r="B12" s="1025">
        <v>1120110054</v>
      </c>
      <c r="C12" s="2938">
        <v>43937</v>
      </c>
      <c r="D12" s="1705" t="s">
        <v>3045</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38">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8" t="s">
        <v>846</v>
      </c>
      <c r="B25" s="3008"/>
      <c r="C25" s="3008"/>
      <c r="D25" s="3008"/>
      <c r="E25" s="3008"/>
      <c r="F25" s="3008"/>
      <c r="G25" s="3008"/>
    </row>
    <row r="26" spans="1:7" s="1028" customFormat="1" ht="24" customHeight="1">
      <c r="A26" s="3009" t="s">
        <v>847</v>
      </c>
      <c r="B26" s="3009"/>
      <c r="C26" s="3010"/>
      <c r="D26" s="3011" t="s">
        <v>848</v>
      </c>
      <c r="E26" s="3009"/>
      <c r="F26" s="3009"/>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比较法-住宅</vt:lpstr>
      <vt:lpstr>成本法车库</vt:lpstr>
      <vt:lpstr>成本法仓储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2018-08-31T07:13:46Z</dcterms:modified>
</cp:coreProperties>
</file>