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工行版2018.5.17\"/>
    </mc:Choice>
  </mc:AlternateContent>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8" i="9" l="1"/>
  <c r="E37" i="9"/>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I7"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B118" i="46" s="1"/>
  <c r="C118" i="46" s="1"/>
  <c r="C45" i="40"/>
  <c r="C44" i="40"/>
  <c r="E104" i="46"/>
  <c r="E103" i="46"/>
  <c r="E102" i="46"/>
  <c r="E107" i="46"/>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I116" i="46"/>
  <c r="J116" i="46" s="1"/>
  <c r="K116" i="46" s="1"/>
  <c r="L116" i="46" s="1"/>
  <c r="M116"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G35" i="9" s="1"/>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I117" i="46" l="1"/>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F9" i="69"/>
  <c r="M6" i="68"/>
  <c r="M27" i="68"/>
  <c r="I4" i="65"/>
  <c r="F8" i="44"/>
  <c r="E12" i="67"/>
  <c r="M23" i="44"/>
  <c r="M24" i="69"/>
  <c r="J36" i="15"/>
  <c r="F26" i="69"/>
  <c r="N4" i="65"/>
  <c r="M22" i="68"/>
  <c r="J7" i="65"/>
  <c r="M23" i="15"/>
  <c r="F12" i="67"/>
  <c r="F6" i="15"/>
  <c r="I3" i="65"/>
  <c r="J4" i="65"/>
  <c r="F13" i="69"/>
  <c r="I6" i="65"/>
  <c r="J15" i="68"/>
  <c r="N5" i="65"/>
  <c r="F9" i="44"/>
  <c r="B11" i="67"/>
  <c r="F9" i="15"/>
  <c r="M29" i="68"/>
  <c r="F40" i="44"/>
  <c r="F38" i="69"/>
  <c r="F26" i="15"/>
  <c r="M23" i="68"/>
  <c r="N3" i="65"/>
  <c r="F45" i="44"/>
  <c r="L47" i="15"/>
  <c r="J15" i="69"/>
  <c r="C19" i="44"/>
  <c r="F8" i="67"/>
  <c r="E10" i="67"/>
  <c r="M9" i="15"/>
  <c r="M28" i="15"/>
  <c r="F38" i="15"/>
  <c r="F36" i="69"/>
  <c r="F40" i="15"/>
  <c r="F43" i="68"/>
  <c r="L47" i="69"/>
  <c r="F9" i="67"/>
  <c r="M29" i="44"/>
  <c r="M23" i="69"/>
  <c r="L49" i="44"/>
  <c r="F13" i="68"/>
  <c r="F11" i="44"/>
  <c r="M6" i="15"/>
  <c r="F36" i="68"/>
  <c r="M29" i="69"/>
  <c r="F10" i="67"/>
  <c r="F10" i="44"/>
  <c r="J36" i="68"/>
  <c r="F43" i="44"/>
  <c r="L47" i="68"/>
  <c r="M26" i="68"/>
  <c r="F6" i="69"/>
  <c r="F37" i="68"/>
  <c r="M26" i="69"/>
  <c r="E14" i="67"/>
  <c r="F28" i="44"/>
  <c r="F18" i="44"/>
  <c r="F43" i="69"/>
  <c r="M24" i="15"/>
  <c r="M9" i="69"/>
  <c r="M28" i="68"/>
  <c r="M22" i="15"/>
  <c r="M27" i="15"/>
  <c r="M24" i="44"/>
  <c r="F8" i="68"/>
  <c r="F16" i="69"/>
  <c r="E9" i="67"/>
  <c r="J17" i="44"/>
  <c r="F42" i="68"/>
  <c r="L48" i="44"/>
  <c r="F37" i="69"/>
  <c r="E13" i="67"/>
  <c r="F37" i="44"/>
  <c r="F7" i="68"/>
  <c r="L48" i="68"/>
  <c r="B13" i="67"/>
  <c r="F39" i="44"/>
  <c r="M28" i="69"/>
  <c r="M8" i="44"/>
  <c r="M6" i="69"/>
  <c r="F26" i="68"/>
  <c r="F8" i="15"/>
  <c r="F9" i="68"/>
  <c r="M9" i="68"/>
  <c r="B12" i="67"/>
  <c r="M26" i="15"/>
  <c r="M27" i="69"/>
  <c r="M28" i="44"/>
  <c r="F6" i="68"/>
  <c r="J6" i="65"/>
  <c r="F16" i="15"/>
  <c r="F16" i="68"/>
  <c r="J36" i="69"/>
  <c r="F13" i="67"/>
  <c r="M10" i="44"/>
  <c r="M22" i="69"/>
  <c r="F38" i="68"/>
  <c r="B9" i="67"/>
  <c r="B8" i="67"/>
  <c r="B14" i="67"/>
  <c r="F7" i="69"/>
  <c r="F14" i="67"/>
  <c r="F40" i="69"/>
  <c r="F15" i="44"/>
  <c r="F46" i="44"/>
  <c r="F42" i="69"/>
  <c r="F36" i="15"/>
  <c r="M24" i="68"/>
  <c r="N6" i="65"/>
  <c r="I5" i="65"/>
  <c r="I7" i="65"/>
  <c r="M8" i="15"/>
  <c r="F11" i="67"/>
  <c r="M30" i="44"/>
  <c r="L48" i="69"/>
  <c r="F37" i="15"/>
  <c r="E8" i="67"/>
  <c r="J3" i="65"/>
  <c r="F13" i="15"/>
  <c r="J5" i="65"/>
  <c r="M26" i="44"/>
  <c r="M8" i="69"/>
  <c r="E11" i="67"/>
  <c r="F42" i="15"/>
  <c r="M8" i="68"/>
  <c r="F40" i="68"/>
  <c r="N7" i="65"/>
  <c r="F8" i="69"/>
  <c r="M31" i="44"/>
  <c r="L48" i="15"/>
  <c r="M11" i="44"/>
  <c r="F38" i="44"/>
  <c r="J15" i="15"/>
  <c r="B10" i="67"/>
  <c r="M25" i="44"/>
  <c r="M29" i="15"/>
  <c r="F7" i="15"/>
  <c r="F43" i="15"/>
  <c r="J53" i="15" l="1"/>
  <c r="L57" i="15"/>
  <c r="J60" i="15"/>
  <c r="Q49" i="15" s="1"/>
  <c r="I54" i="15"/>
  <c r="L56" i="15"/>
  <c r="L60" i="15"/>
  <c r="Q58" i="15" s="1"/>
  <c r="J59" i="15"/>
  <c r="J57" i="15"/>
  <c r="J55" i="15" s="1"/>
  <c r="J58" i="15" s="1"/>
  <c r="Q51" i="15" s="1"/>
  <c r="F50" i="69"/>
  <c r="F67" i="68"/>
  <c r="J1" i="65"/>
  <c r="F64" i="15"/>
  <c r="J53" i="69"/>
  <c r="L60" i="69"/>
  <c r="L57" i="69"/>
  <c r="J57" i="69"/>
  <c r="J55" i="69" s="1"/>
  <c r="J58" i="69" s="1"/>
  <c r="Q51" i="69" s="1"/>
  <c r="J60" i="69"/>
  <c r="Q49" i="69" s="1"/>
  <c r="L56" i="69"/>
  <c r="J59" i="69"/>
  <c r="I54" i="69"/>
  <c r="F63" i="15"/>
  <c r="F67" i="69"/>
  <c r="M7" i="69"/>
  <c r="J6" i="69" s="1"/>
  <c r="F49" i="69"/>
  <c r="F65" i="68"/>
  <c r="Q72" i="69"/>
  <c r="C6" i="68"/>
  <c r="F50" i="15"/>
  <c r="C27" i="68"/>
  <c r="J57" i="68"/>
  <c r="J55" i="68" s="1"/>
  <c r="J58" i="68" s="1"/>
  <c r="Q51" i="68" s="1"/>
  <c r="J59" i="68"/>
  <c r="L56" i="68"/>
  <c r="L57" i="68"/>
  <c r="J53" i="68"/>
  <c r="F1" i="68" s="1"/>
  <c r="I54" i="68"/>
  <c r="L60" i="68"/>
  <c r="J60" i="68"/>
  <c r="Q49" i="68" s="1"/>
  <c r="F49" i="68"/>
  <c r="M7" i="68"/>
  <c r="J6" i="68" s="1"/>
  <c r="C36" i="44"/>
  <c r="F64" i="69"/>
  <c r="L60" i="44"/>
  <c r="L59" i="44"/>
  <c r="Q75" i="44" s="1"/>
  <c r="F50" i="68"/>
  <c r="C48" i="68" s="1"/>
  <c r="F70" i="69"/>
  <c r="C29" i="44"/>
  <c r="F64" i="68"/>
  <c r="C6" i="69"/>
  <c r="L58" i="68"/>
  <c r="L59" i="68"/>
  <c r="Q75" i="68" s="1"/>
  <c r="Q73" i="44"/>
  <c r="Q72" i="68"/>
  <c r="F63" i="68"/>
  <c r="J54" i="44"/>
  <c r="I55" i="44"/>
  <c r="J58" i="44"/>
  <c r="J56" i="44" s="1"/>
  <c r="J59" i="44" s="1"/>
  <c r="Q52" i="44" s="1"/>
  <c r="J60" i="44"/>
  <c r="L57" i="44"/>
  <c r="J61" i="44"/>
  <c r="Q50" i="44" s="1"/>
  <c r="L47" i="44"/>
  <c r="L58" i="69"/>
  <c r="L59" i="69"/>
  <c r="Q62" i="69" s="1"/>
  <c r="F70" i="68"/>
  <c r="F67" i="15"/>
  <c r="F63" i="69"/>
  <c r="F65" i="15"/>
  <c r="L59" i="15"/>
  <c r="L58" i="15"/>
  <c r="Q74" i="15" s="1"/>
  <c r="C27" i="15"/>
  <c r="F65" i="69"/>
  <c r="M9" i="44"/>
  <c r="J8" i="44" s="1"/>
  <c r="I1" i="65"/>
  <c r="C4" i="65"/>
  <c r="B39" i="1" s="1"/>
  <c r="C27" i="69"/>
  <c r="Q72" i="15"/>
  <c r="J22" i="44"/>
  <c r="C8" i="44"/>
  <c r="E20" i="46"/>
  <c r="N17" i="46" s="1"/>
  <c r="Q62" i="44"/>
  <c r="Q67" i="15"/>
  <c r="R39" i="35"/>
  <c r="C38" i="35" s="1"/>
  <c r="I43" i="35"/>
  <c r="J43" i="35" s="1"/>
  <c r="I42" i="35"/>
  <c r="J42" i="35" s="1"/>
  <c r="E43" i="35"/>
  <c r="F43" i="35" s="1"/>
  <c r="G43" i="35"/>
  <c r="H43" i="35" s="1"/>
  <c r="C6" i="15"/>
  <c r="M7" i="15"/>
  <c r="J6" i="15" s="1"/>
  <c r="F49" i="15"/>
  <c r="C48" i="15" s="1"/>
  <c r="F70" i="15"/>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E3" i="65"/>
  <c r="C16" i="68"/>
  <c r="AE9" i="1"/>
  <c r="C16" i="69"/>
  <c r="E2" i="65"/>
  <c r="C18" i="44"/>
  <c r="C16" i="15"/>
  <c r="F41" i="68"/>
  <c r="F7" i="67"/>
  <c r="M17" i="46" l="1"/>
  <c r="P17" i="46"/>
  <c r="Q53" i="68"/>
  <c r="Q62" i="68"/>
  <c r="B40" i="1"/>
  <c r="F26" i="44" s="1"/>
  <c r="C26" i="44" s="1"/>
  <c r="F17" i="11"/>
  <c r="C17" i="11" s="1"/>
  <c r="O17" i="46"/>
  <c r="Q75" i="69"/>
  <c r="Q61" i="15"/>
  <c r="F11" i="15"/>
  <c r="C52" i="15" s="1"/>
  <c r="C47" i="15" s="1"/>
  <c r="M11" i="69"/>
  <c r="J10" i="69" s="1"/>
  <c r="J5" i="69" s="1"/>
  <c r="M11" i="15"/>
  <c r="J10" i="15" s="1"/>
  <c r="F13" i="44"/>
  <c r="C12" i="44" s="1"/>
  <c r="C7" i="44" s="1"/>
  <c r="F11" i="69"/>
  <c r="F11" i="68"/>
  <c r="M11" i="68"/>
  <c r="J10" i="68" s="1"/>
  <c r="J5" i="68" s="1"/>
  <c r="M13" i="44"/>
  <c r="J12" i="44" s="1"/>
  <c r="J7" i="44" s="1"/>
  <c r="Q75" i="15"/>
  <c r="Q62" i="15"/>
  <c r="Q74" i="69"/>
  <c r="Q61" i="69"/>
  <c r="Q74" i="68"/>
  <c r="Q61" i="68"/>
  <c r="Q67" i="69"/>
  <c r="Q58" i="69"/>
  <c r="J5" i="15"/>
  <c r="J26" i="15" s="1"/>
  <c r="F1" i="44"/>
  <c r="Q54" i="44"/>
  <c r="Q76" i="44"/>
  <c r="Q63" i="44"/>
  <c r="Q67" i="68"/>
  <c r="Q58" i="68"/>
  <c r="Q53" i="69"/>
  <c r="F1" i="69"/>
  <c r="C48" i="69"/>
  <c r="F1" i="15"/>
  <c r="Q53" i="15"/>
  <c r="J18" i="68"/>
  <c r="J26" i="69"/>
  <c r="F24" i="69"/>
  <c r="C24" i="69" s="1"/>
  <c r="C39" i="35"/>
  <c r="B3" i="35" s="1"/>
  <c r="B2" i="35" s="1"/>
  <c r="F68" i="68"/>
  <c r="J18" i="15"/>
  <c r="D30" i="6"/>
  <c r="E4" i="67"/>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C19" i="11" s="1"/>
  <c r="F24" i="43"/>
  <c r="C26" i="43" s="1"/>
  <c r="D24" i="43" s="1"/>
  <c r="C26" i="46"/>
  <c r="J24" i="15"/>
  <c r="I5" i="6"/>
  <c r="S6" i="1"/>
  <c r="K27" i="6"/>
  <c r="M19" i="6"/>
  <c r="H23" i="6"/>
  <c r="R23" i="6" s="1"/>
  <c r="H25" i="6"/>
  <c r="R25" i="6" s="1"/>
  <c r="B3" i="40"/>
  <c r="B5" i="40"/>
  <c r="B4" i="40"/>
  <c r="A6" i="51"/>
  <c r="B7" i="63" s="1"/>
  <c r="A20" i="64"/>
  <c r="A20" i="51"/>
  <c r="B15" i="63" s="1"/>
  <c r="N5" i="54"/>
  <c r="B43" i="63" s="1"/>
  <c r="A6" i="64"/>
  <c r="H26" i="6"/>
  <c r="H24" i="6"/>
  <c r="R26" i="6"/>
  <c r="R24" i="6"/>
  <c r="C17" i="15"/>
  <c r="AE8" i="1"/>
  <c r="F41" i="69" s="1"/>
  <c r="AE7" i="1"/>
  <c r="F41" i="15" s="1"/>
  <c r="E7" i="67"/>
  <c r="C17" i="68"/>
  <c r="C17" i="69"/>
  <c r="J29" i="15" l="1"/>
  <c r="F68" i="15"/>
  <c r="F68" i="69"/>
  <c r="J29" i="69"/>
  <c r="C65" i="15"/>
  <c r="C59" i="15"/>
  <c r="J26" i="68"/>
  <c r="J29" i="68" s="1"/>
  <c r="J24" i="68"/>
  <c r="C52" i="69"/>
  <c r="C47" i="69" s="1"/>
  <c r="C10" i="69"/>
  <c r="C5" i="69" s="1"/>
  <c r="C10" i="15"/>
  <c r="C5" i="15" s="1"/>
  <c r="J28" i="44"/>
  <c r="J31" i="44" s="1"/>
  <c r="J20" i="44"/>
  <c r="J26" i="44"/>
  <c r="C52" i="68"/>
  <c r="C47" i="68" s="1"/>
  <c r="C10" i="68"/>
  <c r="C5" i="68" s="1"/>
  <c r="C34" i="44"/>
  <c r="C40" i="44"/>
  <c r="J24" i="69"/>
  <c r="J18" i="69"/>
  <c r="F24" i="68"/>
  <c r="C24" i="68" s="1"/>
  <c r="F24" i="15"/>
  <c r="C24" i="15" s="1"/>
  <c r="F21" i="43"/>
  <c r="C23" i="43" s="1"/>
  <c r="D21" i="43" s="1"/>
  <c r="F26" i="12"/>
  <c r="C27" i="12" s="1"/>
  <c r="D26" i="12" s="1"/>
  <c r="C32" i="12" s="1"/>
  <c r="D30" i="12" s="1"/>
  <c r="E3" i="67"/>
  <c r="B2" i="46"/>
  <c r="C20" i="11"/>
  <c r="C21" i="11" s="1"/>
  <c r="C22" i="11" s="1"/>
  <c r="C23" i="11" s="1"/>
  <c r="B2" i="11" s="1"/>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F35" i="68"/>
  <c r="F35" i="15"/>
  <c r="M21" i="69"/>
  <c r="B7" i="67"/>
  <c r="L52" i="44"/>
  <c r="M21" i="15"/>
  <c r="M21" i="68"/>
  <c r="F35" i="69"/>
  <c r="L58" i="44" l="1"/>
  <c r="L61" i="44" s="1"/>
  <c r="Q69" i="44"/>
  <c r="C32" i="68"/>
  <c r="C38" i="68"/>
  <c r="Q58" i="44"/>
  <c r="Q67" i="44"/>
  <c r="Q49" i="44"/>
  <c r="Q55" i="44" s="1"/>
  <c r="C32" i="69"/>
  <c r="C38" i="69"/>
  <c r="C65" i="68"/>
  <c r="C59" i="68"/>
  <c r="C32" i="15"/>
  <c r="C38" i="15"/>
  <c r="C59" i="69"/>
  <c r="C65" i="69"/>
  <c r="C18" i="12"/>
  <c r="C23" i="12" s="1"/>
  <c r="F62" i="69"/>
  <c r="C61" i="69" s="1"/>
  <c r="C34" i="69"/>
  <c r="J20" i="69"/>
  <c r="B2" i="67"/>
  <c r="C34" i="15"/>
  <c r="F62" i="15"/>
  <c r="C61" i="15" s="1"/>
  <c r="J20" i="15"/>
  <c r="J20" i="68"/>
  <c r="C34" i="68"/>
  <c r="F62" i="68"/>
  <c r="C61" i="68" s="1"/>
  <c r="B3" i="11"/>
  <c r="B4" i="11"/>
  <c r="B5"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C16" i="44"/>
  <c r="C14" i="68"/>
  <c r="C14" i="15"/>
  <c r="C14" i="69"/>
  <c r="Q59" i="44" l="1"/>
  <c r="Q64" i="44" s="1"/>
  <c r="Q68" i="44"/>
  <c r="Q77" i="44" s="1"/>
  <c r="C18" i="43"/>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C19" i="68" l="1"/>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C28" i="44" l="1"/>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C20" i="9"/>
  <c r="C21" i="9"/>
  <c r="L51" i="69"/>
  <c r="L51" i="15"/>
  <c r="L51" i="68"/>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0" i="9"/>
  <c r="D21" i="9"/>
  <c r="C32" i="9" l="1"/>
  <c r="O38" i="9" s="1"/>
  <c r="G22" i="9"/>
  <c r="N43" i="9"/>
  <c r="G20" i="9"/>
  <c r="G21" i="9"/>
  <c r="C33" i="9" l="1"/>
  <c r="N38" i="9" s="1"/>
  <c r="K28" i="9" s="1"/>
  <c r="C42" i="9"/>
  <c r="C44" i="9" s="1"/>
  <c r="O43" i="9"/>
  <c r="C34" i="9"/>
  <c r="M38" i="9" s="1"/>
  <c r="K27" i="9" s="1"/>
  <c r="C35" i="9"/>
  <c r="F42" i="9" s="1"/>
  <c r="E42" i="9"/>
  <c r="P5" i="54" s="1"/>
  <c r="B46" i="63" s="1"/>
  <c r="D42" i="9"/>
  <c r="Q5" i="54" s="1"/>
  <c r="B47" i="63" s="1"/>
  <c r="K26" i="9"/>
  <c r="K25" i="9"/>
  <c r="N68" i="9" l="1"/>
  <c r="D14" i="66"/>
  <c r="E14" i="66" s="1"/>
  <c r="R5" i="54"/>
  <c r="B48" i="63" s="1"/>
  <c r="D63" i="9"/>
  <c r="C96" i="9" s="1"/>
  <c r="C91" i="9" s="1"/>
  <c r="C82" i="9"/>
  <c r="C81" i="9" s="1"/>
  <c r="C85" i="9" s="1"/>
  <c r="C86" i="9" s="1"/>
  <c r="D72" i="9" s="1"/>
  <c r="D44" i="9"/>
  <c r="E44" i="9"/>
  <c r="G14" i="66"/>
  <c r="B6" i="66" s="1"/>
  <c r="F44" i="9"/>
  <c r="N69" i="9"/>
  <c r="O39" i="9"/>
  <c r="D70" i="9" l="1"/>
  <c r="D71" i="9"/>
  <c r="D66" i="9" s="1"/>
  <c r="N72" i="9" s="1"/>
  <c r="B5" i="66"/>
  <c r="C5" i="66" s="1"/>
  <c r="C103" i="9"/>
  <c r="C111" i="9"/>
  <c r="C104" i="9" s="1"/>
  <c r="C90" i="9"/>
  <c r="C97" i="9" s="1"/>
  <c r="C98" i="9" s="1"/>
  <c r="E98" i="9" s="1"/>
  <c r="E99" i="9" s="1"/>
  <c r="D77" i="9"/>
  <c r="N75" i="9" s="1"/>
  <c r="F14" i="66"/>
  <c r="M84" i="9"/>
  <c r="N84" i="9" s="1"/>
  <c r="M88" i="9"/>
  <c r="N88" i="9" s="1"/>
  <c r="M83" i="9"/>
  <c r="N83" i="9" s="1"/>
  <c r="M86" i="9"/>
  <c r="N86" i="9" s="1"/>
  <c r="M85" i="9"/>
  <c r="N85" i="9" s="1"/>
  <c r="M87" i="9"/>
  <c r="N87" i="9" s="1"/>
  <c r="D6" i="66"/>
  <c r="C6" i="66"/>
  <c r="R6" i="54"/>
  <c r="B50" i="63" s="1"/>
  <c r="K29" i="9"/>
  <c r="K30" i="9" s="1"/>
  <c r="D5" i="66"/>
  <c r="C113" i="9" l="1"/>
  <c r="C99" i="9"/>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<sst xmlns="http://schemas.openxmlformats.org/spreadsheetml/2006/main" count="8768" uniqueCount="3388">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</sst>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4" fillId="0" borderId="22"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43263</v>
      </c>
    </row>
    <row r="47" spans="1:2">
      <c r="A47" s="2788" t="s">
        <v>2685</v>
      </c>
      <c r="B47" s="2789">
        <f ca="1">'预评函-2'!Q5</f>
        <v>13707</v>
      </c>
    </row>
    <row r="48" spans="1:2">
      <c r="A48" s="2788" t="s">
        <v>2686</v>
      </c>
      <c r="B48" s="2789">
        <f ca="1">'预评函-2'!R5</f>
        <v>382756</v>
      </c>
    </row>
    <row r="49" spans="1:2">
      <c r="A49" s="2788" t="s">
        <v>2702</v>
      </c>
      <c r="B49" s="2789" t="str">
        <f>'预评函-2'!A6</f>
        <v>抵押价格</v>
      </c>
    </row>
    <row r="50" spans="1:2">
      <c r="A50" s="2788" t="s">
        <v>2687</v>
      </c>
      <c r="B50" s="2789">
        <f ca="1">'预评函-2'!R6</f>
        <v>378378</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综上，本次评估估价师知悉的法定优先受偿款为人民币4378万元整。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46"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47"/>
      <c r="D1" s="3247"/>
      <c r="E1" s="3247"/>
      <c r="F1" s="3247"/>
      <c r="G1" s="3247"/>
      <c r="H1" s="3247"/>
      <c r="I1" s="3248"/>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52"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53"/>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49" t="s">
        <v>2953</v>
      </c>
      <c r="C12" s="3250"/>
      <c r="D12" s="3251"/>
      <c r="E12" s="1596" t="s">
        <v>2023</v>
      </c>
      <c r="F12" s="3267" t="s">
        <v>2850</v>
      </c>
      <c r="G12" s="3268"/>
      <c r="H12" s="3268"/>
      <c r="I12" s="3269"/>
      <c r="J12" s="1591"/>
      <c r="K12" s="1671"/>
      <c r="L12" s="1620"/>
      <c r="M12" s="1620"/>
      <c r="N12" s="1591"/>
      <c r="O12" s="1592"/>
      <c r="P12" s="1591"/>
      <c r="Q12" s="1591"/>
      <c r="R12" s="1591"/>
      <c r="S12" s="1591"/>
      <c r="T12" s="1591"/>
      <c r="U12" s="1591"/>
    </row>
    <row r="13" spans="1:21">
      <c r="A13" s="1584" t="s">
        <v>2021</v>
      </c>
      <c r="B13" s="3249"/>
      <c r="C13" s="3250"/>
      <c r="D13" s="3251"/>
      <c r="E13" s="1596" t="s">
        <v>2023</v>
      </c>
      <c r="F13" s="3267" t="s">
        <v>2851</v>
      </c>
      <c r="G13" s="3268"/>
      <c r="H13" s="3268"/>
      <c r="I13" s="3269"/>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64"/>
      <c r="E20" s="3265"/>
      <c r="F20" s="3265"/>
      <c r="G20" s="3265"/>
      <c r="H20" s="3265"/>
      <c r="I20" s="3266"/>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54" t="s">
        <v>1960</v>
      </c>
      <c r="F21" s="3255"/>
      <c r="G21" s="3255"/>
      <c r="H21" s="3255"/>
      <c r="I21" s="3256"/>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54" t="s">
        <v>2852</v>
      </c>
      <c r="F22" s="3255"/>
      <c r="G22" s="3255"/>
      <c r="H22" s="3255"/>
      <c r="I22" s="3256"/>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57" t="s">
        <v>1928</v>
      </c>
      <c r="C24" s="3258"/>
      <c r="D24" s="3259" t="s">
        <v>1929</v>
      </c>
      <c r="E24" s="3260"/>
      <c r="F24" s="1605" t="s">
        <v>1930</v>
      </c>
      <c r="G24" s="1591"/>
      <c r="H24" s="1591"/>
      <c r="I24" s="1604"/>
      <c r="J24" s="1591"/>
      <c r="K24" s="3245"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45"/>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45"/>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31" t="s">
        <v>1963</v>
      </c>
      <c r="B31" s="1661" t="s">
        <v>1964</v>
      </c>
      <c r="C31" s="3270" t="s">
        <v>2958</v>
      </c>
      <c r="D31" s="3271"/>
      <c r="E31" s="1591"/>
      <c r="F31" s="1591"/>
      <c r="G31" s="1591"/>
      <c r="H31" s="1591"/>
      <c r="I31" s="1604"/>
      <c r="J31" s="1591"/>
      <c r="K31" s="2368"/>
      <c r="L31" s="1591"/>
      <c r="M31" s="1591"/>
      <c r="N31" s="1591"/>
      <c r="O31" s="1591"/>
      <c r="P31" s="1591"/>
      <c r="Q31" s="1591"/>
      <c r="R31" s="1591"/>
      <c r="S31" s="1591"/>
      <c r="T31" s="1591"/>
      <c r="U31" s="1591"/>
    </row>
    <row r="32" spans="1:21">
      <c r="A32" s="3231"/>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31"/>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32"/>
      <c r="B34" s="1558" t="s">
        <v>1967</v>
      </c>
      <c r="C34" s="3233" t="s">
        <v>2961</v>
      </c>
      <c r="D34" s="3234"/>
      <c r="E34" s="1591"/>
      <c r="F34" s="1591"/>
      <c r="G34" s="1591"/>
      <c r="H34" s="1591"/>
      <c r="I34" s="1604"/>
      <c r="J34" s="1591"/>
      <c r="K34" s="2368"/>
      <c r="L34" s="1591"/>
      <c r="M34" s="1591"/>
      <c r="N34" s="1591"/>
      <c r="O34" s="1591"/>
      <c r="P34" s="1591"/>
      <c r="Q34" s="1591"/>
      <c r="R34" s="1591"/>
      <c r="S34" s="1591"/>
      <c r="T34" s="1591"/>
      <c r="U34" s="1591"/>
    </row>
    <row r="35" spans="1:21">
      <c r="A35" s="3235" t="s">
        <v>807</v>
      </c>
      <c r="B35" s="1619" t="s">
        <v>2962</v>
      </c>
      <c r="C35" s="1673" t="str">
        <f>IF(B35="场地平整","——","具体情况：")</f>
        <v>——</v>
      </c>
      <c r="D35" s="3237"/>
      <c r="E35" s="3238"/>
      <c r="F35" s="3238"/>
      <c r="G35" s="3238"/>
      <c r="H35" s="3238"/>
      <c r="I35" s="3239"/>
      <c r="J35" s="1591"/>
      <c r="K35" s="1672"/>
      <c r="L35" s="1620"/>
      <c r="M35" s="1620"/>
      <c r="N35" s="1591"/>
      <c r="O35" s="1592"/>
      <c r="P35" s="1591"/>
      <c r="Q35" s="1591"/>
      <c r="R35" s="1591"/>
      <c r="S35" s="1591"/>
      <c r="T35" s="1591"/>
      <c r="U35" s="1591"/>
    </row>
    <row r="36" spans="1:21">
      <c r="A36" s="3231"/>
      <c r="B36" s="3240" t="s">
        <v>2016</v>
      </c>
      <c r="C36" s="3241"/>
      <c r="D36" s="1689"/>
      <c r="E36" s="3242"/>
      <c r="F36" s="3242"/>
      <c r="G36" s="1584" t="str">
        <f>IF(B35="场地未平整","估价结果处理","")</f>
        <v/>
      </c>
      <c r="H36" s="3243"/>
      <c r="I36" s="3243"/>
      <c r="J36" s="1591"/>
      <c r="K36" s="1672"/>
      <c r="L36" s="1620"/>
      <c r="M36" s="1620"/>
      <c r="N36" s="1591"/>
      <c r="O36" s="1592"/>
      <c r="P36" s="1591"/>
      <c r="Q36" s="1591"/>
      <c r="R36" s="1591"/>
      <c r="S36" s="1591"/>
      <c r="T36" s="1591"/>
      <c r="U36" s="1591"/>
    </row>
    <row r="37" spans="1:21" ht="28.5">
      <c r="A37" s="3231"/>
      <c r="B37" s="3261"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31"/>
      <c r="B38" s="3262"/>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32"/>
      <c r="B39" s="3263"/>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44" t="s">
        <v>1947</v>
      </c>
      <c r="T40" s="1628" t="str">
        <f>NUMBERSTRING(7-K40,1)&amp;"通"</f>
        <v>七通</v>
      </c>
      <c r="U40" s="1591"/>
    </row>
    <row r="41" spans="1:21">
      <c r="A41" s="1560"/>
      <c r="B41" s="3236" t="s">
        <v>1681</v>
      </c>
      <c r="C41" s="3236"/>
      <c r="D41" s="3236"/>
      <c r="E41" s="3236"/>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44"/>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34" activePane="bottomRight" state="frozen"/>
      <selection pane="topRight" activeCell="E1" sqref="E1"/>
      <selection pane="bottomLeft" activeCell="A12" sqref="A12"/>
      <selection pane="bottomRight" activeCell="AN40" sqref="AN4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I33" sqref="I3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382756</v>
      </c>
      <c r="C5" s="2945">
        <f ca="1">ROUND(B5*10000/$B$1,0)</f>
        <v>13707</v>
      </c>
      <c r="D5" s="2945">
        <f ca="1">ROUND(B5*10000/$B$2,0)</f>
        <v>43263</v>
      </c>
      <c r="E5" s="2946"/>
      <c r="F5" s="2946"/>
    </row>
    <row r="6" spans="1:9" ht="16.5">
      <c r="A6" s="2945" t="s">
        <v>2813</v>
      </c>
      <c r="B6" s="2945">
        <f ca="1">SUM(G14:G23)</f>
        <v>378378</v>
      </c>
      <c r="C6" s="2945">
        <f t="shared" ref="C6:C8" ca="1" si="0">ROUND(B6*10000/$B$1,0)</f>
        <v>13551</v>
      </c>
      <c r="D6" s="2945">
        <f t="shared" ref="D6:D8" ca="1" si="1">ROUND(B6*10000/$B$2,0)</f>
        <v>42768</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382756</v>
      </c>
      <c r="E14" s="2949">
        <f ca="1">ROUND(D14*10000/B14,0)</f>
        <v>13707</v>
      </c>
      <c r="F14" s="2949">
        <f ca="1">ROUND(D14*10000/C14,0)</f>
        <v>43263</v>
      </c>
      <c r="G14" s="2949">
        <f ca="1">结果表!C44</f>
        <v>378378</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38" sqref="G38"/>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27" t="str">
        <f>项目基本情况!K2</f>
        <v>北京市大兴区魏善庄镇2016年世界月季大会周边配套（国家新媒体产业基地B组团）土地一级开发项目AA-43（DX07-0102-6011）地块R2二类居住用地出让国有建设用地使用权</v>
      </c>
      <c r="B2" s="3328"/>
      <c r="C2" s="3329"/>
      <c r="D2" s="3329"/>
      <c r="E2" s="3329"/>
      <c r="F2" s="3329"/>
      <c r="G2" s="3328"/>
      <c r="H2" s="3328"/>
      <c r="I2" s="3330"/>
      <c r="J2" s="1927"/>
      <c r="K2" s="1926"/>
      <c r="L2" s="1926"/>
      <c r="M2" s="1926"/>
      <c r="N2" s="1926"/>
      <c r="O2" s="1926"/>
      <c r="P2" s="1926"/>
      <c r="Q2" s="1926"/>
      <c r="R2" s="1926"/>
      <c r="S2" s="1926"/>
      <c r="T2" s="1926"/>
      <c r="U2" s="1926"/>
      <c r="V2" s="1926"/>
    </row>
    <row r="3" spans="1:22" ht="14.25">
      <c r="A3" s="3320" t="s">
        <v>258</v>
      </c>
      <c r="B3" s="3321"/>
      <c r="C3" s="3321"/>
      <c r="D3" s="3321"/>
      <c r="E3" s="3321"/>
      <c r="F3" s="3321"/>
      <c r="G3" s="3321"/>
      <c r="H3" s="3321"/>
      <c r="I3" s="3321"/>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292" t="s">
        <v>261</v>
      </c>
      <c r="F4" s="3293"/>
      <c r="G4" s="3293"/>
      <c r="H4" s="3293"/>
      <c r="I4" s="332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291" t="s">
        <v>262</v>
      </c>
      <c r="B5" s="3317">
        <v>25</v>
      </c>
      <c r="C5" s="3315"/>
      <c r="D5" s="3319"/>
      <c r="E5" s="184" t="s">
        <v>263</v>
      </c>
      <c r="F5" s="185"/>
      <c r="G5" s="185"/>
      <c r="H5" s="185"/>
      <c r="I5" s="186"/>
      <c r="J5" s="1927"/>
      <c r="K5" s="1926"/>
      <c r="L5" s="1926"/>
      <c r="M5" s="1926"/>
      <c r="N5" s="1926"/>
      <c r="O5" s="1926"/>
      <c r="P5" s="1926"/>
      <c r="Q5" s="1926"/>
      <c r="R5" s="1926"/>
      <c r="S5" s="1926"/>
      <c r="T5" s="1926"/>
      <c r="U5" s="1926"/>
      <c r="V5" s="1926"/>
    </row>
    <row r="6" spans="1:22" ht="14.25">
      <c r="A6" s="3291"/>
      <c r="B6" s="3317"/>
      <c r="C6" s="3318"/>
      <c r="D6" s="3319"/>
      <c r="E6" s="184" t="s">
        <v>264</v>
      </c>
      <c r="F6" s="185"/>
      <c r="G6" s="185"/>
      <c r="H6" s="185"/>
      <c r="I6" s="186"/>
      <c r="J6" s="1927"/>
      <c r="K6" s="1926"/>
      <c r="L6" s="1926"/>
      <c r="M6" s="1926"/>
      <c r="N6" s="1926"/>
      <c r="O6" s="1926"/>
      <c r="P6" s="1926"/>
      <c r="Q6" s="1926"/>
      <c r="R6" s="1926"/>
      <c r="S6" s="1926"/>
      <c r="T6" s="1926"/>
      <c r="U6" s="1926"/>
      <c r="V6" s="1926"/>
    </row>
    <row r="7" spans="1:22" ht="14.25">
      <c r="A7" s="3291"/>
      <c r="B7" s="3317"/>
      <c r="C7" s="3316"/>
      <c r="D7" s="3319"/>
      <c r="E7" s="184" t="s">
        <v>265</v>
      </c>
      <c r="F7" s="185"/>
      <c r="G7" s="185"/>
      <c r="H7" s="185"/>
      <c r="I7" s="186"/>
      <c r="J7" s="1927"/>
      <c r="K7" s="1926"/>
      <c r="L7" s="1926"/>
      <c r="M7" s="1926"/>
      <c r="N7" s="1926"/>
      <c r="O7" s="1926"/>
      <c r="P7" s="1926"/>
      <c r="Q7" s="1926"/>
      <c r="R7" s="1926"/>
      <c r="S7" s="1926"/>
      <c r="T7" s="1926"/>
      <c r="U7" s="1926"/>
      <c r="V7" s="1926"/>
    </row>
    <row r="8" spans="1:22" ht="14.25">
      <c r="A8" s="3291" t="s">
        <v>266</v>
      </c>
      <c r="B8" s="3317">
        <v>15</v>
      </c>
      <c r="C8" s="3315"/>
      <c r="D8" s="3319"/>
      <c r="E8" s="184" t="s">
        <v>267</v>
      </c>
      <c r="F8" s="185"/>
      <c r="G8" s="185"/>
      <c r="H8" s="185"/>
      <c r="I8" s="186"/>
      <c r="J8" s="1927"/>
      <c r="K8" s="1926"/>
      <c r="L8" s="1926"/>
      <c r="M8" s="1926"/>
      <c r="N8" s="1926"/>
      <c r="O8" s="1926"/>
      <c r="P8" s="1926"/>
      <c r="Q8" s="1926"/>
      <c r="R8" s="1926"/>
      <c r="S8" s="1926"/>
      <c r="T8" s="1926"/>
      <c r="U8" s="1926"/>
      <c r="V8" s="1926"/>
    </row>
    <row r="9" spans="1:22" ht="14.25">
      <c r="A9" s="3291"/>
      <c r="B9" s="3317"/>
      <c r="C9" s="3316"/>
      <c r="D9" s="3319"/>
      <c r="E9" s="184" t="s">
        <v>268</v>
      </c>
      <c r="F9" s="185"/>
      <c r="G9" s="185"/>
      <c r="H9" s="185"/>
      <c r="I9" s="186"/>
      <c r="J9" s="1927"/>
      <c r="K9" s="1926"/>
      <c r="L9" s="1926"/>
      <c r="M9" s="1926"/>
      <c r="N9" s="1926"/>
      <c r="O9" s="1926"/>
      <c r="P9" s="1926"/>
      <c r="Q9" s="1926"/>
      <c r="R9" s="1926"/>
      <c r="S9" s="1926"/>
      <c r="T9" s="1926"/>
      <c r="U9" s="1926"/>
      <c r="V9" s="1926"/>
    </row>
    <row r="10" spans="1:22" ht="14.25">
      <c r="A10" s="3291" t="s">
        <v>269</v>
      </c>
      <c r="B10" s="3317">
        <v>15</v>
      </c>
      <c r="C10" s="3315"/>
      <c r="D10" s="3319"/>
      <c r="E10" s="184" t="s">
        <v>270</v>
      </c>
      <c r="F10" s="185"/>
      <c r="G10" s="185"/>
      <c r="H10" s="185"/>
      <c r="I10" s="186"/>
      <c r="J10" s="1927"/>
      <c r="K10" s="1926"/>
      <c r="L10" s="1926"/>
      <c r="M10" s="1926"/>
      <c r="N10" s="1926"/>
      <c r="O10" s="1926"/>
      <c r="P10" s="1926"/>
      <c r="Q10" s="1926"/>
      <c r="R10" s="1926"/>
      <c r="S10" s="1926"/>
      <c r="T10" s="1926"/>
      <c r="U10" s="1926"/>
      <c r="V10" s="1926"/>
    </row>
    <row r="11" spans="1:22" ht="14.25">
      <c r="A11" s="3291"/>
      <c r="B11" s="3317"/>
      <c r="C11" s="3316"/>
      <c r="D11" s="3319"/>
      <c r="E11" s="184" t="s">
        <v>271</v>
      </c>
      <c r="F11" s="185"/>
      <c r="G11" s="185"/>
      <c r="H11" s="185"/>
      <c r="I11" s="186"/>
      <c r="J11" s="1927"/>
      <c r="K11" s="1926"/>
      <c r="L11" s="1926"/>
      <c r="M11" s="1926"/>
      <c r="N11" s="1926"/>
      <c r="O11" s="1926"/>
      <c r="P11" s="1926"/>
      <c r="Q11" s="1926"/>
      <c r="R11" s="1926"/>
      <c r="S11" s="1926"/>
      <c r="T11" s="1926"/>
      <c r="U11" s="1926"/>
      <c r="V11" s="1926"/>
    </row>
    <row r="12" spans="1:22" ht="14.25">
      <c r="A12" s="3291" t="s">
        <v>272</v>
      </c>
      <c r="B12" s="3317">
        <v>15</v>
      </c>
      <c r="C12" s="3315"/>
      <c r="D12" s="3319"/>
      <c r="E12" s="184" t="s">
        <v>273</v>
      </c>
      <c r="F12" s="185"/>
      <c r="G12" s="185"/>
      <c r="H12" s="185"/>
      <c r="I12" s="186"/>
      <c r="J12" s="1927"/>
      <c r="K12" s="1926"/>
      <c r="L12" s="1926"/>
      <c r="M12" s="1926"/>
      <c r="N12" s="1926"/>
      <c r="O12" s="1926"/>
      <c r="P12" s="1926"/>
      <c r="Q12" s="1926"/>
      <c r="R12" s="1926"/>
      <c r="S12" s="1926"/>
      <c r="T12" s="1926"/>
      <c r="U12" s="1926"/>
      <c r="V12" s="1926"/>
    </row>
    <row r="13" spans="1:22" ht="14.25">
      <c r="A13" s="3291"/>
      <c r="B13" s="3317"/>
      <c r="C13" s="3316"/>
      <c r="D13" s="3319"/>
      <c r="E13" s="184" t="s">
        <v>274</v>
      </c>
      <c r="F13" s="185"/>
      <c r="G13" s="185"/>
      <c r="H13" s="185"/>
      <c r="I13" s="186"/>
      <c r="J13" s="1927"/>
      <c r="K13" s="1926"/>
      <c r="L13" s="1926"/>
      <c r="M13" s="1926"/>
      <c r="N13" s="1926"/>
      <c r="O13" s="1926"/>
      <c r="P13" s="1926"/>
      <c r="Q13" s="1926"/>
      <c r="R13" s="1926"/>
      <c r="S13" s="1926"/>
      <c r="T13" s="1926"/>
      <c r="U13" s="1926"/>
      <c r="V13" s="1926"/>
    </row>
    <row r="14" spans="1:22" ht="14.25">
      <c r="A14" s="3291" t="s">
        <v>275</v>
      </c>
      <c r="B14" s="3317">
        <v>30</v>
      </c>
      <c r="C14" s="3315">
        <v>5</v>
      </c>
      <c r="D14" s="3319">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291"/>
      <c r="B15" s="3317"/>
      <c r="C15" s="3318"/>
      <c r="D15" s="3319"/>
      <c r="E15" s="184" t="s">
        <v>277</v>
      </c>
      <c r="F15" s="185"/>
      <c r="G15" s="185"/>
      <c r="H15" s="185"/>
      <c r="I15" s="186"/>
      <c r="J15" s="1927"/>
      <c r="K15" s="1926"/>
      <c r="L15" s="1926"/>
      <c r="M15" s="1926"/>
      <c r="N15" s="1926"/>
      <c r="O15" s="1926"/>
      <c r="P15" s="1926"/>
      <c r="Q15" s="1926"/>
      <c r="R15" s="1926"/>
      <c r="S15" s="1926"/>
      <c r="T15" s="1926"/>
      <c r="U15" s="1926"/>
      <c r="V15" s="1926"/>
    </row>
    <row r="16" spans="1:22" ht="14.25">
      <c r="A16" s="3291"/>
      <c r="B16" s="3317"/>
      <c r="C16" s="3316"/>
      <c r="D16" s="3319"/>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358651</v>
      </c>
      <c r="E19" s="191" t="s">
        <v>283</v>
      </c>
      <c r="F19" s="192" t="s">
        <v>282</v>
      </c>
      <c r="G19" s="195">
        <f ca="1">ROUND(C19*$C$18+D19*$D$18,0)</f>
        <v>382756</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12844</v>
      </c>
      <c r="E20" s="197"/>
      <c r="F20" s="198" t="s">
        <v>285</v>
      </c>
      <c r="G20" s="201">
        <f ca="1">ROUND(C20*$C$18+D20*$D$18,0)</f>
        <v>13708</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40538</v>
      </c>
      <c r="E21" s="197"/>
      <c r="F21" s="203" t="s">
        <v>287</v>
      </c>
      <c r="G21" s="205">
        <f ca="1">ROUND(C21*$C$18+D21*$D$18,0)</f>
        <v>43263</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0.13441758143710736</v>
      </c>
      <c r="E22" s="207"/>
      <c r="F22" s="208"/>
      <c r="G22" s="209">
        <f ca="1">ROUND(G19/('数据-汇总表'!D3/666.67),0)</f>
        <v>2884</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297"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298"/>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出让国有建设用地使用权价格：382756万元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大写金额：人民币叁拾捌亿贰仟柒佰伍拾陆万元整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18164.979086279094</v>
      </c>
      <c r="E27" s="234"/>
      <c r="F27" s="234"/>
      <c r="G27" s="234"/>
      <c r="H27" s="234"/>
      <c r="I27" s="234"/>
      <c r="J27" s="1926"/>
      <c r="K27" s="1158" t="str">
        <f ca="1">"单位面积地价："&amp;M38&amp;"元/平方米"</f>
        <v>单位面积地价：43263元/平方米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楼面地价：13707元/平方米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抵押价格：378378万元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大写金额：人民币叁拾柒亿捌仟叁佰柒拾捌万元整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382756</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13707</v>
      </c>
      <c r="D33" s="1284" t="s">
        <v>1651</v>
      </c>
      <c r="E33" s="3297"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43263</v>
      </c>
      <c r="D34" s="1286" t="s">
        <v>1651</v>
      </c>
      <c r="E34" s="3338"/>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2884</v>
      </c>
      <c r="D35" s="1289" t="s">
        <v>1653</v>
      </c>
      <c r="E35" s="3339"/>
      <c r="F35" s="224" t="s">
        <v>302</v>
      </c>
      <c r="G35" s="904">
        <f>E37+E38</f>
        <v>4378</v>
      </c>
      <c r="H35" s="903" t="s">
        <v>303</v>
      </c>
      <c r="I35" s="234"/>
      <c r="J35" s="1926"/>
      <c r="K35" s="3312" t="s">
        <v>310</v>
      </c>
      <c r="L35" s="3312" t="s">
        <v>311</v>
      </c>
      <c r="M35" s="1164" t="s">
        <v>312</v>
      </c>
      <c r="N35" s="3312" t="s">
        <v>313</v>
      </c>
      <c r="O35" s="3312" t="s">
        <v>314</v>
      </c>
      <c r="P35" s="1926"/>
      <c r="V35" s="1926"/>
    </row>
    <row r="36" spans="1:26" ht="16.5" customHeight="1">
      <c r="A36" s="226" t="s">
        <v>304</v>
      </c>
      <c r="B36" s="227" t="s">
        <v>293</v>
      </c>
      <c r="C36" s="228" t="s">
        <v>305</v>
      </c>
      <c r="D36" s="228" t="s">
        <v>306</v>
      </c>
      <c r="E36" s="229" t="s">
        <v>307</v>
      </c>
      <c r="F36" s="234"/>
      <c r="G36" s="234"/>
      <c r="H36" s="234"/>
      <c r="I36" s="234"/>
      <c r="J36" s="1928"/>
      <c r="K36" s="3313"/>
      <c r="L36" s="3313"/>
      <c r="M36" s="1166" t="s">
        <v>315</v>
      </c>
      <c r="N36" s="3313"/>
      <c r="O36" s="3313"/>
      <c r="P36" s="1926"/>
      <c r="V36" s="1926"/>
    </row>
    <row r="37" spans="1:26" ht="16.5" customHeight="1" thickBot="1">
      <c r="A37" s="1160" t="s">
        <v>308</v>
      </c>
      <c r="B37" s="230">
        <f>'数据-汇总表'!G20</f>
        <v>15841.869999999999</v>
      </c>
      <c r="C37" s="217">
        <f>ROUND(17529*0.2*0.25,0)</f>
        <v>876</v>
      </c>
      <c r="D37" s="3068">
        <v>3.0499999999999999E-2</v>
      </c>
      <c r="E37" s="218">
        <f>ROUND(B37*C37*(1+D37)/10000,0)</f>
        <v>1430</v>
      </c>
      <c r="F37" s="234"/>
      <c r="G37" s="234"/>
      <c r="H37" s="234"/>
      <c r="I37" s="234"/>
      <c r="J37" s="1928"/>
      <c r="K37" s="3314"/>
      <c r="L37" s="3314"/>
      <c r="M37" s="1167"/>
      <c r="N37" s="3314"/>
      <c r="O37" s="3314"/>
      <c r="P37" s="1926"/>
      <c r="V37" s="1926"/>
    </row>
    <row r="38" spans="1:26" ht="16.5" customHeight="1" thickBot="1">
      <c r="A38" s="1160" t="s">
        <v>309</v>
      </c>
      <c r="B38" s="230">
        <f>'数据-汇总表'!G21</f>
        <v>43547.97</v>
      </c>
      <c r="C38" s="217">
        <f>ROUND(17529*0.15*0.25,0)</f>
        <v>657</v>
      </c>
      <c r="D38" s="3068">
        <v>3.0499999999999999E-2</v>
      </c>
      <c r="E38" s="218">
        <f>ROUND(B38*C38*(1+D38)/10000,0)</f>
        <v>2948</v>
      </c>
      <c r="F38" s="234"/>
      <c r="G38" s="234"/>
      <c r="H38" s="234"/>
      <c r="I38" s="234"/>
      <c r="J38" s="1928"/>
      <c r="K38" s="1168">
        <f>'数据-汇总表'!D3</f>
        <v>88472.4</v>
      </c>
      <c r="L38" s="1169">
        <f>'数据-汇总表'!E3</f>
        <v>279233.44</v>
      </c>
      <c r="M38" s="1169">
        <f ca="1">C34</f>
        <v>43263</v>
      </c>
      <c r="N38" s="1169">
        <f ca="1">C33</f>
        <v>13707</v>
      </c>
      <c r="O38" s="1170">
        <f ca="1">C32</f>
        <v>382756</v>
      </c>
      <c r="P38" s="1926"/>
      <c r="V38" s="1926"/>
    </row>
    <row r="39" spans="1:26" ht="16.5" customHeight="1" thickBot="1">
      <c r="A39" s="1165"/>
      <c r="B39" s="231"/>
      <c r="C39" s="232"/>
      <c r="D39" s="232"/>
      <c r="E39" s="233"/>
      <c r="F39" s="234"/>
      <c r="G39" s="234"/>
      <c r="H39" s="234"/>
      <c r="I39" s="234"/>
      <c r="J39" s="1928"/>
      <c r="K39" s="3357" t="str">
        <f>MID(A44,3,LEN(A44)-2)</f>
        <v>抵押价格</v>
      </c>
      <c r="L39" s="3358"/>
      <c r="M39" s="3358"/>
      <c r="N39" s="3359"/>
      <c r="O39" s="1291">
        <f ca="1">C44</f>
        <v>378378</v>
      </c>
      <c r="P39" s="1926"/>
      <c r="V39" s="1926"/>
    </row>
    <row r="40" spans="1:26" ht="19.5" thickBot="1">
      <c r="A40" s="29" t="s">
        <v>833</v>
      </c>
      <c r="B40" s="234"/>
      <c r="C40" s="234"/>
      <c r="D40" s="234"/>
      <c r="E40" s="234"/>
      <c r="F40" s="234"/>
      <c r="G40" s="234"/>
      <c r="H40" s="234"/>
      <c r="I40" s="234"/>
      <c r="J40" s="1928"/>
      <c r="K40" s="3357" t="str">
        <f t="shared" ref="K40:K41" si="0">MID(A45,3,LEN(A45)-2)</f>
        <v/>
      </c>
      <c r="L40" s="3358"/>
      <c r="M40" s="3358"/>
      <c r="N40" s="3359"/>
      <c r="O40" s="1291" t="str">
        <f>C45</f>
        <v>——</v>
      </c>
      <c r="P40" s="1926"/>
      <c r="V40" s="1926"/>
    </row>
    <row r="41" spans="1:26" ht="16.5" thickBot="1">
      <c r="A41" s="235" t="s">
        <v>316</v>
      </c>
      <c r="B41" s="236"/>
      <c r="C41" s="237" t="s">
        <v>317</v>
      </c>
      <c r="D41" s="238" t="s">
        <v>318</v>
      </c>
      <c r="E41" s="238" t="s">
        <v>319</v>
      </c>
      <c r="F41" s="239" t="s">
        <v>320</v>
      </c>
      <c r="G41" s="234"/>
      <c r="H41" s="234"/>
      <c r="I41" s="234"/>
      <c r="J41" s="1928"/>
      <c r="K41" s="3357" t="str">
        <f t="shared" si="0"/>
        <v/>
      </c>
      <c r="L41" s="3358"/>
      <c r="M41" s="3358"/>
      <c r="N41" s="3359"/>
      <c r="O41" s="1291" t="str">
        <f>C46</f>
        <v>——</v>
      </c>
      <c r="P41" s="1926"/>
      <c r="V41" s="1926"/>
    </row>
    <row r="42" spans="1:26" ht="29.25">
      <c r="A42" s="3299" t="s">
        <v>2029</v>
      </c>
      <c r="B42" s="3300"/>
      <c r="C42" s="187">
        <f ca="1">C32</f>
        <v>382756</v>
      </c>
      <c r="D42" s="240">
        <f ca="1">C33</f>
        <v>13707</v>
      </c>
      <c r="E42" s="240">
        <f ca="1">C34</f>
        <v>43263</v>
      </c>
      <c r="F42" s="241">
        <f ca="1">C35</f>
        <v>2884</v>
      </c>
      <c r="G42" s="234"/>
      <c r="H42" s="234"/>
      <c r="I42" s="242"/>
      <c r="J42" s="1928"/>
      <c r="K42" s="1171" t="s">
        <v>321</v>
      </c>
      <c r="L42" s="1945" t="s">
        <v>322</v>
      </c>
      <c r="M42" s="1172" t="s">
        <v>323</v>
      </c>
      <c r="N42" s="1946" t="s">
        <v>324</v>
      </c>
      <c r="O42" s="1947" t="s">
        <v>325</v>
      </c>
      <c r="P42" s="1926"/>
      <c r="V42" s="1926"/>
    </row>
    <row r="43" spans="1:26" ht="30">
      <c r="A43" s="3310" t="s">
        <v>2691</v>
      </c>
      <c r="B43" s="3311"/>
      <c r="C43" s="187">
        <f>IF(H33="正常操作",G33+G34+G35,G34+G35)</f>
        <v>4378</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382756</v>
      </c>
      <c r="O43" s="1177">
        <f ca="1">IF(O42="最终结果/万元",C32,C33)</f>
        <v>382756</v>
      </c>
      <c r="P43" s="1926"/>
      <c r="V43" s="1926"/>
    </row>
    <row r="44" spans="1:26" ht="30.75" thickBot="1">
      <c r="A44" s="3299" t="str">
        <f>IF(OR(项目基本情况!E8="抵押价格",项目基本情况!E8="已注销及未注销"),"3.抵押价格","——")</f>
        <v>3.抵押价格</v>
      </c>
      <c r="B44" s="3300"/>
      <c r="C44" s="187">
        <f ca="1">IF(A44="——","——",C42-C43)</f>
        <v>378378</v>
      </c>
      <c r="D44" s="240">
        <f ca="1">ROUND(C44*10000/'数据-汇总表'!E3,0)</f>
        <v>13551</v>
      </c>
      <c r="E44" s="240">
        <f ca="1">ROUND(C44*10000/'数据-汇总表'!D3,0)</f>
        <v>42768</v>
      </c>
      <c r="F44" s="241">
        <f ca="1">ROUND(C44/('数据-汇总表'!D3/666.67),0)</f>
        <v>2851</v>
      </c>
      <c r="G44" s="234"/>
      <c r="H44" s="234"/>
      <c r="I44" s="242"/>
      <c r="J44" s="1928"/>
      <c r="K44" s="1178" t="str">
        <f>D4</f>
        <v>剩余法-待开发</v>
      </c>
      <c r="L44" s="1179">
        <f ca="1">IF(L42="估价结果/万元",D19,D20)</f>
        <v>358651</v>
      </c>
      <c r="M44" s="1180">
        <f>D18</f>
        <v>0.5</v>
      </c>
      <c r="N44" s="1181"/>
      <c r="O44" s="1182"/>
      <c r="P44" s="1926"/>
      <c r="V44" s="1926"/>
    </row>
    <row r="45" spans="1:26" ht="15">
      <c r="A45" s="3305" t="str">
        <f>IF(项目基本情况!E8="已注销及未注销","4.抵押担保权已注销时的抵押价格",IF(项目基本情况!E8="已注销","3.抵押担保权已注销时的抵押价格","——"))</f>
        <v>——</v>
      </c>
      <c r="B45" s="3306"/>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01" t="str">
        <f>IF(项目基本情况!E9="抵押净值",IF(A45="——","4.抵押净值","5.抵押净值"),"——")</f>
        <v>——</v>
      </c>
      <c r="B46" s="3302"/>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本次评估估价师知悉的法定优先受偿款为人民币4378万元整。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46" t="s">
        <v>334</v>
      </c>
      <c r="B63" s="3347"/>
      <c r="C63" s="3348"/>
      <c r="D63" s="264">
        <f ca="1">ROUND(C42*F63,0)</f>
        <v>229654</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07" t="s">
        <v>338</v>
      </c>
      <c r="B64" s="3308"/>
      <c r="C64" s="3308"/>
      <c r="D64" s="3308"/>
      <c r="E64" s="3308"/>
      <c r="F64" s="3308"/>
      <c r="G64" s="3309"/>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03" t="s">
        <v>346</v>
      </c>
      <c r="B66" s="3304"/>
      <c r="C66" s="3304"/>
      <c r="D66" s="184">
        <f ca="1">IF(H66="情况1",0,IF(H66="情况2",D70,IF(H66="情况3",D71,IF(H66="情况4",D72))))</f>
        <v>12029</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61" t="s">
        <v>345</v>
      </c>
      <c r="M66" s="3362"/>
      <c r="N66" s="2369"/>
      <c r="O66" s="2370"/>
      <c r="P66" s="2371"/>
      <c r="Q66" s="1926"/>
      <c r="R66" s="1926"/>
      <c r="S66" s="1926"/>
      <c r="T66" s="1926"/>
      <c r="U66" s="1926"/>
      <c r="V66" s="1926"/>
    </row>
    <row r="67" spans="1:22" ht="25.5" customHeight="1">
      <c r="A67" s="275" t="s">
        <v>350</v>
      </c>
      <c r="B67" s="3294" t="s">
        <v>351</v>
      </c>
      <c r="C67" s="3294"/>
      <c r="D67" s="276">
        <v>0</v>
      </c>
      <c r="E67" s="16" t="s">
        <v>352</v>
      </c>
      <c r="F67" s="25" t="s">
        <v>21</v>
      </c>
      <c r="G67" s="3349"/>
      <c r="H67" s="234"/>
      <c r="I67" s="1192"/>
      <c r="J67" s="1933"/>
      <c r="K67" s="1875">
        <v>2</v>
      </c>
      <c r="L67" s="3360" t="s">
        <v>349</v>
      </c>
      <c r="M67" s="3360"/>
      <c r="N67" s="1225">
        <f>'数据-取费表'!B2</f>
        <v>43228</v>
      </c>
      <c r="O67" s="1225"/>
      <c r="P67" s="1225"/>
      <c r="Q67" s="1926"/>
      <c r="R67" s="1926"/>
      <c r="S67" s="1926"/>
      <c r="T67" s="1926"/>
      <c r="U67" s="1926"/>
      <c r="V67" s="1926"/>
    </row>
    <row r="68" spans="1:22" ht="25.5" customHeight="1">
      <c r="A68" s="277"/>
      <c r="B68" s="3294" t="s">
        <v>354</v>
      </c>
      <c r="C68" s="3294"/>
      <c r="D68" s="278"/>
      <c r="E68" s="28"/>
      <c r="F68" s="279"/>
      <c r="G68" s="3350"/>
      <c r="H68" s="234"/>
      <c r="I68" s="1192"/>
      <c r="J68" s="1933"/>
      <c r="K68" s="1875">
        <v>3</v>
      </c>
      <c r="L68" s="3360" t="s">
        <v>353</v>
      </c>
      <c r="M68" s="3360"/>
      <c r="N68" s="1193">
        <f ca="1">C42</f>
        <v>382756</v>
      </c>
      <c r="O68" s="1193"/>
      <c r="P68" s="1193"/>
      <c r="Q68" s="1926"/>
      <c r="R68" s="1926"/>
      <c r="S68" s="1926"/>
      <c r="T68" s="1926"/>
      <c r="U68" s="1926"/>
      <c r="V68" s="1926"/>
    </row>
    <row r="69" spans="1:22" ht="12" customHeight="1">
      <c r="A69" s="280"/>
      <c r="B69" s="3294" t="s">
        <v>355</v>
      </c>
      <c r="C69" s="3294"/>
      <c r="D69" s="281"/>
      <c r="E69" s="27"/>
      <c r="F69" s="279"/>
      <c r="G69" s="3351"/>
      <c r="H69" s="234"/>
      <c r="I69" s="1192"/>
      <c r="J69" s="1933"/>
      <c r="K69" s="1194">
        <v>4</v>
      </c>
      <c r="L69" s="3365" t="s">
        <v>2844</v>
      </c>
      <c r="M69" s="3366"/>
      <c r="N69" s="1195">
        <f ca="1">C44</f>
        <v>378378</v>
      </c>
      <c r="O69" s="1195"/>
      <c r="P69" s="1195"/>
      <c r="Q69" s="1926"/>
      <c r="R69" s="1926"/>
      <c r="S69" s="1926"/>
      <c r="T69" s="1926"/>
      <c r="U69" s="1926"/>
      <c r="V69" s="1926"/>
    </row>
    <row r="70" spans="1:22" ht="24" customHeight="1">
      <c r="A70" s="282" t="s">
        <v>356</v>
      </c>
      <c r="B70" s="3294" t="s">
        <v>357</v>
      </c>
      <c r="C70" s="3294"/>
      <c r="D70" s="281">
        <f ca="1">ROUND(D63*'数据-取费表'!B41/(1+'数据-取费表'!C42),0)</f>
        <v>12029</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295" t="s">
        <v>365</v>
      </c>
      <c r="C71" s="3296"/>
      <c r="D71" s="281">
        <f ca="1">ROUND(D63*'数据-取费表'!B41/(1+'数据-取费表'!C42),0)</f>
        <v>12029</v>
      </c>
      <c r="E71" s="12" t="s">
        <v>358</v>
      </c>
      <c r="F71" s="283">
        <f>'数据-取费表'!B41</f>
        <v>5.5000000000000007E-2</v>
      </c>
      <c r="G71" s="284"/>
      <c r="H71" s="234"/>
      <c r="I71" s="1192"/>
      <c r="J71" s="1933"/>
      <c r="K71" s="2961" t="s">
        <v>359</v>
      </c>
      <c r="L71" s="3367" t="s">
        <v>360</v>
      </c>
      <c r="M71" s="3367"/>
      <c r="N71" s="2961" t="s">
        <v>361</v>
      </c>
      <c r="O71" s="2961" t="s">
        <v>362</v>
      </c>
      <c r="P71" s="2961" t="s">
        <v>363</v>
      </c>
      <c r="Q71" s="1926"/>
      <c r="R71" s="1926"/>
      <c r="S71" s="1926"/>
      <c r="T71" s="1926"/>
      <c r="U71" s="1926"/>
      <c r="V71" s="1926"/>
    </row>
    <row r="72" spans="1:22" ht="12" customHeight="1">
      <c r="A72" s="282" t="s">
        <v>367</v>
      </c>
      <c r="B72" s="3295" t="s">
        <v>368</v>
      </c>
      <c r="C72" s="3296"/>
      <c r="D72" s="281">
        <f ca="1">C86</f>
        <v>11919</v>
      </c>
      <c r="E72" s="27" t="s">
        <v>369</v>
      </c>
      <c r="F72" s="283">
        <f>'数据-取费表'!B41</f>
        <v>5.5000000000000007E-2</v>
      </c>
      <c r="G72" s="284"/>
      <c r="H72" s="1198"/>
      <c r="I72" s="1192"/>
      <c r="J72" s="1933"/>
      <c r="K72" s="1875">
        <v>1</v>
      </c>
      <c r="L72" s="3342" t="s">
        <v>366</v>
      </c>
      <c r="M72" s="3342"/>
      <c r="N72" s="1196">
        <f ca="1">D66</f>
        <v>12029</v>
      </c>
      <c r="O72" s="1758" t="str">
        <f>E66</f>
        <v>销售额×税（费）率</v>
      </c>
      <c r="P72" s="1197">
        <f>F66</f>
        <v>5.5000000000000007E-2</v>
      </c>
      <c r="Q72" s="1926"/>
      <c r="R72" s="1926"/>
      <c r="S72" s="1926"/>
      <c r="T72" s="1926"/>
      <c r="U72" s="1926"/>
      <c r="V72" s="1926"/>
    </row>
    <row r="73" spans="1:22" ht="24" customHeight="1">
      <c r="A73" s="3336" t="s">
        <v>371</v>
      </c>
      <c r="B73" s="3304"/>
      <c r="C73" s="3304"/>
      <c r="D73" s="285">
        <f>IF(H73="个人住宅",0,ROUND(D63*I73,0))</f>
        <v>0</v>
      </c>
      <c r="E73" s="12" t="s">
        <v>372</v>
      </c>
      <c r="F73" s="283" t="str">
        <f>IF(H73="正常",I73,"免征")</f>
        <v>免征</v>
      </c>
      <c r="G73" s="284"/>
      <c r="H73" s="116" t="s">
        <v>2417</v>
      </c>
      <c r="I73" s="283">
        <f>'数据-取费表'!B49</f>
        <v>5.0000000000000001E-4</v>
      </c>
      <c r="J73" s="1933"/>
      <c r="K73" s="1875">
        <v>2</v>
      </c>
      <c r="L73" s="3342" t="s">
        <v>370</v>
      </c>
      <c r="M73" s="3342"/>
      <c r="N73" s="1196">
        <f t="shared" ref="N73:P74" si="1">D73</f>
        <v>0</v>
      </c>
      <c r="O73" s="1758" t="str">
        <f t="shared" si="1"/>
        <v>销售额×税（费）率</v>
      </c>
      <c r="P73" s="1197" t="str">
        <f t="shared" si="1"/>
        <v>免征</v>
      </c>
      <c r="Q73" s="1926"/>
      <c r="R73" s="1926"/>
      <c r="S73" s="1926"/>
      <c r="T73" s="1926"/>
      <c r="U73" s="1926"/>
      <c r="V73" s="1926"/>
    </row>
    <row r="74" spans="1:22" ht="24.75">
      <c r="A74" s="3336" t="s">
        <v>375</v>
      </c>
      <c r="B74" s="3304"/>
      <c r="C74" s="3304"/>
      <c r="D74" s="285">
        <f ca="1">IF(H74="个人住宅",D75,D76)</f>
        <v>129536</v>
      </c>
      <c r="E74" s="12" t="s">
        <v>376</v>
      </c>
      <c r="F74" s="283" t="str">
        <f>IF(H74="正常",F76,"免征")</f>
        <v>——</v>
      </c>
      <c r="G74" s="905" t="s">
        <v>377</v>
      </c>
      <c r="H74" s="286" t="s">
        <v>373</v>
      </c>
      <c r="I74" s="17"/>
      <c r="J74" s="1933"/>
      <c r="K74" s="1875">
        <v>3</v>
      </c>
      <c r="L74" s="3342" t="s">
        <v>374</v>
      </c>
      <c r="M74" s="3342"/>
      <c r="N74" s="1196">
        <f t="shared" ca="1" si="1"/>
        <v>129536</v>
      </c>
      <c r="O74" s="1758" t="str">
        <f t="shared" si="1"/>
        <v>增值额×税（费）率</v>
      </c>
      <c r="P74" s="1199" t="str">
        <f t="shared" si="1"/>
        <v>——</v>
      </c>
      <c r="Q74" s="1926"/>
      <c r="R74" s="1926"/>
      <c r="S74" s="1926"/>
      <c r="T74" s="1926"/>
      <c r="U74" s="1926"/>
      <c r="V74" s="1926"/>
    </row>
    <row r="75" spans="1:22" ht="24">
      <c r="A75" s="282" t="s">
        <v>378</v>
      </c>
      <c r="B75" s="3292" t="s">
        <v>379</v>
      </c>
      <c r="C75" s="3322"/>
      <c r="D75" s="287">
        <v>0</v>
      </c>
      <c r="E75" s="16" t="s">
        <v>380</v>
      </c>
      <c r="F75" s="288"/>
      <c r="G75" s="284"/>
      <c r="H75" s="17"/>
      <c r="I75" s="17"/>
      <c r="J75" s="1933"/>
      <c r="K75" s="2954">
        <f>IF(H77="非个人房产","",4)</f>
        <v>4</v>
      </c>
      <c r="L75" s="3342" t="str">
        <f>IF(H77="非个人房产","——","个人所得税")</f>
        <v>个人所得税</v>
      </c>
      <c r="M75" s="3342"/>
      <c r="N75" s="1200">
        <f ca="1">D77</f>
        <v>2297</v>
      </c>
      <c r="O75" s="1771" t="str">
        <f>E77</f>
        <v>销售额×税（费）率</v>
      </c>
      <c r="P75" s="1201">
        <f>F77</f>
        <v>0.01</v>
      </c>
      <c r="Q75" s="1926"/>
      <c r="R75" s="1926"/>
      <c r="S75" s="1926"/>
      <c r="T75" s="1926"/>
      <c r="U75" s="1926"/>
      <c r="V75" s="1926"/>
    </row>
    <row r="76" spans="1:22" ht="24.75">
      <c r="A76" s="282" t="s">
        <v>356</v>
      </c>
      <c r="B76" s="3292" t="s">
        <v>382</v>
      </c>
      <c r="C76" s="3293"/>
      <c r="D76" s="285">
        <f ca="1">IF(H76="转让取得",C99,C115)</f>
        <v>129536</v>
      </c>
      <c r="E76" s="12" t="s">
        <v>383</v>
      </c>
      <c r="F76" s="19" t="s">
        <v>21</v>
      </c>
      <c r="G76" s="284"/>
      <c r="H76" s="286" t="s">
        <v>384</v>
      </c>
      <c r="I76" s="17"/>
      <c r="J76" s="1933"/>
      <c r="K76" s="2954" t="str">
        <f>IF(项目基本情况!K6="上海银行",IF(K75="",4,K75+1),"")</f>
        <v/>
      </c>
      <c r="L76" s="3353" t="str">
        <f>IF(项目基本情况!K6="上海银行","其他处置费用","")</f>
        <v/>
      </c>
      <c r="M76" s="3354"/>
      <c r="N76" s="1196" t="str">
        <f>IF(项目基本情况!K6="上海银行",N89,"")</f>
        <v/>
      </c>
      <c r="O76" s="3355" t="str">
        <f>IF(项目基本情况!K6="上海银行","包含处置中涉及的律师、诉讼、拍卖、评估等费用","")</f>
        <v/>
      </c>
      <c r="P76" s="3356"/>
      <c r="Q76" s="1926"/>
      <c r="R76" s="1926"/>
      <c r="S76" s="1926"/>
      <c r="T76" s="1926"/>
      <c r="U76" s="1926"/>
      <c r="V76" s="1926"/>
    </row>
    <row r="77" spans="1:22" ht="26.25" thickBot="1">
      <c r="A77" s="3344" t="s">
        <v>386</v>
      </c>
      <c r="B77" s="3345"/>
      <c r="C77" s="3345"/>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43">
        <f>IF(AND(K75="",K76=""),4,IF(项目基本情况!K6="上海银行",K76+1,K75+1))</f>
        <v>5</v>
      </c>
      <c r="L77" s="3342" t="s">
        <v>2846</v>
      </c>
      <c r="M77" s="2960" t="s">
        <v>381</v>
      </c>
      <c r="N77" s="1202"/>
      <c r="O77" s="1203">
        <f ca="1">SUMIF(N72:N76,"&lt;9e307")</f>
        <v>143862</v>
      </c>
      <c r="P77" s="1204"/>
      <c r="Q77" s="2958">
        <f ca="1">O77/N69</f>
        <v>0.38020709449280876</v>
      </c>
      <c r="R77" s="1926"/>
      <c r="S77" s="1926"/>
      <c r="T77" s="1926"/>
      <c r="U77" s="1926"/>
      <c r="V77" s="1926"/>
    </row>
    <row r="78" spans="1:22" ht="12" customHeight="1">
      <c r="A78" s="1205"/>
      <c r="B78" s="234"/>
      <c r="C78" s="234"/>
      <c r="D78" s="234"/>
      <c r="E78" s="17"/>
      <c r="F78" s="17"/>
      <c r="G78" s="17"/>
      <c r="H78" s="915"/>
      <c r="I78" s="234"/>
      <c r="J78" s="1933"/>
      <c r="K78" s="3343"/>
      <c r="L78" s="3342"/>
      <c r="M78" s="2960" t="s">
        <v>385</v>
      </c>
      <c r="N78" s="1202"/>
      <c r="O78" s="1203" t="str">
        <f ca="1">NUMBERSTRING(INT(O77*10000),2)&amp;"元整"</f>
        <v>壹拾肆亿叁仟捌佰陆拾贰万元整</v>
      </c>
      <c r="P78" s="1204"/>
      <c r="Q78" s="1926"/>
      <c r="R78" s="1926"/>
      <c r="S78" s="1926"/>
      <c r="T78" s="1926"/>
      <c r="U78" s="1926"/>
      <c r="V78" s="1926"/>
    </row>
    <row r="79" spans="1:22" ht="13.5" thickBot="1">
      <c r="A79" s="3337" t="s">
        <v>387</v>
      </c>
      <c r="B79" s="3337"/>
      <c r="C79" s="3337"/>
      <c r="D79" s="3337"/>
      <c r="E79" s="3337"/>
      <c r="F79" s="17"/>
      <c r="G79" s="17"/>
      <c r="H79" s="915"/>
      <c r="I79" s="234"/>
      <c r="J79" s="1933"/>
      <c r="K79" s="3363">
        <f>K77+1</f>
        <v>6</v>
      </c>
      <c r="L79" s="3342" t="s">
        <v>2847</v>
      </c>
      <c r="M79" s="2960" t="s">
        <v>381</v>
      </c>
      <c r="N79" s="1202"/>
      <c r="O79" s="1203">
        <f ca="1">N69-O77</f>
        <v>234516</v>
      </c>
      <c r="P79" s="1204"/>
      <c r="Q79" s="1926"/>
      <c r="R79" s="1926"/>
      <c r="S79" s="1926"/>
      <c r="T79" s="1926"/>
      <c r="U79" s="1926"/>
      <c r="V79" s="1926"/>
    </row>
    <row r="80" spans="1:22" ht="25.5">
      <c r="A80" s="3332" t="s">
        <v>388</v>
      </c>
      <c r="B80" s="3333"/>
      <c r="C80" s="913"/>
      <c r="D80" s="913" t="s">
        <v>389</v>
      </c>
      <c r="E80" s="293" t="s">
        <v>390</v>
      </c>
      <c r="F80" s="17"/>
      <c r="G80" s="17"/>
      <c r="H80" s="915"/>
      <c r="I80" s="234"/>
      <c r="J80" s="1926"/>
      <c r="K80" s="3364"/>
      <c r="L80" s="3342"/>
      <c r="M80" s="2960" t="s">
        <v>385</v>
      </c>
      <c r="N80" s="1202"/>
      <c r="O80" s="1203" t="str">
        <f ca="1">NUMBERSTRING(INT(O79*10000),2)&amp;"元整"</f>
        <v>贰拾叁亿肆仟伍佰壹拾陆万元整</v>
      </c>
      <c r="P80" s="1204"/>
      <c r="Q80" s="1926"/>
      <c r="R80" s="1926"/>
      <c r="S80" s="1926"/>
      <c r="T80" s="1926"/>
      <c r="U80" s="1926"/>
      <c r="V80" s="1926"/>
    </row>
    <row r="81" spans="1:26" ht="13.5" thickBot="1">
      <c r="A81" s="304" t="s">
        <v>1783</v>
      </c>
      <c r="B81" s="294" t="s">
        <v>391</v>
      </c>
      <c r="C81" s="295">
        <f ca="1">ROUND((C82+C83)/(1+'数据-取费表'!C42),0)</f>
        <v>218718</v>
      </c>
      <c r="D81" s="296"/>
      <c r="E81" s="297"/>
      <c r="F81" s="17"/>
      <c r="G81" s="17"/>
      <c r="H81" s="915"/>
      <c r="I81" s="234"/>
      <c r="J81" s="1926"/>
      <c r="K81" s="2954">
        <f>K79+1</f>
        <v>7</v>
      </c>
      <c r="L81" s="3340" t="s">
        <v>2848</v>
      </c>
      <c r="M81" s="3341"/>
      <c r="N81" s="1206"/>
      <c r="O81" s="1207">
        <f ca="1">ROUND(O79*10000/'数据-汇总表'!E3,0)</f>
        <v>8399</v>
      </c>
      <c r="P81" s="1208"/>
      <c r="Q81" s="1926"/>
      <c r="R81" s="1926"/>
      <c r="S81" s="1926"/>
      <c r="T81" s="1926"/>
      <c r="U81" s="1926"/>
      <c r="V81" s="1926"/>
    </row>
    <row r="82" spans="1:26" ht="13.5" thickTop="1">
      <c r="A82" s="298" t="s">
        <v>1784</v>
      </c>
      <c r="B82" s="299" t="s">
        <v>392</v>
      </c>
      <c r="C82" s="300">
        <f ca="1">D63</f>
        <v>229654</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352" t="s">
        <v>2835</v>
      </c>
      <c r="L83" s="2966" t="s">
        <v>2836</v>
      </c>
      <c r="M83" s="2956">
        <f ca="1">IF(N69&gt;10000,N69*0.5%,IF(AND(N69&gt;1000,N69&lt;=10000),N69*1%,IF(AND(N69&gt;100,N69&lt;=1000),N69*3%,IF(AND(N69&gt;10,N69&lt;=100),N69*5%,N69*8%))))</f>
        <v>1891.89</v>
      </c>
      <c r="N83" s="19">
        <f ca="1">ROUND(M83,1)</f>
        <v>1891.9</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352"/>
      <c r="L84" s="2966" t="s">
        <v>2837</v>
      </c>
      <c r="M84" s="2956">
        <f ca="1">IF(N69&gt;2000,N69*0.5%,IF(AND(N69&gt;1000,N69&lt;=2000),N69*0.6%,IF(AND(N69&gt;500,N69&lt;=1000),N69*0.7%,IF(AND(N69&gt;200,N69&lt;=500),N69*0.8%,IF(AND(N69&gt;100,N69&lt;=200),N69*0.9%,IF(AND(N69&gt;50,N69&lt;=100),N69*1%,IF(AND(N69&gt;20,N69&lt;=50),N69*1.5%,IF(AND(N69&gt;10,N69&lt;=20),N69*2%,IF(AND(N69&gt;1,N69&lt;=10),N69*2.5%)))))))))</f>
        <v>1891.89</v>
      </c>
      <c r="N84" s="19">
        <f t="shared" ref="N84:N85" ca="1" si="2">ROUND(M84,1)</f>
        <v>1891.9</v>
      </c>
      <c r="O84" s="1926" t="s">
        <v>2838</v>
      </c>
      <c r="P84" s="1926"/>
      <c r="Q84" s="1926"/>
      <c r="R84" s="1926"/>
      <c r="S84" s="1926"/>
      <c r="T84" s="1926"/>
      <c r="U84" s="1926"/>
      <c r="V84" s="1926"/>
    </row>
    <row r="85" spans="1:26" ht="12.75">
      <c r="A85" s="304" t="s">
        <v>1787</v>
      </c>
      <c r="B85" s="305" t="s">
        <v>395</v>
      </c>
      <c r="C85" s="308">
        <f ca="1">C81-C84</f>
        <v>216718</v>
      </c>
      <c r="D85" s="301" t="s">
        <v>19</v>
      </c>
      <c r="E85" s="302"/>
      <c r="F85" s="17"/>
      <c r="G85" s="17"/>
      <c r="H85" s="915"/>
      <c r="I85" s="234"/>
      <c r="J85" s="1926"/>
      <c r="K85" s="3352"/>
      <c r="L85" s="2966" t="s">
        <v>2839</v>
      </c>
      <c r="M85" s="2956">
        <f ca="1">IF(N69&gt;1000,N69*0.1%,IF(AND(N69&gt;500,N69&lt;=1000),N69*0.5%,IF(AND(N69&gt;50,N69&lt;=500),N69*1%,IF(AND(N69&gt;1,N69&lt;=50),N69*1.5%))))</f>
        <v>378.37799999999999</v>
      </c>
      <c r="N85" s="19">
        <f t="shared" ca="1" si="2"/>
        <v>378.4</v>
      </c>
      <c r="O85" s="1926" t="s">
        <v>2838</v>
      </c>
      <c r="P85" s="1926"/>
      <c r="Q85" s="1926"/>
      <c r="R85" s="1926"/>
      <c r="S85" s="1926"/>
      <c r="T85" s="1926"/>
      <c r="U85" s="1926"/>
      <c r="V85" s="1926"/>
    </row>
    <row r="86" spans="1:26" ht="13.5" thickBot="1">
      <c r="A86" s="309" t="s">
        <v>1788</v>
      </c>
      <c r="B86" s="310" t="s">
        <v>396</v>
      </c>
      <c r="C86" s="311">
        <f ca="1">IF(C85&lt;=0,0,ROUND(C85*D86,0))</f>
        <v>11919</v>
      </c>
      <c r="D86" s="312">
        <f>'数据-取费表'!B41</f>
        <v>5.5000000000000007E-2</v>
      </c>
      <c r="E86" s="313"/>
      <c r="F86" s="17"/>
      <c r="G86" s="17"/>
      <c r="H86" s="915"/>
      <c r="I86" s="234"/>
      <c r="J86" s="1926"/>
      <c r="K86" s="3352"/>
      <c r="L86" s="2966" t="s">
        <v>2840</v>
      </c>
      <c r="M86" s="2956">
        <f ca="1">N69*0.5%</f>
        <v>1891.89</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352"/>
      <c r="L87" s="2966" t="s">
        <v>2842</v>
      </c>
      <c r="M87" s="2956">
        <f ca="1">IF(N69&gt;=10000,(8.25+(N69-10000)*0.01%),IF(AND(N69&gt;=8000,N69&lt;10000),(7.85+(N69-8000)*0.02%),IF(AND(N69&gt;=5000,N69&lt;8000),(6.65+(N69-5000)*0.04%),IF(AND(N69&gt;=2000,N69&lt;5000),(4.25+(PN69-2000)*0.08%),IF(AND(N69&gt;=1000,N69&lt;2000),(2.75+(N69-1000)*0.15%),IF(AND(N69&gt;=100,N69&lt;1000),(0.5+(N69-100)*0.25%),IF(AND(N69&gt;0,N69&lt;100),N69*0.5%)))))))</f>
        <v>45.087800000000001</v>
      </c>
      <c r="N87" s="19">
        <f ca="1">ROUND(M87*0.9,1)</f>
        <v>40.6</v>
      </c>
      <c r="O87" s="2959"/>
      <c r="P87" s="234"/>
      <c r="Q87" s="1926"/>
      <c r="R87" s="1926"/>
      <c r="S87" s="1926"/>
      <c r="T87" s="1926"/>
      <c r="U87" s="1926"/>
      <c r="V87" s="1926"/>
      <c r="W87" s="215"/>
      <c r="X87" s="215"/>
      <c r="Y87" s="215"/>
      <c r="Z87" s="215"/>
    </row>
    <row r="88" spans="1:26" s="1214" customFormat="1" ht="15" thickBot="1">
      <c r="A88" s="3334" t="s">
        <v>397</v>
      </c>
      <c r="B88" s="3335"/>
      <c r="C88" s="3335"/>
      <c r="D88" s="3335"/>
      <c r="E88" s="3335"/>
      <c r="F88" s="3335"/>
      <c r="G88" s="3335"/>
      <c r="H88" s="3335"/>
      <c r="I88" s="1215"/>
      <c r="J88" s="1934"/>
      <c r="K88" s="3352"/>
      <c r="L88" s="2966" t="s">
        <v>2843</v>
      </c>
      <c r="M88" s="2956">
        <f ca="1">IF(N69&gt;10000,N69*0.5%,IF(AND(N69&gt;5000,N69&lt;=10000),N69*1%,IF(AND(N69&gt;1000,N69&lt;=5000),N69*2%,IF(AND(N69&gt;200,N69&lt;=1000),N69*3%,N69*5%))))</f>
        <v>1891.89</v>
      </c>
      <c r="N88" s="19">
        <f ca="1">ROUND(M88,1)</f>
        <v>1891.9</v>
      </c>
      <c r="O88" s="2959"/>
      <c r="P88" s="11"/>
      <c r="Q88" s="1931"/>
      <c r="R88" s="1931"/>
      <c r="S88" s="1931"/>
      <c r="T88" s="1931"/>
      <c r="U88" s="1931"/>
      <c r="V88" s="1931"/>
      <c r="W88" s="1935"/>
      <c r="X88" s="1935"/>
      <c r="Y88" s="1935"/>
      <c r="Z88" s="1935"/>
    </row>
    <row r="89" spans="1:26" s="1214" customFormat="1" ht="14.25">
      <c r="A89" s="3332" t="s">
        <v>388</v>
      </c>
      <c r="B89" s="3333"/>
      <c r="C89" s="913"/>
      <c r="D89" s="913" t="s">
        <v>389</v>
      </c>
      <c r="E89" s="314" t="s">
        <v>398</v>
      </c>
      <c r="F89" s="315"/>
      <c r="G89" s="315"/>
      <c r="H89" s="316"/>
      <c r="I89" s="1216"/>
      <c r="J89" s="1936"/>
      <c r="K89" s="3352"/>
      <c r="L89" s="2966" t="s">
        <v>27</v>
      </c>
      <c r="M89" s="2957"/>
      <c r="N89" s="19">
        <f ca="1">ROUND(SUM(N83:N88),0)</f>
        <v>6095</v>
      </c>
      <c r="O89" s="2967">
        <f ca="1">N89/N69</f>
        <v>1.610823039394468E-2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218718</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295" t="s">
        <v>407</v>
      </c>
      <c r="F94" s="3294"/>
      <c r="G94" s="3294"/>
      <c r="H94" s="3331"/>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23" t="s">
        <v>2390</v>
      </c>
      <c r="F96" s="3324"/>
      <c r="G96" s="3324"/>
      <c r="H96" s="3325"/>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215063</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58.840766073871407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127759</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34" t="s">
        <v>414</v>
      </c>
      <c r="B101" s="3335"/>
      <c r="C101" s="3335"/>
      <c r="D101" s="3335"/>
      <c r="E101" s="3335"/>
      <c r="F101" s="3335"/>
      <c r="G101" s="3335"/>
      <c r="H101" s="3335"/>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32" t="s">
        <v>388</v>
      </c>
      <c r="B102" s="3333"/>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218718</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26" t="s">
        <v>422</v>
      </c>
      <c r="F109" s="3324"/>
      <c r="G109" s="3324"/>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26" t="s">
        <v>424</v>
      </c>
      <c r="F110" s="3324"/>
      <c r="G110" s="3324"/>
      <c r="H110" s="3325"/>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23" t="s">
        <v>2390</v>
      </c>
      <c r="F111" s="3324"/>
      <c r="G111" s="3324"/>
      <c r="H111" s="3325"/>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26" t="s">
        <v>2415</v>
      </c>
      <c r="F112" s="3324"/>
      <c r="G112" s="3324"/>
      <c r="H112" s="3325"/>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216934</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121.59977578475336</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129536</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23" sqref="K23"/>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77" t="s">
        <v>482</v>
      </c>
      <c r="D6" s="3378"/>
      <c r="E6" s="3377" t="s">
        <v>483</v>
      </c>
      <c r="F6" s="3378"/>
      <c r="G6" s="3377" t="s">
        <v>484</v>
      </c>
      <c r="H6" s="3378"/>
      <c r="I6" s="3377" t="s">
        <v>485</v>
      </c>
      <c r="J6" s="3378"/>
      <c r="K6" s="437" t="s">
        <v>486</v>
      </c>
      <c r="L6" s="2031"/>
      <c r="M6" s="2030"/>
      <c r="N6" s="2030"/>
      <c r="O6" s="2032"/>
      <c r="P6" s="3379" t="s">
        <v>487</v>
      </c>
      <c r="Q6" s="3380"/>
      <c r="R6" s="3385" t="s">
        <v>483</v>
      </c>
      <c r="S6" s="3386"/>
      <c r="T6" s="3385" t="s">
        <v>484</v>
      </c>
      <c r="U6" s="3386"/>
      <c r="V6" s="3372" t="s">
        <v>485</v>
      </c>
      <c r="W6" s="3372"/>
      <c r="X6" s="1465"/>
      <c r="Y6" s="3385" t="s">
        <v>487</v>
      </c>
      <c r="Z6" s="3386"/>
      <c r="AA6" s="3374" t="s">
        <v>483</v>
      </c>
      <c r="AB6" s="3375" t="s">
        <v>484</v>
      </c>
      <c r="AC6" s="3374" t="s">
        <v>485</v>
      </c>
    </row>
    <row r="7" spans="1:30" ht="49.5" customHeight="1">
      <c r="A7" s="438"/>
      <c r="B7" s="439"/>
      <c r="C7" s="3393" t="s">
        <v>2891</v>
      </c>
      <c r="D7" s="3394"/>
      <c r="E7" s="3393" t="str">
        <f>土地案例!A4</f>
        <v>北京市大兴区黄村镇DX00-0103-1304地块R2二类居住用地</v>
      </c>
      <c r="F7" s="3394"/>
      <c r="G7" s="3393" t="str">
        <f>土地案例!A14</f>
        <v>大兴区黄村镇DX00-0102-0802地块F1住宅混合公建用地</v>
      </c>
      <c r="H7" s="3394"/>
      <c r="I7" s="3393" t="str">
        <f>土地案例!A20</f>
        <v>北京经济技术开发区II-6街区X84R3地块</v>
      </c>
      <c r="J7" s="3394"/>
      <c r="K7" s="437"/>
      <c r="L7" s="2031"/>
      <c r="M7" s="2030"/>
      <c r="N7" s="2030"/>
      <c r="O7" s="2032"/>
      <c r="P7" s="3381"/>
      <c r="Q7" s="3382"/>
      <c r="R7" s="3387"/>
      <c r="S7" s="3388"/>
      <c r="T7" s="3387"/>
      <c r="U7" s="3388"/>
      <c r="V7" s="3372"/>
      <c r="W7" s="3372"/>
      <c r="X7" s="1465"/>
      <c r="Y7" s="3387"/>
      <c r="Z7" s="3388"/>
      <c r="AA7" s="3375"/>
      <c r="AB7" s="3375"/>
      <c r="AC7" s="3375"/>
    </row>
    <row r="8" spans="1:30" ht="49.5" customHeight="1" thickBot="1">
      <c r="A8" s="438"/>
      <c r="B8" s="439"/>
      <c r="C8" s="3395" t="s">
        <v>3023</v>
      </c>
      <c r="D8" s="3396"/>
      <c r="E8" s="3397" t="str">
        <f>E7</f>
        <v>北京市大兴区黄村镇DX00-0103-1304地块R2二类居住用地</v>
      </c>
      <c r="F8" s="3396"/>
      <c r="G8" s="3391" t="str">
        <f>G7</f>
        <v>大兴区黄村镇DX00-0102-0802地块F1住宅混合公建用地</v>
      </c>
      <c r="H8" s="3392"/>
      <c r="I8" s="3391" t="str">
        <f>I7</f>
        <v>北京经济技术开发区II-6街区X84R3地块</v>
      </c>
      <c r="J8" s="3392"/>
      <c r="K8" s="437" t="s">
        <v>488</v>
      </c>
      <c r="L8" s="2031"/>
      <c r="M8" s="2030"/>
      <c r="N8" s="2030"/>
      <c r="O8" s="2032"/>
      <c r="P8" s="3383"/>
      <c r="Q8" s="3384"/>
      <c r="R8" s="3387"/>
      <c r="S8" s="3388"/>
      <c r="T8" s="3389"/>
      <c r="U8" s="3390"/>
      <c r="V8" s="3372"/>
      <c r="W8" s="3372"/>
      <c r="X8" s="1465"/>
      <c r="Y8" s="3389"/>
      <c r="Z8" s="3390"/>
      <c r="AA8" s="3376"/>
      <c r="AB8" s="3376"/>
      <c r="AC8" s="3376"/>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403" t="s">
        <v>490</v>
      </c>
      <c r="Q9" s="3405"/>
      <c r="R9" s="1466" t="s">
        <v>8</v>
      </c>
      <c r="S9" s="1467">
        <f t="shared" ref="S9:S17" si="0">F9</f>
        <v>99</v>
      </c>
      <c r="T9" s="1466" t="s">
        <v>8</v>
      </c>
      <c r="U9" s="1467">
        <f t="shared" ref="U9:U17" si="1">H9</f>
        <v>98</v>
      </c>
      <c r="V9" s="1466" t="s">
        <v>8</v>
      </c>
      <c r="W9" s="1467">
        <f t="shared" ref="W9:W17" si="2">J9</f>
        <v>97</v>
      </c>
      <c r="X9" s="1468"/>
      <c r="Y9" s="3403" t="s">
        <v>490</v>
      </c>
      <c r="Z9" s="3404"/>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403" t="s">
        <v>493</v>
      </c>
      <c r="Q10" s="3404"/>
      <c r="R10" s="1466" t="s">
        <v>8</v>
      </c>
      <c r="S10" s="1467">
        <f t="shared" si="0"/>
        <v>100</v>
      </c>
      <c r="T10" s="1466" t="s">
        <v>8</v>
      </c>
      <c r="U10" s="1467">
        <f t="shared" si="1"/>
        <v>100</v>
      </c>
      <c r="V10" s="1466" t="s">
        <v>8</v>
      </c>
      <c r="W10" s="1467">
        <f t="shared" si="2"/>
        <v>100</v>
      </c>
      <c r="X10" s="1468"/>
      <c r="Y10" s="3403" t="s">
        <v>493</v>
      </c>
      <c r="Z10" s="3404"/>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71" t="s">
        <v>495</v>
      </c>
      <c r="Q11" s="1063" t="str">
        <f t="shared" ref="Q11:Q17" si="6">B11</f>
        <v>用途</v>
      </c>
      <c r="R11" s="1466" t="s">
        <v>8</v>
      </c>
      <c r="S11" s="1467">
        <f t="shared" si="0"/>
        <v>100</v>
      </c>
      <c r="T11" s="1466" t="s">
        <v>8</v>
      </c>
      <c r="U11" s="1467">
        <f t="shared" si="1"/>
        <v>98</v>
      </c>
      <c r="V11" s="1466" t="s">
        <v>8</v>
      </c>
      <c r="W11" s="1467">
        <f t="shared" si="2"/>
        <v>100</v>
      </c>
      <c r="X11" s="1468"/>
      <c r="Y11" s="3317"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71"/>
      <c r="Q12" s="1063" t="str">
        <f t="shared" si="6"/>
        <v>土地使用年限（年）</v>
      </c>
      <c r="R12" s="1466" t="s">
        <v>8</v>
      </c>
      <c r="S12" s="1467">
        <f t="shared" si="0"/>
        <v>100</v>
      </c>
      <c r="T12" s="1466" t="s">
        <v>8</v>
      </c>
      <c r="U12" s="1467">
        <f t="shared" si="1"/>
        <v>100</v>
      </c>
      <c r="V12" s="1466" t="s">
        <v>8</v>
      </c>
      <c r="W12" s="1467">
        <f t="shared" si="2"/>
        <v>100</v>
      </c>
      <c r="X12" s="1468"/>
      <c r="Y12" s="3317"/>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71"/>
      <c r="Q13" s="1063" t="str">
        <f t="shared" si="6"/>
        <v>容积率</v>
      </c>
      <c r="R13" s="1466" t="s">
        <v>8</v>
      </c>
      <c r="S13" s="1467">
        <f t="shared" si="0"/>
        <v>101</v>
      </c>
      <c r="T13" s="1466" t="s">
        <v>8</v>
      </c>
      <c r="U13" s="1467">
        <f t="shared" si="1"/>
        <v>100</v>
      </c>
      <c r="V13" s="1466" t="s">
        <v>8</v>
      </c>
      <c r="W13" s="1467">
        <f t="shared" si="2"/>
        <v>100</v>
      </c>
      <c r="X13" s="1468"/>
      <c r="Y13" s="3317"/>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71"/>
      <c r="Q14" s="1063" t="str">
        <f t="shared" si="6"/>
        <v>配建</v>
      </c>
      <c r="R14" s="1466" t="s">
        <v>8</v>
      </c>
      <c r="S14" s="1467">
        <f t="shared" si="0"/>
        <v>100</v>
      </c>
      <c r="T14" s="1466" t="s">
        <v>8</v>
      </c>
      <c r="U14" s="1467">
        <f t="shared" si="1"/>
        <v>100</v>
      </c>
      <c r="V14" s="1466" t="s">
        <v>8</v>
      </c>
      <c r="W14" s="1467">
        <f t="shared" si="2"/>
        <v>100</v>
      </c>
      <c r="X14" s="1468"/>
      <c r="Y14" s="3317"/>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71"/>
      <c r="Q15" s="1063">
        <f t="shared" si="6"/>
        <v>111</v>
      </c>
      <c r="R15" s="1466" t="s">
        <v>8</v>
      </c>
      <c r="S15" s="1467">
        <f t="shared" si="0"/>
        <v>100</v>
      </c>
      <c r="T15" s="1466" t="s">
        <v>8</v>
      </c>
      <c r="U15" s="1467">
        <f t="shared" si="1"/>
        <v>100</v>
      </c>
      <c r="V15" s="1466" t="s">
        <v>8</v>
      </c>
      <c r="W15" s="1467">
        <f t="shared" si="2"/>
        <v>100</v>
      </c>
      <c r="X15" s="1468"/>
      <c r="Y15" s="3317"/>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71"/>
      <c r="Q16" s="1063">
        <f t="shared" si="6"/>
        <v>111</v>
      </c>
      <c r="R16" s="1466" t="s">
        <v>8</v>
      </c>
      <c r="S16" s="1467">
        <f t="shared" si="0"/>
        <v>100</v>
      </c>
      <c r="T16" s="1466" t="s">
        <v>8</v>
      </c>
      <c r="U16" s="1467">
        <f t="shared" si="1"/>
        <v>100</v>
      </c>
      <c r="V16" s="1466" t="s">
        <v>8</v>
      </c>
      <c r="W16" s="1467">
        <f t="shared" si="2"/>
        <v>100</v>
      </c>
      <c r="X16" s="1468"/>
      <c r="Y16" s="3317"/>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406" t="s">
        <v>500</v>
      </c>
      <c r="Q17" s="1470" t="str">
        <f t="shared" si="6"/>
        <v>居住社区成熟度</v>
      </c>
      <c r="R17" s="1471" t="s">
        <v>8</v>
      </c>
      <c r="S17" s="1472">
        <f t="shared" si="0"/>
        <v>102</v>
      </c>
      <c r="T17" s="1471" t="s">
        <v>8</v>
      </c>
      <c r="U17" s="1472">
        <f t="shared" si="1"/>
        <v>102</v>
      </c>
      <c r="V17" s="1471" t="s">
        <v>8</v>
      </c>
      <c r="W17" s="1472">
        <f t="shared" si="2"/>
        <v>104</v>
      </c>
      <c r="X17" s="1465"/>
      <c r="Y17" s="340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407"/>
      <c r="Q18" s="1470"/>
      <c r="R18" s="1471"/>
      <c r="S18" s="1472"/>
      <c r="T18" s="1471"/>
      <c r="U18" s="1472"/>
      <c r="V18" s="1471"/>
      <c r="W18" s="1472"/>
      <c r="X18" s="1465"/>
      <c r="Y18" s="340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407"/>
      <c r="Q19" s="1470" t="str">
        <f>B19</f>
        <v>商业繁华度</v>
      </c>
      <c r="R19" s="1471" t="s">
        <v>8</v>
      </c>
      <c r="S19" s="1472">
        <f>F19</f>
        <v>102</v>
      </c>
      <c r="T19" s="1471" t="s">
        <v>8</v>
      </c>
      <c r="U19" s="1472">
        <f>H19</f>
        <v>102</v>
      </c>
      <c r="V19" s="1471" t="s">
        <v>8</v>
      </c>
      <c r="W19" s="1472">
        <f>J19</f>
        <v>104</v>
      </c>
      <c r="X19" s="1465"/>
      <c r="Y19" s="340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407"/>
      <c r="Q20" s="1470"/>
      <c r="R20" s="1471"/>
      <c r="S20" s="1472"/>
      <c r="T20" s="1471"/>
      <c r="U20" s="1472"/>
      <c r="V20" s="1471"/>
      <c r="W20" s="1472"/>
      <c r="X20" s="1465"/>
      <c r="Y20" s="340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407"/>
      <c r="Q21" s="1470" t="str">
        <f>B21</f>
        <v>办公集聚程度</v>
      </c>
      <c r="R21" s="1471" t="s">
        <v>8</v>
      </c>
      <c r="S21" s="1472">
        <f>F21</f>
        <v>100</v>
      </c>
      <c r="T21" s="1471" t="s">
        <v>8</v>
      </c>
      <c r="U21" s="1472">
        <f>H21</f>
        <v>100</v>
      </c>
      <c r="V21" s="1471" t="s">
        <v>8</v>
      </c>
      <c r="W21" s="1472">
        <f>J21</f>
        <v>100</v>
      </c>
      <c r="X21" s="1465"/>
      <c r="Y21" s="340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407"/>
      <c r="Q22" s="1470"/>
      <c r="R22" s="1471"/>
      <c r="S22" s="1472"/>
      <c r="T22" s="1471"/>
      <c r="U22" s="1472"/>
      <c r="V22" s="1471"/>
      <c r="W22" s="1472"/>
      <c r="X22" s="1465"/>
      <c r="Y22" s="340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407"/>
      <c r="Q23" s="1470" t="str">
        <f>B23</f>
        <v>交通便捷度</v>
      </c>
      <c r="R23" s="1471" t="s">
        <v>8</v>
      </c>
      <c r="S23" s="1472">
        <f>F23</f>
        <v>102</v>
      </c>
      <c r="T23" s="1471" t="s">
        <v>8</v>
      </c>
      <c r="U23" s="1472">
        <f>H23</f>
        <v>102</v>
      </c>
      <c r="V23" s="1471" t="s">
        <v>8</v>
      </c>
      <c r="W23" s="1472">
        <f>J23</f>
        <v>100</v>
      </c>
      <c r="X23" s="1465"/>
      <c r="Y23" s="340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407"/>
      <c r="Q24" s="1470"/>
      <c r="R24" s="1471"/>
      <c r="S24" s="1472"/>
      <c r="T24" s="1471"/>
      <c r="U24" s="1472"/>
      <c r="V24" s="1471"/>
      <c r="W24" s="1472"/>
      <c r="X24" s="1465"/>
      <c r="Y24" s="340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407"/>
      <c r="Q25" s="1470" t="str">
        <f t="shared" ref="Q25:Q39" si="8">B25</f>
        <v>区域土地利用方向</v>
      </c>
      <c r="R25" s="1471" t="s">
        <v>8</v>
      </c>
      <c r="S25" s="1472">
        <f>F25</f>
        <v>100</v>
      </c>
      <c r="T25" s="1471" t="s">
        <v>8</v>
      </c>
      <c r="U25" s="1472">
        <f>H25</f>
        <v>100</v>
      </c>
      <c r="V25" s="1471" t="s">
        <v>8</v>
      </c>
      <c r="W25" s="1472">
        <f>J25</f>
        <v>100</v>
      </c>
      <c r="X25" s="1465"/>
      <c r="Y25" s="340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407"/>
      <c r="Q26" s="1470"/>
      <c r="R26" s="1471"/>
      <c r="S26" s="1472"/>
      <c r="T26" s="1471"/>
      <c r="U26" s="1472"/>
      <c r="V26" s="1471"/>
      <c r="W26" s="1472"/>
      <c r="X26" s="1465"/>
      <c r="Y26" s="340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407"/>
      <c r="Q27" s="1470" t="str">
        <f t="shared" si="8"/>
        <v>自然及人文环境状况</v>
      </c>
      <c r="R27" s="1471" t="s">
        <v>8</v>
      </c>
      <c r="S27" s="1472">
        <f>F27</f>
        <v>100</v>
      </c>
      <c r="T27" s="1471" t="s">
        <v>8</v>
      </c>
      <c r="U27" s="1472">
        <f>H27</f>
        <v>100</v>
      </c>
      <c r="V27" s="1471" t="s">
        <v>8</v>
      </c>
      <c r="W27" s="1472">
        <f>J27</f>
        <v>100</v>
      </c>
      <c r="X27" s="1465"/>
      <c r="Y27" s="340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407"/>
      <c r="Q28" s="1470"/>
      <c r="R28" s="1471"/>
      <c r="S28" s="1472"/>
      <c r="T28" s="1471"/>
      <c r="U28" s="1472"/>
      <c r="V28" s="1471"/>
      <c r="W28" s="1472"/>
      <c r="X28" s="1465"/>
      <c r="Y28" s="340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407"/>
      <c r="Q29" s="1063" t="str">
        <f t="shared" si="8"/>
        <v>公共配套设施</v>
      </c>
      <c r="R29" s="1466" t="s">
        <v>8</v>
      </c>
      <c r="S29" s="1467">
        <f>F29</f>
        <v>100</v>
      </c>
      <c r="T29" s="1466" t="s">
        <v>8</v>
      </c>
      <c r="U29" s="1467">
        <f>H29</f>
        <v>100</v>
      </c>
      <c r="V29" s="1466" t="s">
        <v>8</v>
      </c>
      <c r="W29" s="1467">
        <f>J29</f>
        <v>100</v>
      </c>
      <c r="X29" s="1468"/>
      <c r="Y29" s="340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407"/>
      <c r="Q30" s="1063"/>
      <c r="R30" s="1466"/>
      <c r="S30" s="1467"/>
      <c r="T30" s="1466"/>
      <c r="U30" s="1467"/>
      <c r="V30" s="1466"/>
      <c r="W30" s="1467"/>
      <c r="X30" s="1468"/>
      <c r="Y30" s="340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407"/>
      <c r="Q31" s="2489" t="str">
        <f t="shared" ref="Q31" si="9">B31</f>
        <v>基础设施水平</v>
      </c>
      <c r="R31" s="1466" t="s">
        <v>8</v>
      </c>
      <c r="S31" s="1467">
        <f>F31</f>
        <v>100</v>
      </c>
      <c r="T31" s="1466" t="s">
        <v>8</v>
      </c>
      <c r="U31" s="1467">
        <f>H31</f>
        <v>100</v>
      </c>
      <c r="V31" s="1466" t="s">
        <v>8</v>
      </c>
      <c r="W31" s="1467">
        <f>J31</f>
        <v>100</v>
      </c>
      <c r="X31" s="1468"/>
      <c r="Y31" s="340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407"/>
      <c r="Q32" s="2489"/>
      <c r="R32" s="1466"/>
      <c r="S32" s="1467"/>
      <c r="T32" s="1466"/>
      <c r="U32" s="1467"/>
      <c r="V32" s="1466"/>
      <c r="W32" s="1467"/>
      <c r="X32" s="1468"/>
      <c r="Y32" s="340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40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40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407"/>
      <c r="Q34" s="1470" t="str">
        <f t="shared" si="8"/>
        <v>毗邻道路的类型与等级</v>
      </c>
      <c r="R34" s="1471" t="s">
        <v>8</v>
      </c>
      <c r="S34" s="1472">
        <f t="shared" si="10"/>
        <v>101</v>
      </c>
      <c r="T34" s="1471" t="s">
        <v>8</v>
      </c>
      <c r="U34" s="1472">
        <f t="shared" si="11"/>
        <v>100</v>
      </c>
      <c r="V34" s="1471" t="s">
        <v>8</v>
      </c>
      <c r="W34" s="1472">
        <f t="shared" si="12"/>
        <v>100</v>
      </c>
      <c r="X34" s="1465"/>
      <c r="Y34" s="340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407"/>
      <c r="Q35" s="1470"/>
      <c r="R35" s="1471"/>
      <c r="S35" s="1472"/>
      <c r="T35" s="1471"/>
      <c r="U35" s="1472"/>
      <c r="V35" s="1471"/>
      <c r="W35" s="1472"/>
      <c r="X35" s="1465"/>
      <c r="Y35" s="340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407"/>
      <c r="Q36" s="1470" t="str">
        <f t="shared" si="8"/>
        <v>土地级别</v>
      </c>
      <c r="R36" s="1471" t="s">
        <v>8</v>
      </c>
      <c r="S36" s="1472">
        <f t="shared" si="10"/>
        <v>100</v>
      </c>
      <c r="T36" s="1471" t="s">
        <v>8</v>
      </c>
      <c r="U36" s="1472">
        <f t="shared" si="11"/>
        <v>100</v>
      </c>
      <c r="V36" s="1471" t="s">
        <v>8</v>
      </c>
      <c r="W36" s="1472">
        <f t="shared" si="12"/>
        <v>100</v>
      </c>
      <c r="X36" s="1465"/>
      <c r="Y36" s="340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407"/>
      <c r="Q37" s="1470">
        <f t="shared" si="8"/>
        <v>111</v>
      </c>
      <c r="R37" s="1471" t="s">
        <v>8</v>
      </c>
      <c r="S37" s="1472">
        <f t="shared" si="10"/>
        <v>100</v>
      </c>
      <c r="T37" s="1471" t="s">
        <v>8</v>
      </c>
      <c r="U37" s="1472">
        <f t="shared" si="11"/>
        <v>100</v>
      </c>
      <c r="V37" s="1471" t="s">
        <v>8</v>
      </c>
      <c r="W37" s="1472">
        <f t="shared" si="12"/>
        <v>100</v>
      </c>
      <c r="X37" s="1465"/>
      <c r="Y37" s="340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408" t="s">
        <v>510</v>
      </c>
      <c r="Q38" s="1470">
        <f t="shared" si="8"/>
        <v>111</v>
      </c>
      <c r="R38" s="1471" t="s">
        <v>8</v>
      </c>
      <c r="S38" s="1472">
        <f t="shared" si="10"/>
        <v>100</v>
      </c>
      <c r="T38" s="1471" t="s">
        <v>8</v>
      </c>
      <c r="U38" s="1472">
        <f t="shared" si="11"/>
        <v>100</v>
      </c>
      <c r="V38" s="1471" t="s">
        <v>8</v>
      </c>
      <c r="W38" s="1472">
        <f t="shared" si="12"/>
        <v>100</v>
      </c>
      <c r="X38" s="1465"/>
      <c r="Y38" s="340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409"/>
      <c r="Q39" s="1470">
        <f t="shared" si="8"/>
        <v>111</v>
      </c>
      <c r="R39" s="1475" t="s">
        <v>8</v>
      </c>
      <c r="S39" s="1476">
        <f t="shared" si="10"/>
        <v>100</v>
      </c>
      <c r="T39" s="1475" t="s">
        <v>8</v>
      </c>
      <c r="U39" s="1476">
        <f t="shared" si="11"/>
        <v>100</v>
      </c>
      <c r="V39" s="1475" t="s">
        <v>8</v>
      </c>
      <c r="W39" s="1476">
        <f t="shared" si="12"/>
        <v>100</v>
      </c>
      <c r="X39" s="1477"/>
      <c r="Y39" s="340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409"/>
      <c r="Q40" s="1470" t="str">
        <f>B40</f>
        <v>宗地面积</v>
      </c>
      <c r="R40" s="1471" t="s">
        <v>8</v>
      </c>
      <c r="S40" s="1472">
        <f t="shared" si="10"/>
        <v>94</v>
      </c>
      <c r="T40" s="1471" t="s">
        <v>8</v>
      </c>
      <c r="U40" s="1472">
        <f t="shared" si="11"/>
        <v>94</v>
      </c>
      <c r="V40" s="1471" t="s">
        <v>8</v>
      </c>
      <c r="W40" s="1472">
        <f t="shared" si="12"/>
        <v>96</v>
      </c>
      <c r="X40" s="1465"/>
      <c r="Y40" s="340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409"/>
      <c r="Q41" s="1470" t="str">
        <f t="shared" ref="Q41:Q47" si="14">B41</f>
        <v>宗地形状</v>
      </c>
      <c r="R41" s="1471" t="s">
        <v>8</v>
      </c>
      <c r="S41" s="1472">
        <f t="shared" si="10"/>
        <v>100</v>
      </c>
      <c r="T41" s="1471" t="s">
        <v>8</v>
      </c>
      <c r="U41" s="1472">
        <f t="shared" si="11"/>
        <v>100</v>
      </c>
      <c r="V41" s="1471" t="s">
        <v>8</v>
      </c>
      <c r="W41" s="1472">
        <f t="shared" si="12"/>
        <v>100</v>
      </c>
      <c r="X41" s="1465"/>
      <c r="Y41" s="340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409"/>
      <c r="Q42" s="1470" t="str">
        <f t="shared" si="14"/>
        <v>临街宽度及深度</v>
      </c>
      <c r="R42" s="1471" t="s">
        <v>8</v>
      </c>
      <c r="S42" s="1472">
        <f t="shared" si="10"/>
        <v>100</v>
      </c>
      <c r="T42" s="1471" t="s">
        <v>8</v>
      </c>
      <c r="U42" s="1472">
        <f t="shared" si="11"/>
        <v>100</v>
      </c>
      <c r="V42" s="1471" t="s">
        <v>8</v>
      </c>
      <c r="W42" s="1472">
        <f t="shared" si="12"/>
        <v>100</v>
      </c>
      <c r="X42" s="1465"/>
      <c r="Y42" s="340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409"/>
      <c r="Q43" s="1470" t="str">
        <f t="shared" si="14"/>
        <v>宗地开发程度</v>
      </c>
      <c r="R43" s="1466" t="s">
        <v>8</v>
      </c>
      <c r="S43" s="1467">
        <f t="shared" si="10"/>
        <v>98</v>
      </c>
      <c r="T43" s="1466" t="s">
        <v>8</v>
      </c>
      <c r="U43" s="1467">
        <f t="shared" si="11"/>
        <v>101</v>
      </c>
      <c r="V43" s="1466" t="s">
        <v>8</v>
      </c>
      <c r="W43" s="1467">
        <f t="shared" si="12"/>
        <v>101</v>
      </c>
      <c r="X43" s="1468"/>
      <c r="Y43" s="340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409" t="s">
        <v>510</v>
      </c>
      <c r="Q44" s="1470" t="str">
        <f t="shared" si="14"/>
        <v>工程地质条件</v>
      </c>
      <c r="R44" s="1471" t="s">
        <v>8</v>
      </c>
      <c r="S44" s="1472">
        <f t="shared" si="10"/>
        <v>100</v>
      </c>
      <c r="T44" s="1471" t="s">
        <v>8</v>
      </c>
      <c r="U44" s="1472">
        <f t="shared" si="11"/>
        <v>100</v>
      </c>
      <c r="V44" s="1471" t="s">
        <v>8</v>
      </c>
      <c r="W44" s="1472">
        <f t="shared" si="12"/>
        <v>100</v>
      </c>
      <c r="X44" s="1465"/>
      <c r="Y44" s="340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409"/>
      <c r="Q45" s="1470">
        <f t="shared" si="14"/>
        <v>111</v>
      </c>
      <c r="R45" s="1471" t="s">
        <v>8</v>
      </c>
      <c r="S45" s="1472">
        <f t="shared" si="10"/>
        <v>100</v>
      </c>
      <c r="T45" s="1471" t="s">
        <v>8</v>
      </c>
      <c r="U45" s="1472">
        <f t="shared" si="11"/>
        <v>100</v>
      </c>
      <c r="V45" s="1471" t="s">
        <v>8</v>
      </c>
      <c r="W45" s="1472">
        <f t="shared" si="12"/>
        <v>100</v>
      </c>
      <c r="X45" s="1465"/>
      <c r="Y45" s="340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409"/>
      <c r="Q46" s="1470">
        <f t="shared" si="14"/>
        <v>111</v>
      </c>
      <c r="R46" s="1471" t="s">
        <v>8</v>
      </c>
      <c r="S46" s="1472">
        <f t="shared" si="10"/>
        <v>100</v>
      </c>
      <c r="T46" s="1471" t="s">
        <v>8</v>
      </c>
      <c r="U46" s="1472">
        <f t="shared" si="11"/>
        <v>100</v>
      </c>
      <c r="V46" s="1471" t="s">
        <v>8</v>
      </c>
      <c r="W46" s="1472">
        <f t="shared" si="12"/>
        <v>100</v>
      </c>
      <c r="X46" s="1465"/>
      <c r="Y46" s="340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409"/>
      <c r="Q47" s="1470">
        <f t="shared" si="14"/>
        <v>111</v>
      </c>
      <c r="R47" s="1475" t="s">
        <v>8</v>
      </c>
      <c r="S47" s="1476">
        <f t="shared" si="10"/>
        <v>100</v>
      </c>
      <c r="T47" s="1475" t="s">
        <v>8</v>
      </c>
      <c r="U47" s="1476">
        <f t="shared" si="11"/>
        <v>100</v>
      </c>
      <c r="V47" s="1475" t="s">
        <v>8</v>
      </c>
      <c r="W47" s="1476">
        <f t="shared" si="12"/>
        <v>100</v>
      </c>
      <c r="X47" s="1477"/>
      <c r="Y47" s="340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71" t="str">
        <f>A48</f>
        <v>成交单价</v>
      </c>
      <c r="Q48" s="3371"/>
      <c r="R48" s="3372">
        <f>E48</f>
        <v>17194</v>
      </c>
      <c r="S48" s="3372"/>
      <c r="T48" s="3372">
        <f>G48</f>
        <v>18874</v>
      </c>
      <c r="U48" s="3372"/>
      <c r="V48" s="3372">
        <f>I48</f>
        <v>20824</v>
      </c>
      <c r="W48" s="3372"/>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71" t="str">
        <f>A49</f>
        <v>比较价格（元/平方米）</v>
      </c>
      <c r="Q49" s="3371"/>
      <c r="R49" s="3373">
        <f>ROUND(PRODUCT(R48,AA9:AA47),0)</f>
        <v>17592</v>
      </c>
      <c r="S49" s="3373"/>
      <c r="T49" s="3373">
        <f>ROUND(PRODUCT(T48,AB9:AB47),0)</f>
        <v>19506</v>
      </c>
      <c r="U49" s="3373"/>
      <c r="V49" s="3373">
        <f>ROUND(PRODUCT(V48,AC9:AC47),0)</f>
        <v>20471</v>
      </c>
      <c r="W49" s="3373"/>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368" t="str">
        <f>A50</f>
        <v>估价对象XX用房的比较价格（楼面单价，元/平方米）</v>
      </c>
      <c r="Q50" s="3369"/>
      <c r="R50" s="3370">
        <f>ROUND(AVERAGE(R49:V49),0)</f>
        <v>19190</v>
      </c>
      <c r="S50" s="3370"/>
      <c r="T50" s="3370"/>
      <c r="U50" s="3370"/>
      <c r="V50" s="3370"/>
      <c r="W50" s="3370"/>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98" t="s">
        <v>2243</v>
      </c>
      <c r="H57" s="339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400"/>
      <c r="H58" s="340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40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40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40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40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358651</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12844</v>
      </c>
      <c r="C3" s="2002"/>
      <c r="D3" s="2002"/>
      <c r="E3" s="2002"/>
      <c r="F3" s="2002"/>
      <c r="G3" s="2002"/>
      <c r="H3" s="2002"/>
      <c r="I3" s="2002"/>
      <c r="J3" s="2002"/>
      <c r="K3" s="2002"/>
    </row>
    <row r="4" spans="1:31" s="1939" customFormat="1" ht="18" customHeight="1">
      <c r="A4" s="349" t="s">
        <v>428</v>
      </c>
      <c r="B4" s="350">
        <f ca="1">ROUND(B2*10000/IF(B1="",'数据-汇总表'!D3,INDIRECT("'数据-取费表'!R"&amp;$K$1)),0)</f>
        <v>40538</v>
      </c>
      <c r="C4" s="351"/>
      <c r="D4" s="345"/>
      <c r="E4" s="345"/>
      <c r="F4" s="345"/>
      <c r="G4" s="345"/>
      <c r="H4" s="345"/>
      <c r="I4" s="345"/>
      <c r="J4" s="345"/>
      <c r="K4" s="345"/>
    </row>
    <row r="5" spans="1:31" s="1939" customFormat="1" ht="18" customHeight="1" thickBot="1">
      <c r="A5" s="352"/>
      <c r="B5" s="353">
        <f ca="1">ROUND(B2/(IF(B1="",'数据-汇总表'!D3,INDIRECT("'数据-取费表'!R"&amp;$K$1))/666.67),0)</f>
        <v>2703</v>
      </c>
      <c r="C5" s="354" t="s">
        <v>429</v>
      </c>
      <c r="D5" s="345"/>
      <c r="E5" s="345"/>
      <c r="F5" s="345"/>
      <c r="G5" s="345"/>
      <c r="H5" s="345"/>
      <c r="I5" s="345"/>
      <c r="J5" s="345"/>
      <c r="K5" s="345"/>
    </row>
    <row r="6" spans="1:31" s="2009" customFormat="1" ht="16.5" customHeight="1">
      <c r="A6" s="2739" t="s">
        <v>1802</v>
      </c>
      <c r="B6" s="2740"/>
      <c r="C6" s="2741">
        <f ca="1">SUM(C10:K10)</f>
        <v>631720</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5505</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8721</v>
      </c>
      <c r="E10" s="2929">
        <f>'不动产比较法-车位'!B2</f>
        <v>15638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9476</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8762</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8762</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33090</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163394</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163394</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10939</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10939</v>
      </c>
      <c r="D35" s="1527"/>
      <c r="E35" s="2775"/>
      <c r="F35" s="1528"/>
      <c r="G35" s="2733"/>
      <c r="H35" s="2734"/>
      <c r="I35" s="2734"/>
      <c r="J35" s="2734"/>
      <c r="K35" s="2735"/>
    </row>
    <row r="36" spans="1:11" s="1983" customFormat="1" ht="13.5" customHeight="1" thickBot="1">
      <c r="A36" s="207" t="s">
        <v>1804</v>
      </c>
      <c r="B36" s="2737"/>
      <c r="C36" s="2776">
        <f ca="1">ROUND((C6-C30-C33)/(1+D30+D33),0)</f>
        <v>358651</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77" t="s">
        <v>482</v>
      </c>
      <c r="D6" s="3378"/>
      <c r="E6" s="3412" t="s">
        <v>483</v>
      </c>
      <c r="F6" s="3413"/>
      <c r="G6" s="3377" t="s">
        <v>484</v>
      </c>
      <c r="H6" s="3378"/>
      <c r="I6" s="3377" t="s">
        <v>485</v>
      </c>
      <c r="J6" s="3378"/>
      <c r="K6" s="437" t="s">
        <v>486</v>
      </c>
      <c r="L6" s="2031"/>
      <c r="M6" s="2032"/>
      <c r="N6" s="2032"/>
      <c r="O6" s="2032"/>
      <c r="P6" s="3379" t="s">
        <v>487</v>
      </c>
      <c r="Q6" s="3380"/>
      <c r="R6" s="3385" t="s">
        <v>483</v>
      </c>
      <c r="S6" s="3386"/>
      <c r="T6" s="3385" t="s">
        <v>484</v>
      </c>
      <c r="U6" s="3386"/>
      <c r="V6" s="3372" t="s">
        <v>485</v>
      </c>
      <c r="W6" s="3372"/>
      <c r="X6" s="1465"/>
      <c r="Y6" s="3385" t="s">
        <v>487</v>
      </c>
      <c r="Z6" s="3386"/>
      <c r="AA6" s="3374" t="s">
        <v>483</v>
      </c>
      <c r="AB6" s="3375" t="s">
        <v>484</v>
      </c>
      <c r="AC6" s="3374" t="s">
        <v>485</v>
      </c>
    </row>
    <row r="7" spans="1:29" ht="15">
      <c r="A7" s="438"/>
      <c r="B7" s="439"/>
      <c r="C7" s="3393" t="s">
        <v>2891</v>
      </c>
      <c r="D7" s="3394"/>
      <c r="E7" s="3414" t="s">
        <v>2892</v>
      </c>
      <c r="F7" s="3415"/>
      <c r="G7" s="3393" t="s">
        <v>2893</v>
      </c>
      <c r="H7" s="3394"/>
      <c r="I7" s="3393" t="s">
        <v>2894</v>
      </c>
      <c r="J7" s="3394"/>
      <c r="K7" s="437"/>
      <c r="L7" s="2031"/>
      <c r="M7" s="2032"/>
      <c r="N7" s="2032"/>
      <c r="O7" s="2032"/>
      <c r="P7" s="3381"/>
      <c r="Q7" s="3382"/>
      <c r="R7" s="3387"/>
      <c r="S7" s="3388"/>
      <c r="T7" s="3387"/>
      <c r="U7" s="3388"/>
      <c r="V7" s="3372"/>
      <c r="W7" s="3372"/>
      <c r="X7" s="1465"/>
      <c r="Y7" s="3387"/>
      <c r="Z7" s="3388"/>
      <c r="AA7" s="3375"/>
      <c r="AB7" s="3375"/>
      <c r="AC7" s="3375"/>
    </row>
    <row r="8" spans="1:29" ht="15.75" thickBot="1">
      <c r="A8" s="440"/>
      <c r="B8" s="441"/>
      <c r="C8" s="3391" t="s">
        <v>2895</v>
      </c>
      <c r="D8" s="3392"/>
      <c r="E8" s="3410" t="s">
        <v>2895</v>
      </c>
      <c r="F8" s="3411"/>
      <c r="G8" s="3391" t="s">
        <v>2895</v>
      </c>
      <c r="H8" s="3392"/>
      <c r="I8" s="3391" t="s">
        <v>2895</v>
      </c>
      <c r="J8" s="3392"/>
      <c r="K8" s="437" t="s">
        <v>488</v>
      </c>
      <c r="L8" s="2031"/>
      <c r="M8" s="2032"/>
      <c r="N8" s="2032"/>
      <c r="O8" s="2032"/>
      <c r="P8" s="3383"/>
      <c r="Q8" s="3384"/>
      <c r="R8" s="3387"/>
      <c r="S8" s="3388"/>
      <c r="T8" s="3389"/>
      <c r="U8" s="3390"/>
      <c r="V8" s="3372"/>
      <c r="W8" s="3372"/>
      <c r="X8" s="1465"/>
      <c r="Y8" s="3389"/>
      <c r="Z8" s="3390"/>
      <c r="AA8" s="3376"/>
      <c r="AB8" s="3376"/>
      <c r="AC8" s="3376"/>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403" t="s">
        <v>490</v>
      </c>
      <c r="Q9" s="3405"/>
      <c r="R9" s="1466" t="s">
        <v>8</v>
      </c>
      <c r="S9" s="1467">
        <f t="shared" ref="S9:S17" si="0">F9</f>
        <v>0</v>
      </c>
      <c r="T9" s="1466" t="s">
        <v>8</v>
      </c>
      <c r="U9" s="1467">
        <f t="shared" ref="U9:U17" si="1">H9</f>
        <v>0</v>
      </c>
      <c r="V9" s="1466" t="s">
        <v>8</v>
      </c>
      <c r="W9" s="1467">
        <f t="shared" ref="W9:W17" si="2">J9</f>
        <v>0</v>
      </c>
      <c r="X9" s="1468"/>
      <c r="Y9" s="3403" t="s">
        <v>490</v>
      </c>
      <c r="Z9" s="3404"/>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403" t="s">
        <v>493</v>
      </c>
      <c r="Q10" s="3404"/>
      <c r="R10" s="1466" t="s">
        <v>8</v>
      </c>
      <c r="S10" s="1467">
        <f t="shared" si="0"/>
        <v>0</v>
      </c>
      <c r="T10" s="1466" t="s">
        <v>8</v>
      </c>
      <c r="U10" s="1467">
        <f t="shared" si="1"/>
        <v>0</v>
      </c>
      <c r="V10" s="1466" t="s">
        <v>8</v>
      </c>
      <c r="W10" s="1467">
        <f t="shared" si="2"/>
        <v>0</v>
      </c>
      <c r="X10" s="1468"/>
      <c r="Y10" s="3403" t="s">
        <v>493</v>
      </c>
      <c r="Z10" s="3404"/>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71" t="s">
        <v>495</v>
      </c>
      <c r="Q11" s="1063" t="str">
        <f t="shared" ref="Q11:Q17" si="6">B11</f>
        <v>用途</v>
      </c>
      <c r="R11" s="1466" t="s">
        <v>8</v>
      </c>
      <c r="S11" s="1467">
        <f t="shared" si="0"/>
        <v>100</v>
      </c>
      <c r="T11" s="1466" t="s">
        <v>8</v>
      </c>
      <c r="U11" s="1467">
        <f t="shared" si="1"/>
        <v>100</v>
      </c>
      <c r="V11" s="1466" t="s">
        <v>8</v>
      </c>
      <c r="W11" s="1467">
        <f t="shared" si="2"/>
        <v>100</v>
      </c>
      <c r="X11" s="1468"/>
      <c r="Y11" s="3317"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71"/>
      <c r="Q12" s="1063" t="str">
        <f t="shared" si="6"/>
        <v>土地使用年限（年）</v>
      </c>
      <c r="R12" s="1466" t="s">
        <v>8</v>
      </c>
      <c r="S12" s="1467">
        <f t="shared" si="0"/>
        <v>100</v>
      </c>
      <c r="T12" s="1466" t="s">
        <v>8</v>
      </c>
      <c r="U12" s="1467">
        <f t="shared" si="1"/>
        <v>100</v>
      </c>
      <c r="V12" s="1466" t="s">
        <v>8</v>
      </c>
      <c r="W12" s="1467">
        <f t="shared" si="2"/>
        <v>100</v>
      </c>
      <c r="X12" s="1468"/>
      <c r="Y12" s="3317"/>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71"/>
      <c r="Q13" s="1063" t="str">
        <f t="shared" si="6"/>
        <v>容积率</v>
      </c>
      <c r="R13" s="1466" t="s">
        <v>8</v>
      </c>
      <c r="S13" s="1467" t="e">
        <f t="shared" si="0"/>
        <v>#N/A</v>
      </c>
      <c r="T13" s="1466" t="s">
        <v>8</v>
      </c>
      <c r="U13" s="1467" t="e">
        <f t="shared" si="1"/>
        <v>#N/A</v>
      </c>
      <c r="V13" s="1466" t="s">
        <v>8</v>
      </c>
      <c r="W13" s="1467" t="e">
        <f t="shared" si="2"/>
        <v>#N/A</v>
      </c>
      <c r="X13" s="1468"/>
      <c r="Y13" s="3317"/>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71"/>
      <c r="Q15" s="1063">
        <f t="shared" si="6"/>
        <v>111</v>
      </c>
      <c r="R15" s="1466" t="s">
        <v>8</v>
      </c>
      <c r="S15" s="1467">
        <f t="shared" si="0"/>
        <v>100</v>
      </c>
      <c r="T15" s="1466" t="s">
        <v>8</v>
      </c>
      <c r="U15" s="1467">
        <f t="shared" si="1"/>
        <v>100</v>
      </c>
      <c r="V15" s="1466" t="s">
        <v>8</v>
      </c>
      <c r="W15" s="1467">
        <f t="shared" si="2"/>
        <v>100</v>
      </c>
      <c r="X15" s="1468"/>
      <c r="Y15" s="3317"/>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71"/>
      <c r="Q16" s="1063">
        <f t="shared" si="6"/>
        <v>111</v>
      </c>
      <c r="R16" s="1466" t="s">
        <v>8</v>
      </c>
      <c r="S16" s="1467">
        <f t="shared" si="0"/>
        <v>100</v>
      </c>
      <c r="T16" s="1466" t="s">
        <v>8</v>
      </c>
      <c r="U16" s="1467">
        <f t="shared" si="1"/>
        <v>100</v>
      </c>
      <c r="V16" s="1466" t="s">
        <v>8</v>
      </c>
      <c r="W16" s="1467">
        <f t="shared" si="2"/>
        <v>100</v>
      </c>
      <c r="X16" s="1468"/>
      <c r="Y16" s="3317"/>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406" t="s">
        <v>500</v>
      </c>
      <c r="Q17" s="1470" t="str">
        <f t="shared" si="6"/>
        <v>产业集聚程度</v>
      </c>
      <c r="R17" s="1471" t="s">
        <v>8</v>
      </c>
      <c r="S17" s="1472">
        <f t="shared" si="0"/>
        <v>100</v>
      </c>
      <c r="T17" s="1471" t="s">
        <v>8</v>
      </c>
      <c r="U17" s="1472">
        <f t="shared" si="1"/>
        <v>100</v>
      </c>
      <c r="V17" s="1471" t="s">
        <v>8</v>
      </c>
      <c r="W17" s="1472">
        <f t="shared" si="2"/>
        <v>100</v>
      </c>
      <c r="X17" s="1465"/>
      <c r="Y17" s="340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407"/>
      <c r="Q18" s="1470"/>
      <c r="R18" s="1471"/>
      <c r="S18" s="1472"/>
      <c r="T18" s="1471"/>
      <c r="U18" s="1472"/>
      <c r="V18" s="1471"/>
      <c r="W18" s="1472"/>
      <c r="X18" s="1465"/>
      <c r="Y18" s="340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407"/>
      <c r="Q19" s="1470" t="str">
        <f>B19</f>
        <v>交通便捷度</v>
      </c>
      <c r="R19" s="1471" t="s">
        <v>8</v>
      </c>
      <c r="S19" s="1472">
        <f>F19</f>
        <v>100</v>
      </c>
      <c r="T19" s="1471" t="s">
        <v>8</v>
      </c>
      <c r="U19" s="1472">
        <f>H19</f>
        <v>100</v>
      </c>
      <c r="V19" s="1471" t="s">
        <v>8</v>
      </c>
      <c r="W19" s="1472">
        <f>J19</f>
        <v>100</v>
      </c>
      <c r="X19" s="1465"/>
      <c r="Y19" s="340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407"/>
      <c r="Q21" s="1470" t="str">
        <f t="shared" ref="Q21:Q35" si="8">B21</f>
        <v>区域土地利用方向</v>
      </c>
      <c r="R21" s="1471" t="s">
        <v>8</v>
      </c>
      <c r="S21" s="1472">
        <f>F21</f>
        <v>100</v>
      </c>
      <c r="T21" s="1471" t="s">
        <v>8</v>
      </c>
      <c r="U21" s="1472">
        <f>H21</f>
        <v>100</v>
      </c>
      <c r="V21" s="1471" t="s">
        <v>8</v>
      </c>
      <c r="W21" s="1472">
        <f>J21</f>
        <v>100</v>
      </c>
      <c r="X21" s="1465"/>
      <c r="Y21" s="340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407"/>
      <c r="Q22" s="1470"/>
      <c r="R22" s="1471"/>
      <c r="S22" s="1472"/>
      <c r="T22" s="1471"/>
      <c r="U22" s="1472"/>
      <c r="V22" s="1471"/>
      <c r="W22" s="1472"/>
      <c r="X22" s="1465"/>
      <c r="Y22" s="340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407"/>
      <c r="Q23" s="1470" t="str">
        <f t="shared" si="8"/>
        <v>环境状况</v>
      </c>
      <c r="R23" s="1471" t="s">
        <v>8</v>
      </c>
      <c r="S23" s="1472">
        <f>F23</f>
        <v>100</v>
      </c>
      <c r="T23" s="1471" t="s">
        <v>8</v>
      </c>
      <c r="U23" s="1472">
        <f>H23</f>
        <v>100</v>
      </c>
      <c r="V23" s="1471" t="s">
        <v>8</v>
      </c>
      <c r="W23" s="1472">
        <f>J23</f>
        <v>100</v>
      </c>
      <c r="X23" s="1465"/>
      <c r="Y23" s="340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407"/>
      <c r="Q24" s="1470"/>
      <c r="R24" s="1471"/>
      <c r="S24" s="1472"/>
      <c r="T24" s="1471"/>
      <c r="U24" s="1472"/>
      <c r="V24" s="1471"/>
      <c r="W24" s="1472"/>
      <c r="X24" s="1465"/>
      <c r="Y24" s="340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407"/>
      <c r="Q25" s="1063" t="str">
        <f t="shared" si="8"/>
        <v>公共配套设施</v>
      </c>
      <c r="R25" s="1466" t="s">
        <v>8</v>
      </c>
      <c r="S25" s="1467">
        <f>F25</f>
        <v>100</v>
      </c>
      <c r="T25" s="1466" t="s">
        <v>8</v>
      </c>
      <c r="U25" s="1467">
        <f>H25</f>
        <v>100</v>
      </c>
      <c r="V25" s="1466" t="s">
        <v>8</v>
      </c>
      <c r="W25" s="1467">
        <f>J25</f>
        <v>100</v>
      </c>
      <c r="X25" s="1468"/>
      <c r="Y25" s="340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407"/>
      <c r="Q26" s="1063"/>
      <c r="R26" s="1466"/>
      <c r="S26" s="1467"/>
      <c r="T26" s="1466"/>
      <c r="U26" s="1467"/>
      <c r="V26" s="1466"/>
      <c r="W26" s="1467"/>
      <c r="X26" s="1468"/>
      <c r="Y26" s="340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407"/>
      <c r="Q27" s="2489" t="str">
        <f t="shared" ref="Q27" si="9">B27</f>
        <v>基础设施水平</v>
      </c>
      <c r="R27" s="1466" t="s">
        <v>8</v>
      </c>
      <c r="S27" s="1467">
        <f>F27</f>
        <v>100</v>
      </c>
      <c r="T27" s="1466" t="s">
        <v>8</v>
      </c>
      <c r="U27" s="1467">
        <f>H27</f>
        <v>100</v>
      </c>
      <c r="V27" s="1466" t="s">
        <v>8</v>
      </c>
      <c r="W27" s="1467">
        <f>J27</f>
        <v>100</v>
      </c>
      <c r="X27" s="1468"/>
      <c r="Y27" s="340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407"/>
      <c r="Q28" s="2489"/>
      <c r="R28" s="1466"/>
      <c r="S28" s="1467"/>
      <c r="T28" s="1466"/>
      <c r="U28" s="1467"/>
      <c r="V28" s="1466"/>
      <c r="W28" s="1467"/>
      <c r="X28" s="1468"/>
      <c r="Y28" s="340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40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40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407"/>
      <c r="Q30" s="1470" t="str">
        <f t="shared" si="8"/>
        <v>毗邻道路的类型与等级</v>
      </c>
      <c r="R30" s="1471" t="s">
        <v>8</v>
      </c>
      <c r="S30" s="1472">
        <f t="shared" si="10"/>
        <v>100</v>
      </c>
      <c r="T30" s="1471" t="s">
        <v>8</v>
      </c>
      <c r="U30" s="1472">
        <f t="shared" si="11"/>
        <v>100</v>
      </c>
      <c r="V30" s="1471" t="s">
        <v>8</v>
      </c>
      <c r="W30" s="1472">
        <f t="shared" si="12"/>
        <v>100</v>
      </c>
      <c r="X30" s="1465"/>
      <c r="Y30" s="340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407"/>
      <c r="Q31" s="1470"/>
      <c r="R31" s="1471"/>
      <c r="S31" s="1472"/>
      <c r="T31" s="1471"/>
      <c r="U31" s="1472"/>
      <c r="V31" s="1471"/>
      <c r="W31" s="1472"/>
      <c r="X31" s="1465"/>
      <c r="Y31" s="340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407"/>
      <c r="Q32" s="1470" t="str">
        <f t="shared" si="8"/>
        <v>土地级别</v>
      </c>
      <c r="R32" s="1471" t="s">
        <v>8</v>
      </c>
      <c r="S32" s="1472">
        <f t="shared" si="10"/>
        <v>100</v>
      </c>
      <c r="T32" s="1471" t="s">
        <v>8</v>
      </c>
      <c r="U32" s="1472">
        <f t="shared" si="11"/>
        <v>100</v>
      </c>
      <c r="V32" s="1471" t="s">
        <v>8</v>
      </c>
      <c r="W32" s="1472">
        <f t="shared" si="12"/>
        <v>100</v>
      </c>
      <c r="X32" s="1465"/>
      <c r="Y32" s="340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407"/>
      <c r="Q33" s="1470">
        <f t="shared" si="8"/>
        <v>111</v>
      </c>
      <c r="R33" s="1471" t="s">
        <v>8</v>
      </c>
      <c r="S33" s="1472">
        <f t="shared" si="10"/>
        <v>100</v>
      </c>
      <c r="T33" s="1471" t="s">
        <v>8</v>
      </c>
      <c r="U33" s="1472">
        <f t="shared" si="11"/>
        <v>100</v>
      </c>
      <c r="V33" s="1471" t="s">
        <v>8</v>
      </c>
      <c r="W33" s="1472">
        <f t="shared" si="12"/>
        <v>100</v>
      </c>
      <c r="X33" s="1465"/>
      <c r="Y33" s="340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408" t="s">
        <v>510</v>
      </c>
      <c r="Q34" s="1470">
        <f t="shared" si="8"/>
        <v>111</v>
      </c>
      <c r="R34" s="1471" t="s">
        <v>8</v>
      </c>
      <c r="S34" s="1472">
        <f t="shared" si="10"/>
        <v>100</v>
      </c>
      <c r="T34" s="1471" t="s">
        <v>8</v>
      </c>
      <c r="U34" s="1472">
        <f t="shared" si="11"/>
        <v>100</v>
      </c>
      <c r="V34" s="1471" t="s">
        <v>8</v>
      </c>
      <c r="W34" s="1472">
        <f t="shared" si="12"/>
        <v>100</v>
      </c>
      <c r="X34" s="1465"/>
      <c r="Y34" s="340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409"/>
      <c r="Q35" s="1470">
        <f t="shared" si="8"/>
        <v>111</v>
      </c>
      <c r="R35" s="1475" t="s">
        <v>8</v>
      </c>
      <c r="S35" s="1476">
        <f t="shared" si="10"/>
        <v>100</v>
      </c>
      <c r="T35" s="1475" t="s">
        <v>8</v>
      </c>
      <c r="U35" s="1476">
        <f t="shared" si="11"/>
        <v>100</v>
      </c>
      <c r="V35" s="1475" t="s">
        <v>8</v>
      </c>
      <c r="W35" s="1476">
        <f t="shared" si="12"/>
        <v>100</v>
      </c>
      <c r="X35" s="1477"/>
      <c r="Y35" s="340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409"/>
      <c r="Q36" s="1470" t="str">
        <f>B36</f>
        <v>宗地面积</v>
      </c>
      <c r="R36" s="1471" t="s">
        <v>8</v>
      </c>
      <c r="S36" s="1472" t="e">
        <f t="shared" si="10"/>
        <v>#N/A</v>
      </c>
      <c r="T36" s="1471" t="s">
        <v>8</v>
      </c>
      <c r="U36" s="1472" t="e">
        <f t="shared" si="11"/>
        <v>#N/A</v>
      </c>
      <c r="V36" s="1471" t="s">
        <v>8</v>
      </c>
      <c r="W36" s="1472" t="e">
        <f t="shared" si="12"/>
        <v>#N/A</v>
      </c>
      <c r="X36" s="1465"/>
      <c r="Y36" s="340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409"/>
      <c r="Q37" s="1470" t="str">
        <f t="shared" ref="Q37:Q42" si="14">B37</f>
        <v>宗地形状</v>
      </c>
      <c r="R37" s="1471" t="s">
        <v>8</v>
      </c>
      <c r="S37" s="1472">
        <f t="shared" si="10"/>
        <v>100</v>
      </c>
      <c r="T37" s="1471" t="s">
        <v>8</v>
      </c>
      <c r="U37" s="1472">
        <f t="shared" si="11"/>
        <v>100</v>
      </c>
      <c r="V37" s="1471" t="s">
        <v>8</v>
      </c>
      <c r="W37" s="1472">
        <f t="shared" si="12"/>
        <v>100</v>
      </c>
      <c r="X37" s="1465"/>
      <c r="Y37" s="340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409"/>
      <c r="Q38" s="1470" t="str">
        <f t="shared" si="14"/>
        <v>宗地开发程度</v>
      </c>
      <c r="R38" s="1466" t="s">
        <v>8</v>
      </c>
      <c r="S38" s="1467">
        <f t="shared" si="10"/>
        <v>100</v>
      </c>
      <c r="T38" s="1466" t="s">
        <v>8</v>
      </c>
      <c r="U38" s="1467">
        <f t="shared" si="11"/>
        <v>100</v>
      </c>
      <c r="V38" s="1466" t="s">
        <v>8</v>
      </c>
      <c r="W38" s="1467">
        <f t="shared" si="12"/>
        <v>100</v>
      </c>
      <c r="X38" s="1468"/>
      <c r="Y38" s="340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9" t="s">
        <v>561</v>
      </c>
      <c r="Q39" s="1470" t="str">
        <f t="shared" si="14"/>
        <v>工程地质条件</v>
      </c>
      <c r="R39" s="1471" t="s">
        <v>8</v>
      </c>
      <c r="S39" s="1472">
        <f t="shared" si="10"/>
        <v>100</v>
      </c>
      <c r="T39" s="1471" t="s">
        <v>8</v>
      </c>
      <c r="U39" s="1472">
        <f t="shared" si="11"/>
        <v>100</v>
      </c>
      <c r="V39" s="1471" t="s">
        <v>8</v>
      </c>
      <c r="W39" s="1472">
        <f t="shared" si="12"/>
        <v>100</v>
      </c>
      <c r="X39" s="1465"/>
      <c r="Y39" s="340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409"/>
      <c r="Q40" s="1470">
        <f t="shared" si="14"/>
        <v>111</v>
      </c>
      <c r="R40" s="1471" t="s">
        <v>8</v>
      </c>
      <c r="S40" s="1472">
        <f t="shared" si="10"/>
        <v>100</v>
      </c>
      <c r="T40" s="1471" t="s">
        <v>8</v>
      </c>
      <c r="U40" s="1472">
        <f t="shared" si="11"/>
        <v>100</v>
      </c>
      <c r="V40" s="1471" t="s">
        <v>8</v>
      </c>
      <c r="W40" s="1472">
        <f t="shared" si="12"/>
        <v>100</v>
      </c>
      <c r="X40" s="1465"/>
      <c r="Y40" s="340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409"/>
      <c r="Q41" s="1470">
        <f t="shared" si="14"/>
        <v>111</v>
      </c>
      <c r="R41" s="1471" t="s">
        <v>8</v>
      </c>
      <c r="S41" s="1472">
        <f t="shared" si="10"/>
        <v>100</v>
      </c>
      <c r="T41" s="1471" t="s">
        <v>8</v>
      </c>
      <c r="U41" s="1472">
        <f t="shared" si="11"/>
        <v>100</v>
      </c>
      <c r="V41" s="1471" t="s">
        <v>8</v>
      </c>
      <c r="W41" s="1472">
        <f t="shared" si="12"/>
        <v>100</v>
      </c>
      <c r="X41" s="1465"/>
      <c r="Y41" s="340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409"/>
      <c r="Q42" s="1470">
        <f t="shared" si="14"/>
        <v>111</v>
      </c>
      <c r="R42" s="1475" t="s">
        <v>8</v>
      </c>
      <c r="S42" s="1476">
        <f t="shared" si="10"/>
        <v>100</v>
      </c>
      <c r="T42" s="1475" t="s">
        <v>8</v>
      </c>
      <c r="U42" s="1476">
        <f t="shared" si="11"/>
        <v>100</v>
      </c>
      <c r="V42" s="1475" t="s">
        <v>8</v>
      </c>
      <c r="W42" s="1476">
        <f t="shared" si="12"/>
        <v>100</v>
      </c>
      <c r="X42" s="1477"/>
      <c r="Y42" s="340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71" t="str">
        <f>A43</f>
        <v>成交单价</v>
      </c>
      <c r="Q43" s="3371"/>
      <c r="R43" s="3372">
        <f>E43</f>
        <v>0</v>
      </c>
      <c r="S43" s="3372"/>
      <c r="T43" s="3372">
        <f>G43</f>
        <v>0</v>
      </c>
      <c r="U43" s="3372"/>
      <c r="V43" s="3372">
        <f>I43</f>
        <v>0</v>
      </c>
      <c r="W43" s="3372"/>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71" t="str">
        <f>A44</f>
        <v>比较价格（元/平方米）</v>
      </c>
      <c r="Q44" s="3371"/>
      <c r="R44" s="3373" t="e">
        <f>ROUND(PRODUCT(R43,AA9:AA42),0)</f>
        <v>#DIV/0!</v>
      </c>
      <c r="S44" s="3373"/>
      <c r="T44" s="3373" t="e">
        <f>ROUND(PRODUCT(T43,AB9:AB42),0)</f>
        <v>#DIV/0!</v>
      </c>
      <c r="U44" s="3373"/>
      <c r="V44" s="3373" t="e">
        <f>ROUND(PRODUCT(V43,AC9:AC42),0)</f>
        <v>#DIV/0!</v>
      </c>
      <c r="W44" s="3373"/>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368" t="str">
        <f>A45</f>
        <v>估价对象XX用房的比较价格（楼面单价，元/平方米）</v>
      </c>
      <c r="Q45" s="3369"/>
      <c r="R45" s="3370" t="e">
        <f>ROUND(AVERAGE(R44:V44),0)</f>
        <v>#DIV/0!</v>
      </c>
      <c r="S45" s="3370"/>
      <c r="T45" s="3370"/>
      <c r="U45" s="3370"/>
      <c r="V45" s="3370"/>
      <c r="W45" s="3370"/>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6" t="s">
        <v>2246</v>
      </c>
      <c r="H52" s="3417"/>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8"/>
      <c r="H53" s="3419"/>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20"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20"/>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20"/>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20"/>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30"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31"/>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22" t="s">
        <v>2744</v>
      </c>
      <c r="X8" s="342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31"/>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2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31"/>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2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31"/>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2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30"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2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32"/>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2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32"/>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33"/>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30"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31"/>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36"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37"/>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37"/>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8"/>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34" t="s">
        <v>1594</v>
      </c>
      <c r="B90" s="3434"/>
      <c r="C90" s="3434"/>
      <c r="D90" s="3434"/>
      <c r="E90" s="3434"/>
      <c r="F90" s="3434"/>
      <c r="G90" s="3434"/>
      <c r="H90" s="3434"/>
      <c r="I90" s="3434"/>
      <c r="J90" s="3434"/>
      <c r="K90" s="2361"/>
      <c r="L90" s="2361"/>
      <c r="M90" s="2361"/>
      <c r="N90" s="2361"/>
    </row>
    <row r="91" spans="1:40">
      <c r="A91" s="3435" t="s">
        <v>1404</v>
      </c>
      <c r="B91" s="3435" t="s">
        <v>1595</v>
      </c>
      <c r="C91" s="1052" t="s">
        <v>1596</v>
      </c>
      <c r="D91" s="1053"/>
      <c r="E91" s="1053"/>
      <c r="F91" s="1053"/>
      <c r="G91" s="1053"/>
      <c r="H91" s="1053"/>
      <c r="I91" s="1053"/>
      <c r="J91" s="1054"/>
      <c r="K91" s="1046"/>
      <c r="L91" s="1046"/>
      <c r="M91" s="1046"/>
      <c r="N91" s="1046"/>
    </row>
    <row r="92" spans="1:40">
      <c r="A92" s="3435"/>
      <c r="B92" s="3435"/>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2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2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2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2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2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2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2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2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2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2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2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2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2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2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2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25"/>
      <c r="B108" s="342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26"/>
      <c r="B109" s="342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9" t="s">
        <v>1600</v>
      </c>
      <c r="B110" s="3429"/>
      <c r="C110" s="3429"/>
      <c r="D110" s="3429"/>
      <c r="E110" s="3429"/>
      <c r="F110" s="3429"/>
      <c r="G110" s="3429"/>
      <c r="H110" s="3429"/>
      <c r="I110" s="3429"/>
      <c r="J110" s="3429"/>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35" t="s">
        <v>968</v>
      </c>
      <c r="B18" s="1066" t="s">
        <v>1407</v>
      </c>
      <c r="C18" s="1043" t="s">
        <v>1408</v>
      </c>
      <c r="D18" s="1044"/>
      <c r="E18" s="1066">
        <v>1</v>
      </c>
      <c r="F18" s="1045" t="s">
        <v>1409</v>
      </c>
      <c r="G18" s="1046"/>
      <c r="H18" s="1017"/>
      <c r="I18" s="1017"/>
    </row>
    <row r="19" spans="1:9" s="1497" customFormat="1" ht="19.5" customHeight="1">
      <c r="A19" s="3435"/>
      <c r="B19" s="3435" t="s">
        <v>1410</v>
      </c>
      <c r="C19" s="1043" t="s">
        <v>1411</v>
      </c>
      <c r="D19" s="1044"/>
      <c r="E19" s="1066">
        <v>0.9</v>
      </c>
      <c r="F19" s="1045" t="s">
        <v>1412</v>
      </c>
      <c r="G19" s="1046"/>
      <c r="H19" s="1017"/>
      <c r="I19" s="1017"/>
    </row>
    <row r="20" spans="1:9" s="1497" customFormat="1" ht="19.5" customHeight="1">
      <c r="A20" s="3435"/>
      <c r="B20" s="3435"/>
      <c r="C20" s="1043" t="s">
        <v>1413</v>
      </c>
      <c r="D20" s="1044"/>
      <c r="E20" s="1066">
        <v>1.1000000000000001</v>
      </c>
      <c r="F20" s="1045" t="s">
        <v>1414</v>
      </c>
      <c r="G20" s="1046"/>
      <c r="H20" s="1017"/>
      <c r="I20" s="1017"/>
    </row>
    <row r="21" spans="1:9" s="1497" customFormat="1" ht="19.5" customHeight="1">
      <c r="A21" s="3435"/>
      <c r="B21" s="3435"/>
      <c r="C21" s="1043" t="s">
        <v>1415</v>
      </c>
      <c r="D21" s="1044"/>
      <c r="E21" s="1066">
        <v>0.8</v>
      </c>
      <c r="F21" s="1045" t="s">
        <v>1416</v>
      </c>
      <c r="G21" s="1046"/>
      <c r="H21" s="1017"/>
      <c r="I21" s="1017"/>
    </row>
    <row r="22" spans="1:9" s="1497" customFormat="1" ht="19.5" customHeight="1">
      <c r="A22" s="3435"/>
      <c r="B22" s="3435"/>
      <c r="C22" s="1043" t="s">
        <v>1417</v>
      </c>
      <c r="D22" s="1044"/>
      <c r="E22" s="1066">
        <v>0.5</v>
      </c>
      <c r="F22" s="1045"/>
      <c r="G22" s="1046"/>
      <c r="H22" s="1017"/>
      <c r="I22" s="1017"/>
    </row>
    <row r="23" spans="1:9" s="1497" customFormat="1" ht="19.5" customHeight="1">
      <c r="A23" s="3435" t="s">
        <v>990</v>
      </c>
      <c r="B23" s="1066" t="s">
        <v>1407</v>
      </c>
      <c r="C23" s="1043" t="s">
        <v>1418</v>
      </c>
      <c r="D23" s="1044"/>
      <c r="E23" s="1066">
        <v>1</v>
      </c>
      <c r="F23" s="1045" t="s">
        <v>1419</v>
      </c>
      <c r="G23" s="1046"/>
      <c r="H23" s="1017"/>
      <c r="I23" s="1017"/>
    </row>
    <row r="24" spans="1:9" s="1497" customFormat="1" ht="19.5" customHeight="1">
      <c r="A24" s="3435"/>
      <c r="B24" s="3435" t="s">
        <v>1410</v>
      </c>
      <c r="C24" s="1043" t="s">
        <v>1420</v>
      </c>
      <c r="D24" s="1044"/>
      <c r="E24" s="1066">
        <v>0.5</v>
      </c>
      <c r="F24" s="1045"/>
      <c r="G24" s="1046"/>
      <c r="H24" s="1017"/>
      <c r="I24" s="1017"/>
    </row>
    <row r="25" spans="1:9" s="1497" customFormat="1" ht="19.5" customHeight="1">
      <c r="A25" s="3435"/>
      <c r="B25" s="3435"/>
      <c r="C25" s="1043" t="s">
        <v>1421</v>
      </c>
      <c r="D25" s="1044"/>
      <c r="E25" s="1066">
        <v>1.1000000000000001</v>
      </c>
      <c r="F25" s="1045"/>
      <c r="G25" s="1046"/>
      <c r="H25" s="1017"/>
      <c r="I25" s="1017"/>
    </row>
    <row r="26" spans="1:9" s="1497" customFormat="1" ht="19.5" customHeight="1">
      <c r="A26" s="3435"/>
      <c r="B26" s="3435"/>
      <c r="C26" s="1043" t="s">
        <v>1422</v>
      </c>
      <c r="D26" s="1044"/>
      <c r="E26" s="1066">
        <v>1.1000000000000001</v>
      </c>
      <c r="F26" s="1045"/>
      <c r="G26" s="1046"/>
      <c r="H26" s="1017"/>
      <c r="I26" s="1017"/>
    </row>
    <row r="27" spans="1:9" s="1497" customFormat="1" ht="19.5" customHeight="1">
      <c r="A27" s="3435"/>
      <c r="B27" s="3435"/>
      <c r="C27" s="1043" t="s">
        <v>1423</v>
      </c>
      <c r="D27" s="1044"/>
      <c r="E27" s="1066">
        <v>0.9</v>
      </c>
      <c r="F27" s="1045" t="s">
        <v>1424</v>
      </c>
      <c r="G27" s="1046"/>
      <c r="H27" s="1017"/>
      <c r="I27" s="1017"/>
    </row>
    <row r="28" spans="1:9" s="1497" customFormat="1" ht="19.5" customHeight="1">
      <c r="A28" s="3435"/>
      <c r="B28" s="3435"/>
      <c r="C28" s="1043" t="s">
        <v>1425</v>
      </c>
      <c r="D28" s="1044"/>
      <c r="E28" s="1066">
        <v>0.9</v>
      </c>
      <c r="F28" s="1045" t="s">
        <v>1426</v>
      </c>
      <c r="G28" s="1046"/>
      <c r="H28" s="1017"/>
      <c r="I28" s="1017"/>
    </row>
    <row r="29" spans="1:9" s="1497" customFormat="1" ht="19.5" customHeight="1">
      <c r="A29" s="3435"/>
      <c r="B29" s="3435"/>
      <c r="C29" s="1043" t="s">
        <v>1427</v>
      </c>
      <c r="D29" s="1044"/>
      <c r="E29" s="1066">
        <v>0.9</v>
      </c>
      <c r="F29" s="1045" t="s">
        <v>1428</v>
      </c>
      <c r="G29" s="1046"/>
      <c r="H29" s="1017"/>
      <c r="I29" s="1017"/>
    </row>
    <row r="30" spans="1:9" s="1497" customFormat="1" ht="19.5" customHeight="1">
      <c r="A30" s="3435"/>
      <c r="B30" s="3435"/>
      <c r="C30" s="1043" t="s">
        <v>1429</v>
      </c>
      <c r="D30" s="1044"/>
      <c r="E30" s="1066">
        <v>0.9</v>
      </c>
      <c r="F30" s="1045" t="s">
        <v>1430</v>
      </c>
      <c r="G30" s="1046"/>
      <c r="H30" s="1017"/>
      <c r="I30" s="1017"/>
    </row>
    <row r="31" spans="1:9" s="1497" customFormat="1" ht="19.5" customHeight="1">
      <c r="A31" s="3435"/>
      <c r="B31" s="3435"/>
      <c r="C31" s="1043" t="s">
        <v>1431</v>
      </c>
      <c r="D31" s="1044"/>
      <c r="E31" s="1066">
        <v>0.8</v>
      </c>
      <c r="F31" s="1045" t="s">
        <v>1432</v>
      </c>
      <c r="G31" s="1046"/>
      <c r="H31" s="1017"/>
      <c r="I31" s="1017"/>
    </row>
    <row r="32" spans="1:9" s="1497" customFormat="1" ht="19.5" customHeight="1">
      <c r="A32" s="3435"/>
      <c r="B32" s="3435"/>
      <c r="C32" s="1043" t="s">
        <v>1433</v>
      </c>
      <c r="D32" s="1044"/>
      <c r="E32" s="1066">
        <v>0.8</v>
      </c>
      <c r="F32" s="1045" t="s">
        <v>1434</v>
      </c>
      <c r="G32" s="1046"/>
      <c r="H32" s="1017"/>
      <c r="I32" s="1017"/>
    </row>
    <row r="33" spans="1:9" s="1497" customFormat="1" ht="19.5" customHeight="1">
      <c r="A33" s="3435" t="s">
        <v>1435</v>
      </c>
      <c r="B33" s="1066" t="s">
        <v>1407</v>
      </c>
      <c r="C33" s="1043" t="s">
        <v>1436</v>
      </c>
      <c r="D33" s="1044"/>
      <c r="E33" s="1066">
        <v>1</v>
      </c>
      <c r="F33" s="1045" t="s">
        <v>1437</v>
      </c>
      <c r="G33" s="1046"/>
      <c r="H33" s="1017"/>
      <c r="I33" s="1017"/>
    </row>
    <row r="34" spans="1:9" s="1497" customFormat="1" ht="19.5" customHeight="1">
      <c r="A34" s="3435"/>
      <c r="B34" s="1066" t="s">
        <v>1410</v>
      </c>
      <c r="C34" s="1043" t="s">
        <v>1438</v>
      </c>
      <c r="D34" s="1044"/>
      <c r="E34" s="1066">
        <v>1.5</v>
      </c>
      <c r="F34" s="1045" t="s">
        <v>1439</v>
      </c>
      <c r="G34" s="1046"/>
      <c r="H34" s="1017"/>
      <c r="I34" s="1017"/>
    </row>
    <row r="35" spans="1:9" s="1497" customFormat="1" ht="19.5" customHeight="1">
      <c r="A35" s="3435" t="s">
        <v>1393</v>
      </c>
      <c r="B35" s="1066" t="s">
        <v>1407</v>
      </c>
      <c r="C35" s="1043" t="s">
        <v>1440</v>
      </c>
      <c r="D35" s="1044"/>
      <c r="E35" s="1066">
        <v>1</v>
      </c>
      <c r="F35" s="1045" t="s">
        <v>1441</v>
      </c>
      <c r="G35" s="1046"/>
      <c r="H35" s="1017"/>
      <c r="I35" s="1017"/>
    </row>
    <row r="36" spans="1:9" s="1497" customFormat="1" ht="19.5" customHeight="1">
      <c r="A36" s="3435"/>
      <c r="B36" s="3435" t="s">
        <v>1410</v>
      </c>
      <c r="C36" s="1043" t="s">
        <v>1442</v>
      </c>
      <c r="D36" s="1044"/>
      <c r="E36" s="1066">
        <v>1</v>
      </c>
      <c r="F36" s="1045" t="s">
        <v>1443</v>
      </c>
      <c r="G36" s="1046"/>
      <c r="H36" s="1017"/>
      <c r="I36" s="1017"/>
    </row>
    <row r="37" spans="1:9" s="1497" customFormat="1" ht="19.5" customHeight="1">
      <c r="A37" s="3435"/>
      <c r="B37" s="3435"/>
      <c r="C37" s="1043" t="s">
        <v>1444</v>
      </c>
      <c r="D37" s="1044"/>
      <c r="E37" s="1066">
        <v>1.5</v>
      </c>
      <c r="F37" s="1045" t="s">
        <v>1445</v>
      </c>
      <c r="G37" s="1046"/>
      <c r="H37" s="1017"/>
      <c r="I37" s="1017"/>
    </row>
    <row r="38" spans="1:9" s="1497" customFormat="1" ht="19.5" customHeight="1">
      <c r="A38" s="3435"/>
      <c r="B38" s="3435"/>
      <c r="C38" s="1043" t="s">
        <v>1446</v>
      </c>
      <c r="D38" s="1044"/>
      <c r="E38" s="1066">
        <v>1</v>
      </c>
      <c r="F38" s="1045" t="s">
        <v>1447</v>
      </c>
      <c r="G38" s="1046"/>
      <c r="H38" s="1017"/>
      <c r="I38" s="1017"/>
    </row>
    <row r="39" spans="1:9" s="1497" customFormat="1" ht="19.5" customHeight="1">
      <c r="A39" s="3435"/>
      <c r="B39" s="3435"/>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35" t="s">
        <v>1462</v>
      </c>
      <c r="C61" s="980" t="s">
        <v>1463</v>
      </c>
      <c r="D61" s="980" t="s">
        <v>1464</v>
      </c>
      <c r="E61" s="1051">
        <v>0.5</v>
      </c>
      <c r="F61" s="1066">
        <v>80</v>
      </c>
      <c r="H61" s="1017">
        <f>SUMIF(C59:C119,基准地价!C8,E59:E119)</f>
        <v>0</v>
      </c>
    </row>
    <row r="62" spans="1:8" s="1017" customFormat="1" ht="24">
      <c r="A62" s="1066">
        <v>2</v>
      </c>
      <c r="B62" s="3435"/>
      <c r="C62" s="980" t="s">
        <v>1465</v>
      </c>
      <c r="D62" s="980" t="s">
        <v>1466</v>
      </c>
      <c r="E62" s="1051">
        <v>0.5</v>
      </c>
      <c r="F62" s="1066">
        <v>80</v>
      </c>
    </row>
    <row r="63" spans="1:8" s="1017" customFormat="1" ht="36">
      <c r="A63" s="1066">
        <v>3</v>
      </c>
      <c r="B63" s="3435"/>
      <c r="C63" s="980" t="s">
        <v>1467</v>
      </c>
      <c r="D63" s="980" t="s">
        <v>1468</v>
      </c>
      <c r="E63" s="1051">
        <v>0.5</v>
      </c>
      <c r="F63" s="1066">
        <v>80</v>
      </c>
    </row>
    <row r="64" spans="1:8" s="1017" customFormat="1" ht="36">
      <c r="A64" s="1066">
        <v>4</v>
      </c>
      <c r="B64" s="3435"/>
      <c r="C64" s="980" t="s">
        <v>1469</v>
      </c>
      <c r="D64" s="980" t="s">
        <v>1470</v>
      </c>
      <c r="E64" s="1051">
        <v>0.4</v>
      </c>
      <c r="F64" s="1066">
        <v>60</v>
      </c>
    </row>
    <row r="65" spans="1:6" s="1017" customFormat="1" ht="36">
      <c r="A65" s="1066">
        <v>5</v>
      </c>
      <c r="B65" s="3435"/>
      <c r="C65" s="980" t="s">
        <v>1471</v>
      </c>
      <c r="D65" s="980" t="s">
        <v>1472</v>
      </c>
      <c r="E65" s="1051">
        <v>0.2</v>
      </c>
      <c r="F65" s="1066">
        <v>30</v>
      </c>
    </row>
    <row r="66" spans="1:6" s="1017" customFormat="1" ht="36">
      <c r="A66" s="1066">
        <v>6</v>
      </c>
      <c r="B66" s="3435"/>
      <c r="C66" s="980" t="s">
        <v>1473</v>
      </c>
      <c r="D66" s="980" t="s">
        <v>1474</v>
      </c>
      <c r="E66" s="1051">
        <v>0.3</v>
      </c>
      <c r="F66" s="1066">
        <v>50</v>
      </c>
    </row>
    <row r="67" spans="1:6" s="1017" customFormat="1" ht="36">
      <c r="A67" s="1066">
        <v>7</v>
      </c>
      <c r="B67" s="3435"/>
      <c r="C67" s="980" t="s">
        <v>1475</v>
      </c>
      <c r="D67" s="980" t="s">
        <v>1476</v>
      </c>
      <c r="E67" s="1051">
        <v>0.2</v>
      </c>
      <c r="F67" s="1066">
        <v>30</v>
      </c>
    </row>
    <row r="68" spans="1:6" s="1017" customFormat="1" ht="36">
      <c r="A68" s="1066">
        <v>8</v>
      </c>
      <c r="B68" s="3435"/>
      <c r="C68" s="980" t="s">
        <v>1477</v>
      </c>
      <c r="D68" s="980" t="s">
        <v>1478</v>
      </c>
      <c r="E68" s="1051">
        <v>0.2</v>
      </c>
      <c r="F68" s="1066">
        <v>30</v>
      </c>
    </row>
    <row r="69" spans="1:6" s="1017" customFormat="1" ht="36">
      <c r="A69" s="1066">
        <v>9</v>
      </c>
      <c r="B69" s="3435"/>
      <c r="C69" s="980" t="s">
        <v>1479</v>
      </c>
      <c r="D69" s="980" t="s">
        <v>1480</v>
      </c>
      <c r="E69" s="1051">
        <v>0.2</v>
      </c>
      <c r="F69" s="1066">
        <v>30</v>
      </c>
    </row>
    <row r="70" spans="1:6" s="1017" customFormat="1" ht="48">
      <c r="A70" s="1066">
        <v>10</v>
      </c>
      <c r="B70" s="3435"/>
      <c r="C70" s="980" t="s">
        <v>1481</v>
      </c>
      <c r="D70" s="980" t="s">
        <v>1482</v>
      </c>
      <c r="E70" s="1051">
        <v>0.2</v>
      </c>
      <c r="F70" s="1066">
        <v>30</v>
      </c>
    </row>
    <row r="71" spans="1:6" s="1017" customFormat="1" ht="48">
      <c r="A71" s="1066">
        <v>11</v>
      </c>
      <c r="B71" s="3435"/>
      <c r="C71" s="980" t="s">
        <v>1483</v>
      </c>
      <c r="D71" s="980" t="s">
        <v>1484</v>
      </c>
      <c r="E71" s="1051">
        <v>0.2</v>
      </c>
      <c r="F71" s="1066">
        <v>30</v>
      </c>
    </row>
    <row r="72" spans="1:6" s="1017" customFormat="1" ht="36">
      <c r="A72" s="1066">
        <v>12</v>
      </c>
      <c r="B72" s="3435"/>
      <c r="C72" s="980" t="s">
        <v>1485</v>
      </c>
      <c r="D72" s="980" t="s">
        <v>1486</v>
      </c>
      <c r="E72" s="1051">
        <v>0.5</v>
      </c>
      <c r="F72" s="1066">
        <v>80</v>
      </c>
    </row>
    <row r="73" spans="1:6" s="1017" customFormat="1" ht="24">
      <c r="A73" s="1066">
        <v>13</v>
      </c>
      <c r="B73" s="3435"/>
      <c r="C73" s="980" t="s">
        <v>1487</v>
      </c>
      <c r="D73" s="980" t="s">
        <v>1488</v>
      </c>
      <c r="E73" s="1051">
        <v>0.4</v>
      </c>
      <c r="F73" s="1066">
        <v>60</v>
      </c>
    </row>
    <row r="74" spans="1:6" s="1017" customFormat="1" ht="24">
      <c r="A74" s="1066">
        <v>14</v>
      </c>
      <c r="B74" s="3435"/>
      <c r="C74" s="980" t="s">
        <v>1489</v>
      </c>
      <c r="D74" s="980" t="s">
        <v>1490</v>
      </c>
      <c r="E74" s="1051">
        <v>0.2</v>
      </c>
      <c r="F74" s="1066">
        <v>30</v>
      </c>
    </row>
    <row r="75" spans="1:6" s="1017" customFormat="1" ht="24">
      <c r="A75" s="1066">
        <v>15</v>
      </c>
      <c r="B75" s="3435"/>
      <c r="C75" s="980" t="s">
        <v>1491</v>
      </c>
      <c r="D75" s="980" t="s">
        <v>1492</v>
      </c>
      <c r="E75" s="1051">
        <v>0.2</v>
      </c>
      <c r="F75" s="1066">
        <v>30</v>
      </c>
    </row>
    <row r="76" spans="1:6" s="1017" customFormat="1" ht="24">
      <c r="A76" s="1066">
        <v>16</v>
      </c>
      <c r="B76" s="3435" t="s">
        <v>1493</v>
      </c>
      <c r="C76" s="980" t="s">
        <v>1494</v>
      </c>
      <c r="D76" s="980" t="s">
        <v>1495</v>
      </c>
      <c r="E76" s="1051">
        <v>0.5</v>
      </c>
      <c r="F76" s="1066">
        <v>80</v>
      </c>
    </row>
    <row r="77" spans="1:6" s="1017" customFormat="1" ht="24">
      <c r="A77" s="1066">
        <v>17</v>
      </c>
      <c r="B77" s="3435"/>
      <c r="C77" s="980" t="s">
        <v>1496</v>
      </c>
      <c r="D77" s="980" t="s">
        <v>1497</v>
      </c>
      <c r="E77" s="1051">
        <v>0.5</v>
      </c>
      <c r="F77" s="1066">
        <v>80</v>
      </c>
    </row>
    <row r="78" spans="1:6" s="1017" customFormat="1" ht="24">
      <c r="A78" s="1066">
        <v>18</v>
      </c>
      <c r="B78" s="3435"/>
      <c r="C78" s="980" t="s">
        <v>1498</v>
      </c>
      <c r="D78" s="980" t="s">
        <v>1499</v>
      </c>
      <c r="E78" s="1051">
        <v>0.2</v>
      </c>
      <c r="F78" s="1066">
        <v>30</v>
      </c>
    </row>
    <row r="79" spans="1:6" s="1017" customFormat="1" ht="24">
      <c r="A79" s="1066">
        <v>19</v>
      </c>
      <c r="B79" s="3435"/>
      <c r="C79" s="980" t="s">
        <v>1500</v>
      </c>
      <c r="D79" s="980" t="s">
        <v>1501</v>
      </c>
      <c r="E79" s="1051">
        <v>0.5</v>
      </c>
      <c r="F79" s="1066">
        <v>80</v>
      </c>
    </row>
    <row r="80" spans="1:6" s="1017" customFormat="1" ht="36">
      <c r="A80" s="1066">
        <v>20</v>
      </c>
      <c r="B80" s="3435"/>
      <c r="C80" s="980" t="s">
        <v>1502</v>
      </c>
      <c r="D80" s="980" t="s">
        <v>1503</v>
      </c>
      <c r="E80" s="1051">
        <v>0.2</v>
      </c>
      <c r="F80" s="1066">
        <v>30</v>
      </c>
    </row>
    <row r="81" spans="1:6" s="1017" customFormat="1" ht="36">
      <c r="A81" s="1066">
        <v>21</v>
      </c>
      <c r="B81" s="3435"/>
      <c r="C81" s="980" t="s">
        <v>1504</v>
      </c>
      <c r="D81" s="980" t="s">
        <v>1505</v>
      </c>
      <c r="E81" s="1051">
        <v>0.2</v>
      </c>
      <c r="F81" s="1066">
        <v>30</v>
      </c>
    </row>
    <row r="82" spans="1:6" s="1017" customFormat="1" ht="48">
      <c r="A82" s="1066">
        <v>22</v>
      </c>
      <c r="B82" s="3435"/>
      <c r="C82" s="980" t="s">
        <v>1506</v>
      </c>
      <c r="D82" s="980" t="s">
        <v>1507</v>
      </c>
      <c r="E82" s="1051">
        <v>0.2</v>
      </c>
      <c r="F82" s="1066">
        <v>30</v>
      </c>
    </row>
    <row r="83" spans="1:6" s="1017" customFormat="1" ht="48">
      <c r="A83" s="1066">
        <v>23</v>
      </c>
      <c r="B83" s="3435"/>
      <c r="C83" s="980" t="s">
        <v>1508</v>
      </c>
      <c r="D83" s="980" t="s">
        <v>1509</v>
      </c>
      <c r="E83" s="1051">
        <v>0.2</v>
      </c>
      <c r="F83" s="1066">
        <v>30</v>
      </c>
    </row>
    <row r="84" spans="1:6" s="1017" customFormat="1" ht="36">
      <c r="A84" s="1066">
        <v>24</v>
      </c>
      <c r="B84" s="3435"/>
      <c r="C84" s="980" t="s">
        <v>1510</v>
      </c>
      <c r="D84" s="980" t="s">
        <v>1511</v>
      </c>
      <c r="E84" s="1051">
        <v>0.2</v>
      </c>
      <c r="F84" s="1066">
        <v>30</v>
      </c>
    </row>
    <row r="85" spans="1:6" s="1017" customFormat="1" ht="36">
      <c r="A85" s="1066">
        <v>25</v>
      </c>
      <c r="B85" s="3435"/>
      <c r="C85" s="980" t="s">
        <v>1512</v>
      </c>
      <c r="D85" s="980" t="s">
        <v>1513</v>
      </c>
      <c r="E85" s="1051">
        <v>0.5</v>
      </c>
      <c r="F85" s="1066">
        <v>80</v>
      </c>
    </row>
    <row r="86" spans="1:6" s="1017" customFormat="1" ht="36">
      <c r="A86" s="1066">
        <v>26</v>
      </c>
      <c r="B86" s="3435"/>
      <c r="C86" s="980" t="s">
        <v>1514</v>
      </c>
      <c r="D86" s="980" t="s">
        <v>1515</v>
      </c>
      <c r="E86" s="1051">
        <v>0.2</v>
      </c>
      <c r="F86" s="1066">
        <v>30</v>
      </c>
    </row>
    <row r="87" spans="1:6" s="1017" customFormat="1" ht="36">
      <c r="A87" s="1066">
        <v>27</v>
      </c>
      <c r="B87" s="3435"/>
      <c r="C87" s="980" t="s">
        <v>1516</v>
      </c>
      <c r="D87" s="980" t="s">
        <v>1517</v>
      </c>
      <c r="E87" s="1051">
        <v>0.2</v>
      </c>
      <c r="F87" s="1066">
        <v>30</v>
      </c>
    </row>
    <row r="88" spans="1:6" s="1017" customFormat="1" ht="36">
      <c r="A88" s="1066">
        <v>28</v>
      </c>
      <c r="B88" s="3435"/>
      <c r="C88" s="980" t="s">
        <v>1518</v>
      </c>
      <c r="D88" s="980" t="s">
        <v>1519</v>
      </c>
      <c r="E88" s="1051">
        <v>0.2</v>
      </c>
      <c r="F88" s="1066">
        <v>30</v>
      </c>
    </row>
    <row r="89" spans="1:6" s="1017" customFormat="1" ht="24">
      <c r="A89" s="1066">
        <v>29</v>
      </c>
      <c r="B89" s="3435"/>
      <c r="C89" s="980" t="s">
        <v>1520</v>
      </c>
      <c r="D89" s="980" t="s">
        <v>1521</v>
      </c>
      <c r="E89" s="1051">
        <v>0.2</v>
      </c>
      <c r="F89" s="1066">
        <v>30</v>
      </c>
    </row>
    <row r="90" spans="1:6" s="1017" customFormat="1" ht="24">
      <c r="A90" s="1066">
        <v>30</v>
      </c>
      <c r="B90" s="3435"/>
      <c r="C90" s="980" t="s">
        <v>1522</v>
      </c>
      <c r="D90" s="980" t="s">
        <v>1523</v>
      </c>
      <c r="E90" s="1051">
        <v>0.2</v>
      </c>
      <c r="F90" s="1066">
        <v>30</v>
      </c>
    </row>
    <row r="91" spans="1:6" s="1017" customFormat="1" ht="36">
      <c r="A91" s="1066">
        <v>31</v>
      </c>
      <c r="B91" s="3435"/>
      <c r="C91" s="980" t="s">
        <v>1524</v>
      </c>
      <c r="D91" s="980" t="s">
        <v>1525</v>
      </c>
      <c r="E91" s="1051">
        <v>0.2</v>
      </c>
      <c r="F91" s="1066">
        <v>30</v>
      </c>
    </row>
    <row r="92" spans="1:6" s="1017" customFormat="1" ht="24">
      <c r="A92" s="1066">
        <v>32</v>
      </c>
      <c r="B92" s="3435" t="s">
        <v>1526</v>
      </c>
      <c r="C92" s="1066" t="s">
        <v>1527</v>
      </c>
      <c r="D92" s="980" t="s">
        <v>1528</v>
      </c>
      <c r="E92" s="1051">
        <v>0.2</v>
      </c>
      <c r="F92" s="1066">
        <v>30</v>
      </c>
    </row>
    <row r="93" spans="1:6" s="1017" customFormat="1" ht="36">
      <c r="A93" s="1066">
        <v>33</v>
      </c>
      <c r="B93" s="3435"/>
      <c r="C93" s="1066" t="s">
        <v>1529</v>
      </c>
      <c r="D93" s="980" t="s">
        <v>1530</v>
      </c>
      <c r="E93" s="1051">
        <v>0.2</v>
      </c>
      <c r="F93" s="1066">
        <v>30</v>
      </c>
    </row>
    <row r="94" spans="1:6" s="1017" customFormat="1" ht="48">
      <c r="A94" s="1066">
        <v>34</v>
      </c>
      <c r="B94" s="3435"/>
      <c r="C94" s="1066" t="s">
        <v>1531</v>
      </c>
      <c r="D94" s="980" t="s">
        <v>1532</v>
      </c>
      <c r="E94" s="1051">
        <v>0.2</v>
      </c>
      <c r="F94" s="1066">
        <v>30</v>
      </c>
    </row>
    <row r="95" spans="1:6" s="1017" customFormat="1" ht="36">
      <c r="A95" s="1066">
        <v>35</v>
      </c>
      <c r="B95" s="3435"/>
      <c r="C95" s="1066" t="s">
        <v>1533</v>
      </c>
      <c r="D95" s="980" t="s">
        <v>1534</v>
      </c>
      <c r="E95" s="1051">
        <v>0.2</v>
      </c>
      <c r="F95" s="1066">
        <v>30</v>
      </c>
    </row>
    <row r="96" spans="1:6" s="1017" customFormat="1" ht="48">
      <c r="A96" s="1066">
        <v>36</v>
      </c>
      <c r="B96" s="3435"/>
      <c r="C96" s="980" t="s">
        <v>1535</v>
      </c>
      <c r="D96" s="980" t="s">
        <v>1536</v>
      </c>
      <c r="E96" s="1051">
        <v>0.2</v>
      </c>
      <c r="F96" s="1066">
        <v>30</v>
      </c>
    </row>
    <row r="97" spans="1:6" s="1017" customFormat="1" ht="36">
      <c r="A97" s="1066">
        <v>37</v>
      </c>
      <c r="B97" s="3435"/>
      <c r="C97" s="1066" t="s">
        <v>1537</v>
      </c>
      <c r="D97" s="980" t="s">
        <v>1538</v>
      </c>
      <c r="E97" s="1051">
        <v>0.2</v>
      </c>
      <c r="F97" s="1066">
        <v>30</v>
      </c>
    </row>
    <row r="98" spans="1:6" s="1017" customFormat="1" ht="36">
      <c r="A98" s="1066">
        <v>38</v>
      </c>
      <c r="B98" s="3435"/>
      <c r="C98" s="1066" t="s">
        <v>1539</v>
      </c>
      <c r="D98" s="980" t="s">
        <v>1540</v>
      </c>
      <c r="E98" s="1051">
        <v>0.2</v>
      </c>
      <c r="F98" s="1066">
        <v>30</v>
      </c>
    </row>
    <row r="99" spans="1:6" s="1017" customFormat="1" ht="36">
      <c r="A99" s="1066">
        <v>39</v>
      </c>
      <c r="B99" s="3435" t="s">
        <v>1541</v>
      </c>
      <c r="C99" s="1066" t="s">
        <v>1542</v>
      </c>
      <c r="D99" s="980" t="s">
        <v>1543</v>
      </c>
      <c r="E99" s="1051">
        <v>0.3</v>
      </c>
      <c r="F99" s="1066">
        <v>50</v>
      </c>
    </row>
    <row r="100" spans="1:6" s="1017" customFormat="1" ht="24">
      <c r="A100" s="1066">
        <v>40</v>
      </c>
      <c r="B100" s="3435"/>
      <c r="C100" s="1066" t="s">
        <v>1544</v>
      </c>
      <c r="D100" s="980" t="s">
        <v>1545</v>
      </c>
      <c r="E100" s="1051">
        <v>0.2</v>
      </c>
      <c r="F100" s="1066">
        <v>30</v>
      </c>
    </row>
    <row r="101" spans="1:6" s="1017" customFormat="1" ht="36">
      <c r="A101" s="1066">
        <v>41</v>
      </c>
      <c r="B101" s="3435"/>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35" t="s">
        <v>1556</v>
      </c>
      <c r="C105" s="1066" t="s">
        <v>1557</v>
      </c>
      <c r="D105" s="980" t="s">
        <v>1558</v>
      </c>
      <c r="E105" s="1051">
        <v>0.2</v>
      </c>
      <c r="F105" s="1066">
        <v>30</v>
      </c>
    </row>
    <row r="106" spans="1:6" s="1017" customFormat="1" ht="36">
      <c r="A106" s="1066">
        <v>46</v>
      </c>
      <c r="B106" s="3435"/>
      <c r="C106" s="1066" t="s">
        <v>1559</v>
      </c>
      <c r="D106" s="980" t="s">
        <v>1560</v>
      </c>
      <c r="E106" s="1051">
        <v>0.2</v>
      </c>
      <c r="F106" s="1066">
        <v>30</v>
      </c>
    </row>
    <row r="107" spans="1:6" s="1017" customFormat="1" ht="36">
      <c r="A107" s="1066">
        <v>47</v>
      </c>
      <c r="B107" s="3435" t="s">
        <v>1561</v>
      </c>
      <c r="C107" s="1066" t="s">
        <v>1562</v>
      </c>
      <c r="D107" s="980" t="s">
        <v>1563</v>
      </c>
      <c r="E107" s="1051">
        <v>0.3</v>
      </c>
      <c r="F107" s="1066">
        <v>50</v>
      </c>
    </row>
    <row r="108" spans="1:6" s="1017" customFormat="1" ht="36">
      <c r="A108" s="1066">
        <v>48</v>
      </c>
      <c r="B108" s="3435"/>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35" t="s">
        <v>1572</v>
      </c>
      <c r="C111" s="1066" t="s">
        <v>1573</v>
      </c>
      <c r="D111" s="980" t="s">
        <v>1574</v>
      </c>
      <c r="E111" s="1051">
        <v>0.2</v>
      </c>
      <c r="F111" s="1066">
        <v>30</v>
      </c>
    </row>
    <row r="112" spans="1:6" s="1017" customFormat="1" ht="24">
      <c r="A112" s="1066">
        <v>52</v>
      </c>
      <c r="B112" s="3435"/>
      <c r="C112" s="1066" t="s">
        <v>1575</v>
      </c>
      <c r="D112" s="980" t="s">
        <v>1576</v>
      </c>
      <c r="E112" s="1051">
        <v>0.2</v>
      </c>
      <c r="F112" s="1066">
        <v>30</v>
      </c>
    </row>
    <row r="113" spans="1:14" s="1017" customFormat="1" ht="24">
      <c r="A113" s="1066">
        <v>53</v>
      </c>
      <c r="B113" s="3435"/>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35" t="s">
        <v>1585</v>
      </c>
      <c r="C116" s="1066" t="s">
        <v>1586</v>
      </c>
      <c r="D116" s="980" t="s">
        <v>1587</v>
      </c>
      <c r="E116" s="1051">
        <v>0.2</v>
      </c>
      <c r="F116" s="1066">
        <v>30</v>
      </c>
    </row>
    <row r="117" spans="1:14" ht="36">
      <c r="A117" s="1066">
        <v>57</v>
      </c>
      <c r="B117" s="3435"/>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34" t="s">
        <v>1594</v>
      </c>
      <c r="B121" s="3434"/>
      <c r="C121" s="3434"/>
      <c r="D121" s="3434"/>
      <c r="E121" s="3434"/>
      <c r="F121" s="3434"/>
      <c r="G121" s="3434"/>
      <c r="H121" s="3434"/>
      <c r="I121" s="3434"/>
      <c r="J121" s="3434"/>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7" t="s">
        <v>2538</v>
      </c>
      <c r="C1" s="3457"/>
      <c r="D1" s="3457"/>
      <c r="E1" s="3457"/>
      <c r="F1" s="3457"/>
      <c r="G1" s="3456" t="s">
        <v>2539</v>
      </c>
      <c r="H1" s="3456"/>
      <c r="I1" s="3456"/>
      <c r="J1" s="3456"/>
      <c r="K1" s="3456"/>
      <c r="L1" s="3456"/>
      <c r="N1" s="3456" t="s">
        <v>2540</v>
      </c>
      <c r="O1" s="3456"/>
      <c r="P1" s="3456"/>
      <c r="Q1" s="3456"/>
      <c r="R1" s="2565"/>
      <c r="S1" s="3456" t="s">
        <v>2541</v>
      </c>
      <c r="T1" s="3456"/>
      <c r="U1" s="3456"/>
      <c r="V1" s="3456"/>
      <c r="X1" s="3455" t="s">
        <v>2601</v>
      </c>
      <c r="Y1" s="3456"/>
      <c r="Z1" s="3456"/>
      <c r="AA1" s="3456"/>
      <c r="AB1" s="3456"/>
      <c r="AD1" s="3455" t="s">
        <v>2605</v>
      </c>
      <c r="AE1" s="3456"/>
      <c r="AF1" s="3456"/>
      <c r="AG1" s="3456"/>
      <c r="AH1" s="3456"/>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54">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2"/>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2"/>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3"/>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1">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2"/>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2"/>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3"/>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1">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2"/>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2"/>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3"/>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8">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9"/>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9"/>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60"/>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1">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2"/>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2"/>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3"/>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1">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2">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2">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3">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1">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2">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2">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3">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1">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2">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2">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3">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1">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2">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2">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3">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1">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2">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2">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3">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1">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2">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2">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3">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1">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2">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2">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3">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1">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2">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2">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3">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1">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2">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2">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3">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1">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2">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2">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3">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14931</v>
      </c>
      <c r="C2" s="1955"/>
      <c r="D2" s="1953"/>
      <c r="E2" s="1954"/>
      <c r="F2" s="1954"/>
      <c r="G2" s="1488"/>
      <c r="H2" s="1955"/>
      <c r="I2" s="1955"/>
      <c r="J2" s="1955"/>
      <c r="K2" s="1956"/>
      <c r="L2" s="1955"/>
      <c r="M2" s="1955"/>
    </row>
    <row r="3" spans="1:33" ht="18" customHeight="1" thickBot="1">
      <c r="A3" s="756" t="s">
        <v>479</v>
      </c>
      <c r="B3" s="757">
        <f ca="1">IF(ISERROR(B2*10000/F43),0,ROUND(B2*10000/F43,0))</f>
        <v>3429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14931</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1.2170000000000001</v>
      </c>
      <c r="K42" s="1980"/>
      <c r="L42" s="1886"/>
      <c r="M42" s="1886"/>
    </row>
    <row r="43" spans="1:18" ht="18" customHeight="1" thickBot="1">
      <c r="A43" s="746" t="s">
        <v>1747</v>
      </c>
      <c r="B43" s="747" t="s">
        <v>1770</v>
      </c>
      <c r="C43" s="748">
        <f ca="1">ROUND(C40*10000/F43,0)</f>
        <v>3429</v>
      </c>
      <c r="D43" s="749" t="s">
        <v>1771</v>
      </c>
      <c r="E43" s="750" t="s">
        <v>1772</v>
      </c>
      <c r="F43" s="751">
        <f ca="1">INDIRECT("'数据-取费表'!k"&amp;$G$1)</f>
        <v>43547.97</v>
      </c>
      <c r="G43" s="1960"/>
      <c r="H43" s="1886"/>
      <c r="I43" s="770" t="s">
        <v>1782</v>
      </c>
      <c r="J43" s="771">
        <f ca="1">1-J42</f>
        <v>-0.21700000000000008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-23078</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14931</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14931</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14931</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14931</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14931</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14931</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K44" sqref="K44"/>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0.24399999999999999</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0.75600000000000001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8721</v>
      </c>
      <c r="C2" s="1955"/>
      <c r="D2" s="1953"/>
      <c r="E2" s="1954"/>
      <c r="F2" s="1954"/>
      <c r="G2" s="1488"/>
      <c r="H2" s="1955"/>
      <c r="I2" s="1955"/>
      <c r="J2" s="1955"/>
      <c r="K2" s="1956"/>
      <c r="L2" s="1955"/>
      <c r="M2" s="1955"/>
    </row>
    <row r="3" spans="1:33" ht="18" customHeight="1" thickBot="1">
      <c r="A3" s="756" t="s">
        <v>1687</v>
      </c>
      <c r="B3" s="757">
        <f ca="1">IF(ISERROR(B2*10000/F43),0,ROUND(B2*10000/F43,0))</f>
        <v>5505</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8721</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0.75800000000000001</v>
      </c>
      <c r="K42" s="1980"/>
      <c r="L42" s="1886"/>
      <c r="M42" s="1886"/>
    </row>
    <row r="43" spans="1:18" ht="18" customHeight="1" thickBot="1">
      <c r="A43" s="746" t="s">
        <v>1747</v>
      </c>
      <c r="B43" s="747" t="s">
        <v>1770</v>
      </c>
      <c r="C43" s="748">
        <f ca="1">ROUND(C40*10000/F43,0)</f>
        <v>5505</v>
      </c>
      <c r="D43" s="749" t="s">
        <v>1771</v>
      </c>
      <c r="E43" s="750" t="s">
        <v>1772</v>
      </c>
      <c r="F43" s="751">
        <f ca="1">INDIRECT("'数据-取费表'!k"&amp;$G$1)</f>
        <v>15841.869999999999</v>
      </c>
      <c r="G43" s="1960"/>
      <c r="H43" s="1886"/>
      <c r="I43" s="770" t="s">
        <v>1782</v>
      </c>
      <c r="J43" s="771">
        <f ca="1">1-J42</f>
        <v>0.24199999999999999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-11682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8721</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8721</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8721</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8721</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8721</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8721</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E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2433</v>
      </c>
      <c r="B1" s="3464"/>
      <c r="C1" s="3465"/>
      <c r="D1" s="3466">
        <f>SUM(I10,I15,I20,I21,I23)</f>
        <v>0</v>
      </c>
      <c r="E1" s="3466"/>
      <c r="F1" s="3466"/>
      <c r="G1" s="3466"/>
      <c r="H1" s="3466"/>
      <c r="I1" s="3467"/>
    </row>
    <row r="2" spans="1:9">
      <c r="A2" s="3468" t="s">
        <v>2434</v>
      </c>
      <c r="B2" s="3469" t="s">
        <v>2435</v>
      </c>
      <c r="C2" s="3469"/>
      <c r="D2" s="2418" t="s">
        <v>2436</v>
      </c>
      <c r="E2" s="2418" t="s">
        <v>2437</v>
      </c>
      <c r="F2" s="2418" t="s">
        <v>2438</v>
      </c>
      <c r="G2" s="2418" t="s">
        <v>2439</v>
      </c>
      <c r="H2" s="2418" t="s">
        <v>2440</v>
      </c>
      <c r="I2" s="2419" t="s">
        <v>2441</v>
      </c>
    </row>
    <row r="3" spans="1:9">
      <c r="A3" s="3468"/>
      <c r="B3" s="3469" t="s">
        <v>2442</v>
      </c>
      <c r="C3" s="3469"/>
      <c r="D3" s="2420"/>
      <c r="E3" s="2418"/>
      <c r="F3" s="2421"/>
      <c r="G3" s="2421"/>
      <c r="H3" s="2422"/>
      <c r="I3" s="2423">
        <f>ROUND(D3*E3*F3*G3*H3/10000,0)</f>
        <v>0</v>
      </c>
    </row>
    <row r="4" spans="1:9">
      <c r="A4" s="3468"/>
      <c r="B4" s="3469" t="s">
        <v>2443</v>
      </c>
      <c r="C4" s="3469"/>
      <c r="D4" s="2420"/>
      <c r="E4" s="2418"/>
      <c r="F4" s="2421"/>
      <c r="G4" s="2421"/>
      <c r="H4" s="2422"/>
      <c r="I4" s="2423">
        <f t="shared" ref="I4:I9" si="0">ROUND(D4*E4*F4*G4*H4/10000,0)</f>
        <v>0</v>
      </c>
    </row>
    <row r="5" spans="1:9">
      <c r="A5" s="3468"/>
      <c r="B5" s="3469" t="s">
        <v>2444</v>
      </c>
      <c r="C5" s="3469"/>
      <c r="D5" s="2420"/>
      <c r="E5" s="2418"/>
      <c r="F5" s="2421"/>
      <c r="G5" s="2421"/>
      <c r="H5" s="2422"/>
      <c r="I5" s="2423">
        <f t="shared" si="0"/>
        <v>0</v>
      </c>
    </row>
    <row r="6" spans="1:9">
      <c r="A6" s="3468"/>
      <c r="B6" s="3469" t="s">
        <v>2445</v>
      </c>
      <c r="C6" s="3469"/>
      <c r="D6" s="2420"/>
      <c r="E6" s="2418"/>
      <c r="F6" s="2421"/>
      <c r="G6" s="2421"/>
      <c r="H6" s="2422"/>
      <c r="I6" s="2423">
        <f t="shared" si="0"/>
        <v>0</v>
      </c>
    </row>
    <row r="7" spans="1:9">
      <c r="A7" s="3468"/>
      <c r="B7" s="3469" t="s">
        <v>2446</v>
      </c>
      <c r="C7" s="3469"/>
      <c r="D7" s="2420"/>
      <c r="E7" s="2418"/>
      <c r="F7" s="2421"/>
      <c r="G7" s="2421"/>
      <c r="H7" s="2422"/>
      <c r="I7" s="2423">
        <f t="shared" si="0"/>
        <v>0</v>
      </c>
    </row>
    <row r="8" spans="1:9">
      <c r="A8" s="3468"/>
      <c r="B8" s="3469" t="s">
        <v>2447</v>
      </c>
      <c r="C8" s="3469"/>
      <c r="D8" s="2420"/>
      <c r="E8" s="2418"/>
      <c r="F8" s="2421"/>
      <c r="G8" s="2421"/>
      <c r="H8" s="2422"/>
      <c r="I8" s="2423">
        <f t="shared" si="0"/>
        <v>0</v>
      </c>
    </row>
    <row r="9" spans="1:9">
      <c r="A9" s="3468"/>
      <c r="B9" s="3469" t="s">
        <v>2448</v>
      </c>
      <c r="C9" s="3469"/>
      <c r="D9" s="2420"/>
      <c r="E9" s="2418"/>
      <c r="F9" s="2421"/>
      <c r="G9" s="2421"/>
      <c r="H9" s="2422"/>
      <c r="I9" s="2423">
        <f t="shared" si="0"/>
        <v>0</v>
      </c>
    </row>
    <row r="10" spans="1:9">
      <c r="A10" s="3468"/>
      <c r="B10" s="3470" t="s">
        <v>2449</v>
      </c>
      <c r="C10" s="3470"/>
      <c r="D10" s="2424">
        <v>527</v>
      </c>
      <c r="E10" s="2424" t="e">
        <f>ROUND(D1*10000/D10/H9,0)</f>
        <v>#DIV/0!</v>
      </c>
      <c r="F10" s="2425"/>
      <c r="G10" s="2425"/>
      <c r="H10" s="2426"/>
      <c r="I10" s="2427">
        <f>SUM(I3:I9)</f>
        <v>0</v>
      </c>
    </row>
    <row r="11" spans="1:9" ht="14.25">
      <c r="A11" s="3468" t="s">
        <v>2450</v>
      </c>
      <c r="B11" s="3469" t="s">
        <v>2451</v>
      </c>
      <c r="C11" s="3469"/>
      <c r="D11" s="2420" t="s">
        <v>2452</v>
      </c>
      <c r="E11" s="2420" t="s">
        <v>2453</v>
      </c>
      <c r="F11" s="2421" t="s">
        <v>2454</v>
      </c>
      <c r="G11" s="2421" t="s">
        <v>2455</v>
      </c>
      <c r="H11" s="2428" t="s">
        <v>2456</v>
      </c>
      <c r="I11" s="2419" t="s">
        <v>2457</v>
      </c>
    </row>
    <row r="12" spans="1:9">
      <c r="A12" s="3468"/>
      <c r="B12" s="3469" t="s">
        <v>2458</v>
      </c>
      <c r="C12" s="3469"/>
      <c r="D12" s="2420"/>
      <c r="E12" s="2420"/>
      <c r="F12" s="2421"/>
      <c r="G12" s="2422"/>
      <c r="H12" s="2429"/>
      <c r="I12" s="2419">
        <f>ROUND(D12*E12*F12*G12/10000,0)</f>
        <v>0</v>
      </c>
    </row>
    <row r="13" spans="1:9">
      <c r="A13" s="3468"/>
      <c r="B13" s="3469" t="s">
        <v>2459</v>
      </c>
      <c r="C13" s="3469"/>
      <c r="D13" s="2420"/>
      <c r="E13" s="2420"/>
      <c r="F13" s="2421"/>
      <c r="G13" s="2422"/>
      <c r="H13" s="2429"/>
      <c r="I13" s="2419">
        <f>ROUND(D13*E13*F13*G13/10000,0)</f>
        <v>0</v>
      </c>
    </row>
    <row r="14" spans="1:9">
      <c r="A14" s="3468"/>
      <c r="B14" s="3469" t="s">
        <v>2460</v>
      </c>
      <c r="C14" s="3469"/>
      <c r="D14" s="2420"/>
      <c r="E14" s="2420"/>
      <c r="F14" s="2421"/>
      <c r="G14" s="2422"/>
      <c r="H14" s="2429"/>
      <c r="I14" s="2419">
        <f>ROUND(D14*E14*F14*G14/10000,0)</f>
        <v>0</v>
      </c>
    </row>
    <row r="15" spans="1:9">
      <c r="A15" s="3468"/>
      <c r="B15" s="3470" t="s">
        <v>2449</v>
      </c>
      <c r="C15" s="3470"/>
      <c r="D15" s="2424"/>
      <c r="E15" s="2424">
        <f>SUM(E12:E14)</f>
        <v>0</v>
      </c>
      <c r="F15" s="2425"/>
      <c r="G15" s="2422"/>
      <c r="H15" s="2429"/>
      <c r="I15" s="2430">
        <f>SUM(I12:I14)</f>
        <v>0</v>
      </c>
    </row>
    <row r="16" spans="1:9" ht="24">
      <c r="A16" s="3468" t="s">
        <v>2461</v>
      </c>
      <c r="B16" s="3469" t="s">
        <v>2462</v>
      </c>
      <c r="C16" s="3469"/>
      <c r="D16" s="2420" t="s">
        <v>2463</v>
      </c>
      <c r="E16" s="2431" t="s">
        <v>2464</v>
      </c>
      <c r="F16" s="2421" t="s">
        <v>2465</v>
      </c>
      <c r="G16" s="2422" t="s">
        <v>2455</v>
      </c>
      <c r="H16" s="2428" t="s">
        <v>2456</v>
      </c>
      <c r="I16" s="2419" t="s">
        <v>2457</v>
      </c>
    </row>
    <row r="17" spans="1:9" ht="14.25">
      <c r="A17" s="3468"/>
      <c r="B17" s="3469" t="s">
        <v>2466</v>
      </c>
      <c r="C17" s="3469"/>
      <c r="D17" s="2420"/>
      <c r="E17" s="2420"/>
      <c r="F17" s="2421"/>
      <c r="G17" s="2422"/>
      <c r="H17" s="2432"/>
      <c r="I17" s="2433">
        <f>ROUND(D17*E17*F17*G17/10000,0)</f>
        <v>0</v>
      </c>
    </row>
    <row r="18" spans="1:9" ht="14.25">
      <c r="A18" s="3468"/>
      <c r="B18" s="3469" t="s">
        <v>2467</v>
      </c>
      <c r="C18" s="3469"/>
      <c r="D18" s="2420"/>
      <c r="E18" s="2420"/>
      <c r="F18" s="2421"/>
      <c r="G18" s="2422"/>
      <c r="H18" s="2432"/>
      <c r="I18" s="2433">
        <f>ROUND(D18*E18*F18*G18/10000,0)</f>
        <v>0</v>
      </c>
    </row>
    <row r="19" spans="1:9" ht="14.25">
      <c r="A19" s="3468"/>
      <c r="B19" s="3469" t="s">
        <v>2468</v>
      </c>
      <c r="C19" s="3469"/>
      <c r="D19" s="2420"/>
      <c r="E19" s="2420"/>
      <c r="F19" s="2421"/>
      <c r="G19" s="2422"/>
      <c r="H19" s="2432"/>
      <c r="I19" s="2433">
        <f>ROUND(D19*E19*F19*G19/10000,0)</f>
        <v>0</v>
      </c>
    </row>
    <row r="20" spans="1:9">
      <c r="A20" s="3468"/>
      <c r="B20" s="3470" t="s">
        <v>2449</v>
      </c>
      <c r="C20" s="3470"/>
      <c r="D20" s="2424">
        <f>SUM(D17:D19)</f>
        <v>0</v>
      </c>
      <c r="E20" s="2424"/>
      <c r="F20" s="2425"/>
      <c r="G20" s="2422"/>
      <c r="H20" s="2429"/>
      <c r="I20" s="2430">
        <f>SUM(I17:I19)</f>
        <v>0</v>
      </c>
    </row>
    <row r="21" spans="1:9">
      <c r="A21" s="3468"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79">
        <f>C27-C30-C31-C32</f>
        <v>0</v>
      </c>
      <c r="F26" s="3479"/>
      <c r="G26" s="3479"/>
      <c r="H26" s="2944" t="s">
        <v>2804</v>
      </c>
    </row>
    <row r="27" spans="1:9">
      <c r="A27" s="2442">
        <v>1</v>
      </c>
      <c r="B27" s="2443" t="s">
        <v>2478</v>
      </c>
      <c r="C27" s="2443"/>
      <c r="D27" s="2443"/>
      <c r="E27" s="3480"/>
      <c r="F27" s="3480"/>
      <c r="G27" s="3480"/>
    </row>
    <row r="28" spans="1:9">
      <c r="A28" s="2444" t="s">
        <v>2479</v>
      </c>
      <c r="B28" s="2443" t="s">
        <v>2480</v>
      </c>
      <c r="C28" s="2443"/>
      <c r="D28" s="2443"/>
      <c r="E28" s="3480"/>
      <c r="F28" s="3480"/>
      <c r="G28" s="3480"/>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71"/>
      <c r="F32" s="3471"/>
      <c r="G32" s="3471"/>
    </row>
    <row r="33" spans="1:7" hidden="1">
      <c r="A33" s="3481" t="s">
        <v>2488</v>
      </c>
      <c r="B33" s="3482"/>
      <c r="C33" s="3482"/>
      <c r="D33" s="3483"/>
      <c r="E33" s="3479"/>
      <c r="F33" s="3479"/>
      <c r="G33" s="3479"/>
    </row>
    <row r="34" spans="1:7" hidden="1">
      <c r="A34" s="2446">
        <v>1</v>
      </c>
      <c r="B34" s="2443" t="s">
        <v>2489</v>
      </c>
      <c r="C34" s="2443"/>
      <c r="D34" s="2443"/>
      <c r="E34" s="3480"/>
      <c r="F34" s="3480"/>
      <c r="G34" s="3480"/>
    </row>
    <row r="35" spans="1:7" hidden="1">
      <c r="A35" s="2446">
        <v>2</v>
      </c>
      <c r="B35" s="2443" t="s">
        <v>2490</v>
      </c>
      <c r="C35" s="2443"/>
      <c r="D35" s="2443"/>
      <c r="E35" s="3480"/>
      <c r="F35" s="3480"/>
      <c r="G35" s="3480"/>
    </row>
    <row r="36" spans="1:7" hidden="1">
      <c r="A36" s="2446">
        <v>3</v>
      </c>
      <c r="B36" s="2443" t="s">
        <v>2491</v>
      </c>
      <c r="C36" s="2443"/>
      <c r="D36" s="2443"/>
      <c r="E36" s="3480"/>
      <c r="F36" s="3480"/>
      <c r="G36" s="3480"/>
    </row>
    <row r="37" spans="1:7" hidden="1">
      <c r="A37" s="2446">
        <v>4</v>
      </c>
      <c r="B37" s="2443" t="s">
        <v>2492</v>
      </c>
      <c r="C37" s="2443"/>
      <c r="D37" s="2443"/>
      <c r="E37" s="3480"/>
      <c r="F37" s="3480"/>
      <c r="G37" s="3480"/>
    </row>
    <row r="38" spans="1:7" hidden="1">
      <c r="A38" s="3481" t="s">
        <v>2493</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77" t="s">
        <v>482</v>
      </c>
      <c r="D4" s="3378"/>
      <c r="E4" s="3412" t="s">
        <v>483</v>
      </c>
      <c r="F4" s="3413"/>
      <c r="G4" s="3377" t="s">
        <v>484</v>
      </c>
      <c r="H4" s="3378"/>
      <c r="I4" s="3377" t="s">
        <v>485</v>
      </c>
      <c r="J4" s="3378"/>
      <c r="K4" s="776"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4" t="s">
        <v>484</v>
      </c>
      <c r="AC4" s="3374" t="s">
        <v>485</v>
      </c>
    </row>
    <row r="5" spans="1:29" ht="15">
      <c r="A5" s="438"/>
      <c r="B5" s="439"/>
      <c r="C5" s="3393" t="s">
        <v>2891</v>
      </c>
      <c r="D5" s="3394"/>
      <c r="E5" s="3414" t="s">
        <v>2892</v>
      </c>
      <c r="F5" s="3415"/>
      <c r="G5" s="3393" t="s">
        <v>2893</v>
      </c>
      <c r="H5" s="3394"/>
      <c r="I5" s="3393" t="s">
        <v>2894</v>
      </c>
      <c r="J5" s="3394"/>
      <c r="K5" s="77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77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403" t="s">
        <v>490</v>
      </c>
      <c r="Q7" s="3405"/>
      <c r="R7" s="1466" t="s">
        <v>13</v>
      </c>
      <c r="S7" s="1467">
        <f t="shared" ref="S7:S15" si="0">F7</f>
        <v>0</v>
      </c>
      <c r="T7" s="1466" t="s">
        <v>13</v>
      </c>
      <c r="U7" s="1467">
        <f t="shared" ref="U7:U15" si="1">H7</f>
        <v>0</v>
      </c>
      <c r="V7" s="1466" t="s">
        <v>13</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403" t="s">
        <v>493</v>
      </c>
      <c r="Q8" s="3404"/>
      <c r="R8" s="1466" t="s">
        <v>13</v>
      </c>
      <c r="S8" s="1467">
        <f t="shared" si="0"/>
        <v>0</v>
      </c>
      <c r="T8" s="1466" t="s">
        <v>13</v>
      </c>
      <c r="U8" s="1467">
        <f t="shared" si="1"/>
        <v>0</v>
      </c>
      <c r="V8" s="1466" t="s">
        <v>13</v>
      </c>
      <c r="W8" s="1467">
        <f t="shared" si="2"/>
        <v>0</v>
      </c>
      <c r="X8" s="1468"/>
      <c r="Y8" s="3403" t="s">
        <v>493</v>
      </c>
      <c r="Z8" s="3404"/>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71"/>
      <c r="Q11" s="1063" t="str">
        <f t="shared" si="6"/>
        <v>容积率</v>
      </c>
      <c r="R11" s="1466" t="s">
        <v>11</v>
      </c>
      <c r="S11" s="1467" t="e">
        <f t="shared" si="0"/>
        <v>#N/A</v>
      </c>
      <c r="T11" s="1466" t="s">
        <v>11</v>
      </c>
      <c r="U11" s="1467" t="e">
        <f t="shared" si="1"/>
        <v>#N/A</v>
      </c>
      <c r="V11" s="1466" t="s">
        <v>11</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71"/>
      <c r="Q12" s="1063">
        <f t="shared" si="6"/>
        <v>111</v>
      </c>
      <c r="R12" s="1466" t="s">
        <v>11</v>
      </c>
      <c r="S12" s="1467">
        <f t="shared" si="0"/>
        <v>100</v>
      </c>
      <c r="T12" s="1466" t="s">
        <v>11</v>
      </c>
      <c r="U12" s="1467">
        <f t="shared" si="1"/>
        <v>100</v>
      </c>
      <c r="V12" s="1466" t="s">
        <v>11</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71"/>
      <c r="Q13" s="1063">
        <f t="shared" si="6"/>
        <v>111</v>
      </c>
      <c r="R13" s="1466" t="s">
        <v>11</v>
      </c>
      <c r="S13" s="1467">
        <f t="shared" si="0"/>
        <v>100</v>
      </c>
      <c r="T13" s="1466" t="s">
        <v>11</v>
      </c>
      <c r="U13" s="1467">
        <f t="shared" si="1"/>
        <v>100</v>
      </c>
      <c r="V13" s="1466" t="s">
        <v>11</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71"/>
      <c r="Q14" s="1063">
        <f t="shared" si="6"/>
        <v>111</v>
      </c>
      <c r="R14" s="1466" t="s">
        <v>11</v>
      </c>
      <c r="S14" s="1467">
        <f t="shared" si="0"/>
        <v>100</v>
      </c>
      <c r="T14" s="1466" t="s">
        <v>11</v>
      </c>
      <c r="U14" s="1467">
        <f t="shared" si="1"/>
        <v>100</v>
      </c>
      <c r="V14" s="1466" t="s">
        <v>11</v>
      </c>
      <c r="W14" s="1467">
        <f t="shared" si="2"/>
        <v>100</v>
      </c>
      <c r="X14" s="1468"/>
      <c r="Y14" s="3317"/>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406" t="s">
        <v>500</v>
      </c>
      <c r="Q15" s="1470" t="str">
        <f t="shared" si="6"/>
        <v>居住社区成熟度</v>
      </c>
      <c r="R15" s="1471" t="s">
        <v>11</v>
      </c>
      <c r="S15" s="1472">
        <f t="shared" si="0"/>
        <v>100</v>
      </c>
      <c r="T15" s="1471" t="s">
        <v>11</v>
      </c>
      <c r="U15" s="1472">
        <f t="shared" si="1"/>
        <v>100</v>
      </c>
      <c r="V15" s="1471" t="s">
        <v>11</v>
      </c>
      <c r="W15" s="1472">
        <f t="shared" si="2"/>
        <v>100</v>
      </c>
      <c r="X15" s="1465"/>
      <c r="Y15" s="340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407"/>
      <c r="Q17" s="1470" t="str">
        <f>B17</f>
        <v>交通便捷度</v>
      </c>
      <c r="R17" s="1471" t="s">
        <v>11</v>
      </c>
      <c r="S17" s="1472">
        <f>F17</f>
        <v>100</v>
      </c>
      <c r="T17" s="1471" t="s">
        <v>11</v>
      </c>
      <c r="U17" s="1472">
        <f>H17</f>
        <v>100</v>
      </c>
      <c r="V17" s="1471" t="s">
        <v>11</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407"/>
      <c r="Q19" s="1470" t="str">
        <f>B19</f>
        <v>公共配套设施</v>
      </c>
      <c r="R19" s="1471" t="s">
        <v>11</v>
      </c>
      <c r="S19" s="1472">
        <f>F19</f>
        <v>100</v>
      </c>
      <c r="T19" s="1471" t="s">
        <v>11</v>
      </c>
      <c r="U19" s="1472">
        <f>H19</f>
        <v>100</v>
      </c>
      <c r="V19" s="1471" t="s">
        <v>11</v>
      </c>
      <c r="W19" s="1472">
        <f>J19</f>
        <v>100</v>
      </c>
      <c r="X19" s="1465"/>
      <c r="Y19" s="340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407"/>
      <c r="Q21" s="2490" t="str">
        <f>B21</f>
        <v>基础设施水平</v>
      </c>
      <c r="R21" s="1471" t="s">
        <v>11</v>
      </c>
      <c r="S21" s="1472">
        <f>F21</f>
        <v>100</v>
      </c>
      <c r="T21" s="1471" t="s">
        <v>11</v>
      </c>
      <c r="U21" s="1472">
        <f>H21</f>
        <v>100</v>
      </c>
      <c r="V21" s="1471" t="s">
        <v>11</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407"/>
      <c r="Q22" s="2490"/>
      <c r="R22" s="1471"/>
      <c r="S22" s="1472"/>
      <c r="T22" s="1471"/>
      <c r="U22" s="1472"/>
      <c r="V22" s="1471"/>
      <c r="W22" s="1472"/>
      <c r="X22" s="2492"/>
      <c r="Y22" s="340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407"/>
      <c r="Q23" s="1470" t="str">
        <f>B23</f>
        <v>自然及人文环境</v>
      </c>
      <c r="R23" s="1471" t="s">
        <v>11</v>
      </c>
      <c r="S23" s="1472">
        <f>F23</f>
        <v>100</v>
      </c>
      <c r="T23" s="1471" t="s">
        <v>11</v>
      </c>
      <c r="U23" s="1472">
        <f>H23</f>
        <v>100</v>
      </c>
      <c r="V23" s="1471" t="s">
        <v>11</v>
      </c>
      <c r="W23" s="1472">
        <f>J23</f>
        <v>100</v>
      </c>
      <c r="X23" s="1465"/>
      <c r="Y23" s="340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407"/>
      <c r="Q25" s="1470" t="str">
        <f t="shared" ref="Q25:Q46" si="11">B25</f>
        <v>楼层-1</v>
      </c>
      <c r="R25" s="1471" t="s">
        <v>11</v>
      </c>
      <c r="S25" s="1472">
        <f>F25</f>
        <v>100</v>
      </c>
      <c r="T25" s="1471" t="s">
        <v>11</v>
      </c>
      <c r="U25" s="1472">
        <f>H25</f>
        <v>100</v>
      </c>
      <c r="V25" s="1471" t="s">
        <v>11</v>
      </c>
      <c r="W25" s="1472">
        <f>J25</f>
        <v>100</v>
      </c>
      <c r="X25" s="1465"/>
      <c r="Y25" s="340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407"/>
      <c r="Q26" s="1470" t="str">
        <f t="shared" si="11"/>
        <v>朝向</v>
      </c>
      <c r="R26" s="1471" t="s">
        <v>11</v>
      </c>
      <c r="S26" s="1472">
        <f>F26</f>
        <v>100</v>
      </c>
      <c r="T26" s="1471" t="s">
        <v>11</v>
      </c>
      <c r="U26" s="1472">
        <f>H26</f>
        <v>100</v>
      </c>
      <c r="V26" s="1471" t="s">
        <v>11</v>
      </c>
      <c r="W26" s="1472">
        <f>J26</f>
        <v>100</v>
      </c>
      <c r="X26" s="1465"/>
      <c r="Y26" s="340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407"/>
      <c r="Q27" s="1063" t="str">
        <f t="shared" si="11"/>
        <v>道路级别</v>
      </c>
      <c r="R27" s="1466" t="s">
        <v>11</v>
      </c>
      <c r="S27" s="1467">
        <f>F27</f>
        <v>100</v>
      </c>
      <c r="T27" s="1466" t="s">
        <v>11</v>
      </c>
      <c r="U27" s="1467">
        <f>H27</f>
        <v>100</v>
      </c>
      <c r="V27" s="1466" t="s">
        <v>11</v>
      </c>
      <c r="W27" s="1467">
        <f>J27</f>
        <v>100</v>
      </c>
      <c r="X27" s="1468"/>
      <c r="Y27" s="340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407"/>
      <c r="Q28" s="1470">
        <f t="shared" si="11"/>
        <v>111</v>
      </c>
      <c r="R28" s="1471" t="s">
        <v>11</v>
      </c>
      <c r="S28" s="1472">
        <f t="shared" ref="S28:S46" si="12">F28</f>
        <v>100</v>
      </c>
      <c r="T28" s="1471" t="s">
        <v>11</v>
      </c>
      <c r="U28" s="1472">
        <f t="shared" ref="U28:U46" si="13">H28</f>
        <v>100</v>
      </c>
      <c r="V28" s="1471" t="s">
        <v>11</v>
      </c>
      <c r="W28" s="1472">
        <f t="shared" ref="W28:W46" si="14">J28</f>
        <v>100</v>
      </c>
      <c r="X28" s="1465"/>
      <c r="Y28" s="340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407"/>
      <c r="Q29" s="1470">
        <f t="shared" si="11"/>
        <v>111</v>
      </c>
      <c r="R29" s="1471" t="s">
        <v>11</v>
      </c>
      <c r="S29" s="1472">
        <f t="shared" si="12"/>
        <v>100</v>
      </c>
      <c r="T29" s="1471" t="s">
        <v>11</v>
      </c>
      <c r="U29" s="1472">
        <f t="shared" si="13"/>
        <v>100</v>
      </c>
      <c r="V29" s="1471" t="s">
        <v>11</v>
      </c>
      <c r="W29" s="1472">
        <f t="shared" si="14"/>
        <v>100</v>
      </c>
      <c r="X29" s="1465"/>
      <c r="Y29" s="340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407"/>
      <c r="Q30" s="1470">
        <f t="shared" si="11"/>
        <v>111</v>
      </c>
      <c r="R30" s="1471" t="s">
        <v>11</v>
      </c>
      <c r="S30" s="1472">
        <f t="shared" si="12"/>
        <v>100</v>
      </c>
      <c r="T30" s="1471" t="s">
        <v>11</v>
      </c>
      <c r="U30" s="1472">
        <f t="shared" si="13"/>
        <v>100</v>
      </c>
      <c r="V30" s="1471" t="s">
        <v>11</v>
      </c>
      <c r="W30" s="1472">
        <f t="shared" si="14"/>
        <v>100</v>
      </c>
      <c r="X30" s="1465"/>
      <c r="Y30" s="340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407"/>
      <c r="Q31" s="1470">
        <f t="shared" si="11"/>
        <v>111</v>
      </c>
      <c r="R31" s="1471" t="s">
        <v>11</v>
      </c>
      <c r="S31" s="1472">
        <f t="shared" si="12"/>
        <v>100</v>
      </c>
      <c r="T31" s="1471" t="s">
        <v>11</v>
      </c>
      <c r="U31" s="1472">
        <f t="shared" si="13"/>
        <v>100</v>
      </c>
      <c r="V31" s="1471" t="s">
        <v>11</v>
      </c>
      <c r="W31" s="1472">
        <f t="shared" si="14"/>
        <v>100</v>
      </c>
      <c r="X31" s="1465"/>
      <c r="Y31" s="340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408" t="s">
        <v>510</v>
      </c>
      <c r="Q32" s="1470" t="str">
        <f t="shared" si="11"/>
        <v>建筑类型</v>
      </c>
      <c r="R32" s="1471" t="s">
        <v>11</v>
      </c>
      <c r="S32" s="1472">
        <f t="shared" si="12"/>
        <v>100</v>
      </c>
      <c r="T32" s="1471" t="s">
        <v>11</v>
      </c>
      <c r="U32" s="1472">
        <f t="shared" si="13"/>
        <v>100</v>
      </c>
      <c r="V32" s="1471" t="s">
        <v>11</v>
      </c>
      <c r="W32" s="1472">
        <f t="shared" si="14"/>
        <v>100</v>
      </c>
      <c r="X32" s="1465"/>
      <c r="Y32" s="340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409"/>
      <c r="Q33" s="1503" t="str">
        <f t="shared" si="11"/>
        <v>项目建筑规模</v>
      </c>
      <c r="R33" s="1475" t="s">
        <v>11</v>
      </c>
      <c r="S33" s="1476" t="e">
        <f t="shared" si="12"/>
        <v>#N/A</v>
      </c>
      <c r="T33" s="1475" t="s">
        <v>11</v>
      </c>
      <c r="U33" s="1476" t="e">
        <f t="shared" si="13"/>
        <v>#N/A</v>
      </c>
      <c r="V33" s="1475" t="s">
        <v>11</v>
      </c>
      <c r="W33" s="1476" t="e">
        <f t="shared" si="14"/>
        <v>#N/A</v>
      </c>
      <c r="X33" s="1477"/>
      <c r="Y33" s="340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409"/>
      <c r="Q34" s="1470" t="str">
        <f t="shared" si="11"/>
        <v>建筑结构</v>
      </c>
      <c r="R34" s="1471" t="s">
        <v>11</v>
      </c>
      <c r="S34" s="1472">
        <f t="shared" si="12"/>
        <v>100</v>
      </c>
      <c r="T34" s="1471" t="s">
        <v>11</v>
      </c>
      <c r="U34" s="1472">
        <f t="shared" si="13"/>
        <v>100</v>
      </c>
      <c r="V34" s="1471" t="s">
        <v>11</v>
      </c>
      <c r="W34" s="1472">
        <f t="shared" si="14"/>
        <v>100</v>
      </c>
      <c r="X34" s="1465"/>
      <c r="Y34" s="340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409"/>
      <c r="Q35" s="1470" t="str">
        <f t="shared" si="11"/>
        <v>建筑品质</v>
      </c>
      <c r="R35" s="1471" t="s">
        <v>11</v>
      </c>
      <c r="S35" s="1472">
        <f t="shared" si="12"/>
        <v>100</v>
      </c>
      <c r="T35" s="1471" t="s">
        <v>11</v>
      </c>
      <c r="U35" s="1472">
        <f t="shared" si="13"/>
        <v>100</v>
      </c>
      <c r="V35" s="1471" t="s">
        <v>11</v>
      </c>
      <c r="W35" s="1472">
        <f t="shared" si="14"/>
        <v>100</v>
      </c>
      <c r="X35" s="1465"/>
      <c r="Y35" s="340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409"/>
      <c r="Q36" s="1470" t="str">
        <f t="shared" si="11"/>
        <v>公共部分装修</v>
      </c>
      <c r="R36" s="1471" t="s">
        <v>11</v>
      </c>
      <c r="S36" s="1472">
        <f t="shared" si="12"/>
        <v>100</v>
      </c>
      <c r="T36" s="1471" t="s">
        <v>11</v>
      </c>
      <c r="U36" s="1472">
        <f t="shared" si="13"/>
        <v>100</v>
      </c>
      <c r="V36" s="1471" t="s">
        <v>11</v>
      </c>
      <c r="W36" s="1472">
        <f t="shared" si="14"/>
        <v>100</v>
      </c>
      <c r="X36" s="1465"/>
      <c r="Y36" s="340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409"/>
      <c r="Q37" s="1063" t="str">
        <f t="shared" si="11"/>
        <v>成新度</v>
      </c>
      <c r="R37" s="1466" t="s">
        <v>11</v>
      </c>
      <c r="S37" s="1467" t="e">
        <f t="shared" si="12"/>
        <v>#N/A</v>
      </c>
      <c r="T37" s="1466" t="s">
        <v>11</v>
      </c>
      <c r="U37" s="1467" t="e">
        <f t="shared" si="13"/>
        <v>#N/A</v>
      </c>
      <c r="V37" s="1466" t="s">
        <v>11</v>
      </c>
      <c r="W37" s="1467" t="e">
        <f t="shared" si="14"/>
        <v>#N/A</v>
      </c>
      <c r="X37" s="1468"/>
      <c r="Y37" s="340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409" t="s">
        <v>510</v>
      </c>
      <c r="Q38" s="1470" t="str">
        <f t="shared" si="11"/>
        <v>物业管理</v>
      </c>
      <c r="R38" s="1471" t="s">
        <v>11</v>
      </c>
      <c r="S38" s="1472">
        <f t="shared" si="12"/>
        <v>100</v>
      </c>
      <c r="T38" s="1471" t="s">
        <v>11</v>
      </c>
      <c r="U38" s="1472">
        <f t="shared" si="13"/>
        <v>100</v>
      </c>
      <c r="V38" s="1471" t="s">
        <v>11</v>
      </c>
      <c r="W38" s="1472">
        <f t="shared" si="14"/>
        <v>100</v>
      </c>
      <c r="X38" s="1465"/>
      <c r="Y38" s="340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409"/>
      <c r="Q39" s="1470" t="str">
        <f t="shared" si="11"/>
        <v>市政基础设施</v>
      </c>
      <c r="R39" s="1471" t="s">
        <v>11</v>
      </c>
      <c r="S39" s="1472">
        <f t="shared" si="12"/>
        <v>100</v>
      </c>
      <c r="T39" s="1471" t="s">
        <v>11</v>
      </c>
      <c r="U39" s="1472">
        <f t="shared" si="13"/>
        <v>100</v>
      </c>
      <c r="V39" s="1471" t="s">
        <v>11</v>
      </c>
      <c r="W39" s="1472">
        <f t="shared" si="14"/>
        <v>100</v>
      </c>
      <c r="X39" s="1465"/>
      <c r="Y39" s="340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409"/>
      <c r="Q40" s="1470" t="str">
        <f t="shared" si="11"/>
        <v>房型</v>
      </c>
      <c r="R40" s="1471" t="s">
        <v>11</v>
      </c>
      <c r="S40" s="1472">
        <f t="shared" si="12"/>
        <v>100</v>
      </c>
      <c r="T40" s="1471" t="s">
        <v>11</v>
      </c>
      <c r="U40" s="1472">
        <f t="shared" si="13"/>
        <v>100</v>
      </c>
      <c r="V40" s="1471" t="s">
        <v>11</v>
      </c>
      <c r="W40" s="1472">
        <f t="shared" si="14"/>
        <v>100</v>
      </c>
      <c r="X40" s="1465"/>
      <c r="Y40" s="340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409"/>
      <c r="Q41" s="1503" t="str">
        <f t="shared" si="11"/>
        <v>单套/主力户型建筑面积</v>
      </c>
      <c r="R41" s="1475" t="s">
        <v>11</v>
      </c>
      <c r="S41" s="1476">
        <f t="shared" si="12"/>
        <v>100</v>
      </c>
      <c r="T41" s="1475" t="s">
        <v>11</v>
      </c>
      <c r="U41" s="1476">
        <f t="shared" si="13"/>
        <v>100</v>
      </c>
      <c r="V41" s="1475" t="s">
        <v>11</v>
      </c>
      <c r="W41" s="1476">
        <f t="shared" si="14"/>
        <v>100</v>
      </c>
      <c r="X41" s="1477"/>
      <c r="Y41" s="340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409"/>
      <c r="Q42" s="1470" t="str">
        <f t="shared" si="11"/>
        <v>内部装修</v>
      </c>
      <c r="R42" s="1471" t="s">
        <v>11</v>
      </c>
      <c r="S42" s="1472">
        <f t="shared" si="12"/>
        <v>100</v>
      </c>
      <c r="T42" s="1471" t="s">
        <v>11</v>
      </c>
      <c r="U42" s="1472">
        <f t="shared" si="13"/>
        <v>100</v>
      </c>
      <c r="V42" s="1471" t="s">
        <v>11</v>
      </c>
      <c r="W42" s="1472">
        <f t="shared" si="14"/>
        <v>100</v>
      </c>
      <c r="X42" s="1465"/>
      <c r="Y42" s="340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409"/>
      <c r="Q43" s="1470" t="str">
        <f t="shared" si="11"/>
        <v>内部装修维护情况</v>
      </c>
      <c r="R43" s="1471" t="s">
        <v>11</v>
      </c>
      <c r="S43" s="1472">
        <f t="shared" si="12"/>
        <v>100</v>
      </c>
      <c r="T43" s="1471" t="s">
        <v>11</v>
      </c>
      <c r="U43" s="1472">
        <f t="shared" si="13"/>
        <v>100</v>
      </c>
      <c r="V43" s="1471" t="s">
        <v>11</v>
      </c>
      <c r="W43" s="1472">
        <f t="shared" si="14"/>
        <v>100</v>
      </c>
      <c r="X43" s="1465"/>
      <c r="Y43" s="340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409"/>
      <c r="Q44" s="1063">
        <f t="shared" si="11"/>
        <v>111</v>
      </c>
      <c r="R44" s="1466" t="s">
        <v>11</v>
      </c>
      <c r="S44" s="1467">
        <f t="shared" si="12"/>
        <v>100</v>
      </c>
      <c r="T44" s="1466" t="s">
        <v>11</v>
      </c>
      <c r="U44" s="1467">
        <f t="shared" si="13"/>
        <v>100</v>
      </c>
      <c r="V44" s="1466" t="s">
        <v>11</v>
      </c>
      <c r="W44" s="1467">
        <f t="shared" si="14"/>
        <v>100</v>
      </c>
      <c r="X44" s="1468"/>
      <c r="Y44" s="340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409"/>
      <c r="Q45" s="1470">
        <f t="shared" si="11"/>
        <v>111</v>
      </c>
      <c r="R45" s="1471" t="s">
        <v>11</v>
      </c>
      <c r="S45" s="1472">
        <f t="shared" si="12"/>
        <v>100</v>
      </c>
      <c r="T45" s="1471" t="s">
        <v>11</v>
      </c>
      <c r="U45" s="1472">
        <f t="shared" si="13"/>
        <v>100</v>
      </c>
      <c r="V45" s="1471" t="s">
        <v>11</v>
      </c>
      <c r="W45" s="1472">
        <f t="shared" si="14"/>
        <v>100</v>
      </c>
      <c r="X45" s="1465"/>
      <c r="Y45" s="340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71" t="str">
        <f>A47</f>
        <v>成交单价（元/平方米）</v>
      </c>
      <c r="Q47" s="3371"/>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71" t="str">
        <f>A48</f>
        <v>比较价格（元/平方米）</v>
      </c>
      <c r="Q48" s="337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368" t="str">
        <f>A49</f>
        <v>估价对象XX用房的比较价格（楼面单价，元/平方米）</v>
      </c>
      <c r="Q49" s="3369"/>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77" t="s">
        <v>482</v>
      </c>
      <c r="D4" s="3378"/>
      <c r="E4" s="3412" t="s">
        <v>483</v>
      </c>
      <c r="F4" s="3413"/>
      <c r="G4" s="3377" t="s">
        <v>484</v>
      </c>
      <c r="H4" s="3378"/>
      <c r="I4" s="3377" t="s">
        <v>485</v>
      </c>
      <c r="J4" s="3378"/>
      <c r="K4" s="437"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2"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2"/>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2"/>
      <c r="AC6" s="3376"/>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403"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406" t="s">
        <v>500</v>
      </c>
      <c r="Q15" s="1470" t="str">
        <f t="shared" si="6"/>
        <v>商业繁华度</v>
      </c>
      <c r="R15" s="1471" t="s">
        <v>8</v>
      </c>
      <c r="S15" s="1472">
        <f t="shared" si="0"/>
        <v>100</v>
      </c>
      <c r="T15" s="1471" t="s">
        <v>8</v>
      </c>
      <c r="U15" s="1472">
        <f t="shared" si="1"/>
        <v>100</v>
      </c>
      <c r="V15" s="1471" t="s">
        <v>8</v>
      </c>
      <c r="W15" s="1472">
        <f t="shared" si="2"/>
        <v>100</v>
      </c>
      <c r="X15" s="1465"/>
      <c r="Y15" s="340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407"/>
      <c r="Q22" s="2490"/>
      <c r="R22" s="1471"/>
      <c r="S22" s="1472"/>
      <c r="T22" s="1471"/>
      <c r="U22" s="1472"/>
      <c r="V22" s="1471"/>
      <c r="W22" s="1472"/>
      <c r="X22" s="2492"/>
      <c r="Y22" s="340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407"/>
      <c r="Q23" s="1470" t="str">
        <f>B23</f>
        <v>自然及人文环境</v>
      </c>
      <c r="R23" s="1471" t="s">
        <v>8</v>
      </c>
      <c r="S23" s="1472">
        <f>F23</f>
        <v>100</v>
      </c>
      <c r="T23" s="1471" t="s">
        <v>8</v>
      </c>
      <c r="U23" s="1472">
        <f>H23</f>
        <v>100</v>
      </c>
      <c r="V23" s="1471" t="s">
        <v>8</v>
      </c>
      <c r="W23" s="1472">
        <f>J23</f>
        <v>100</v>
      </c>
      <c r="X23" s="1465"/>
      <c r="Y23" s="340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407"/>
      <c r="Q25" s="1470" t="str">
        <f t="shared" ref="Q25:Q46" si="11">B25</f>
        <v>临街状况</v>
      </c>
      <c r="R25" s="1471" t="s">
        <v>8</v>
      </c>
      <c r="S25" s="1472">
        <f>F25</f>
        <v>100</v>
      </c>
      <c r="T25" s="1471" t="s">
        <v>8</v>
      </c>
      <c r="U25" s="1472">
        <f>H25</f>
        <v>100</v>
      </c>
      <c r="V25" s="1471" t="s">
        <v>8</v>
      </c>
      <c r="W25" s="1472">
        <f>J25</f>
        <v>100</v>
      </c>
      <c r="X25" s="1465"/>
      <c r="Y25" s="340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407"/>
      <c r="Q26" s="1470" t="str">
        <f t="shared" si="11"/>
        <v>平面位置/可视性</v>
      </c>
      <c r="R26" s="1471" t="s">
        <v>8</v>
      </c>
      <c r="S26" s="1472">
        <f>F26</f>
        <v>100</v>
      </c>
      <c r="T26" s="1471" t="s">
        <v>8</v>
      </c>
      <c r="U26" s="1472">
        <f>H26</f>
        <v>100</v>
      </c>
      <c r="V26" s="1471" t="s">
        <v>8</v>
      </c>
      <c r="W26" s="1472">
        <f>J26</f>
        <v>100</v>
      </c>
      <c r="X26" s="1465"/>
      <c r="Y26" s="340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407"/>
      <c r="Q27" s="1063" t="str">
        <f t="shared" si="11"/>
        <v>人流量</v>
      </c>
      <c r="R27" s="1466" t="s">
        <v>8</v>
      </c>
      <c r="S27" s="1467">
        <f>F27</f>
        <v>100</v>
      </c>
      <c r="T27" s="1466" t="s">
        <v>8</v>
      </c>
      <c r="U27" s="1467">
        <f>H27</f>
        <v>100</v>
      </c>
      <c r="V27" s="1466" t="s">
        <v>8</v>
      </c>
      <c r="W27" s="1467">
        <f>J27</f>
        <v>100</v>
      </c>
      <c r="X27" s="1468"/>
      <c r="Y27" s="340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40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40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407"/>
      <c r="Q29" s="1470">
        <f t="shared" si="11"/>
        <v>111</v>
      </c>
      <c r="R29" s="1471" t="s">
        <v>8</v>
      </c>
      <c r="S29" s="1472">
        <f t="shared" si="12"/>
        <v>100</v>
      </c>
      <c r="T29" s="1471" t="s">
        <v>8</v>
      </c>
      <c r="U29" s="1472">
        <f t="shared" si="13"/>
        <v>100</v>
      </c>
      <c r="V29" s="1471" t="s">
        <v>8</v>
      </c>
      <c r="W29" s="1472">
        <f t="shared" si="14"/>
        <v>100</v>
      </c>
      <c r="X29" s="1465"/>
      <c r="Y29" s="340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407"/>
      <c r="Q30" s="1470">
        <f t="shared" si="11"/>
        <v>111</v>
      </c>
      <c r="R30" s="1471" t="s">
        <v>8</v>
      </c>
      <c r="S30" s="1472">
        <f t="shared" si="12"/>
        <v>100</v>
      </c>
      <c r="T30" s="1471" t="s">
        <v>8</v>
      </c>
      <c r="U30" s="1472">
        <f t="shared" si="13"/>
        <v>100</v>
      </c>
      <c r="V30" s="1471" t="s">
        <v>8</v>
      </c>
      <c r="W30" s="1472">
        <f t="shared" si="14"/>
        <v>100</v>
      </c>
      <c r="X30" s="1465"/>
      <c r="Y30" s="340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407"/>
      <c r="Q31" s="1470">
        <f t="shared" si="11"/>
        <v>111</v>
      </c>
      <c r="R31" s="1471" t="s">
        <v>8</v>
      </c>
      <c r="S31" s="1472">
        <f t="shared" si="12"/>
        <v>100</v>
      </c>
      <c r="T31" s="1471" t="s">
        <v>8</v>
      </c>
      <c r="U31" s="1472">
        <f t="shared" si="13"/>
        <v>100</v>
      </c>
      <c r="V31" s="1471" t="s">
        <v>8</v>
      </c>
      <c r="W31" s="1472">
        <f t="shared" si="14"/>
        <v>100</v>
      </c>
      <c r="X31" s="1465"/>
      <c r="Y31" s="340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408" t="s">
        <v>510</v>
      </c>
      <c r="Q32" s="1470" t="str">
        <f t="shared" si="11"/>
        <v>商业类型</v>
      </c>
      <c r="R32" s="1471" t="s">
        <v>8</v>
      </c>
      <c r="S32" s="1472">
        <f t="shared" si="12"/>
        <v>100</v>
      </c>
      <c r="T32" s="1471" t="s">
        <v>8</v>
      </c>
      <c r="U32" s="1472">
        <f t="shared" si="13"/>
        <v>100</v>
      </c>
      <c r="V32" s="1471" t="s">
        <v>8</v>
      </c>
      <c r="W32" s="1472">
        <f t="shared" si="14"/>
        <v>100</v>
      </c>
      <c r="X32" s="1465"/>
      <c r="Y32" s="340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409"/>
      <c r="Q33" s="1503" t="str">
        <f t="shared" si="11"/>
        <v>项目建筑规模</v>
      </c>
      <c r="R33" s="1475" t="s">
        <v>8</v>
      </c>
      <c r="S33" s="1476" t="e">
        <f t="shared" si="12"/>
        <v>#N/A</v>
      </c>
      <c r="T33" s="1475" t="s">
        <v>8</v>
      </c>
      <c r="U33" s="1476" t="e">
        <f t="shared" si="13"/>
        <v>#N/A</v>
      </c>
      <c r="V33" s="1475" t="s">
        <v>8</v>
      </c>
      <c r="W33" s="1476" t="e">
        <f t="shared" si="14"/>
        <v>#N/A</v>
      </c>
      <c r="X33" s="1477"/>
      <c r="Y33" s="340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409"/>
      <c r="Q34" s="1470" t="str">
        <f t="shared" si="11"/>
        <v>建筑结构</v>
      </c>
      <c r="R34" s="1471" t="s">
        <v>8</v>
      </c>
      <c r="S34" s="1472">
        <f t="shared" si="12"/>
        <v>100</v>
      </c>
      <c r="T34" s="1471" t="s">
        <v>8</v>
      </c>
      <c r="U34" s="1472">
        <f t="shared" si="13"/>
        <v>100</v>
      </c>
      <c r="V34" s="1471" t="s">
        <v>8</v>
      </c>
      <c r="W34" s="1472">
        <f t="shared" si="14"/>
        <v>100</v>
      </c>
      <c r="X34" s="1465"/>
      <c r="Y34" s="340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409"/>
      <c r="Q35" s="1470" t="str">
        <f t="shared" si="11"/>
        <v>公共部分装修</v>
      </c>
      <c r="R35" s="1471" t="s">
        <v>8</v>
      </c>
      <c r="S35" s="1472">
        <f t="shared" si="12"/>
        <v>100</v>
      </c>
      <c r="T35" s="1471" t="s">
        <v>8</v>
      </c>
      <c r="U35" s="1472">
        <f t="shared" si="13"/>
        <v>100</v>
      </c>
      <c r="V35" s="1471" t="s">
        <v>8</v>
      </c>
      <c r="W35" s="1472">
        <f t="shared" si="14"/>
        <v>100</v>
      </c>
      <c r="X35" s="1465"/>
      <c r="Y35" s="340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409"/>
      <c r="Q36" s="1470" t="str">
        <f t="shared" si="11"/>
        <v>成新度</v>
      </c>
      <c r="R36" s="1471" t="s">
        <v>8</v>
      </c>
      <c r="S36" s="1472" t="e">
        <f t="shared" si="12"/>
        <v>#N/A</v>
      </c>
      <c r="T36" s="1471" t="s">
        <v>8</v>
      </c>
      <c r="U36" s="1472" t="e">
        <f t="shared" si="13"/>
        <v>#N/A</v>
      </c>
      <c r="V36" s="1471" t="s">
        <v>8</v>
      </c>
      <c r="W36" s="1472" t="e">
        <f t="shared" si="14"/>
        <v>#N/A</v>
      </c>
      <c r="X36" s="1465"/>
      <c r="Y36" s="340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409"/>
      <c r="Q37" s="1063" t="str">
        <f t="shared" si="11"/>
        <v>市政基础设施</v>
      </c>
      <c r="R37" s="1466" t="s">
        <v>8</v>
      </c>
      <c r="S37" s="1467">
        <f t="shared" si="12"/>
        <v>100</v>
      </c>
      <c r="T37" s="1466" t="s">
        <v>8</v>
      </c>
      <c r="U37" s="1467">
        <f t="shared" si="13"/>
        <v>100</v>
      </c>
      <c r="V37" s="1466" t="s">
        <v>8</v>
      </c>
      <c r="W37" s="1467">
        <f t="shared" si="14"/>
        <v>100</v>
      </c>
      <c r="X37" s="1468"/>
      <c r="Y37" s="340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409" t="s">
        <v>726</v>
      </c>
      <c r="Q38" s="1470" t="str">
        <f t="shared" si="11"/>
        <v>业态</v>
      </c>
      <c r="R38" s="1471" t="s">
        <v>8</v>
      </c>
      <c r="S38" s="1472">
        <f t="shared" si="12"/>
        <v>100</v>
      </c>
      <c r="T38" s="1471" t="s">
        <v>8</v>
      </c>
      <c r="U38" s="1472">
        <f t="shared" si="13"/>
        <v>100</v>
      </c>
      <c r="V38" s="1471" t="s">
        <v>8</v>
      </c>
      <c r="W38" s="1472">
        <f t="shared" si="14"/>
        <v>100</v>
      </c>
      <c r="X38" s="1465"/>
      <c r="Y38" s="340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9"/>
      <c r="Q39" s="1470" t="str">
        <f t="shared" si="11"/>
        <v>层高</v>
      </c>
      <c r="R39" s="1471" t="s">
        <v>8</v>
      </c>
      <c r="S39" s="1472">
        <f t="shared" si="12"/>
        <v>100</v>
      </c>
      <c r="T39" s="1471" t="s">
        <v>8</v>
      </c>
      <c r="U39" s="1472">
        <f t="shared" si="13"/>
        <v>100</v>
      </c>
      <c r="V39" s="1471" t="s">
        <v>8</v>
      </c>
      <c r="W39" s="1472">
        <f t="shared" si="14"/>
        <v>100</v>
      </c>
      <c r="X39" s="1465"/>
      <c r="Y39" s="340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409"/>
      <c r="Q40" s="1470" t="str">
        <f t="shared" si="11"/>
        <v>单套建筑面积</v>
      </c>
      <c r="R40" s="1471" t="s">
        <v>8</v>
      </c>
      <c r="S40" s="1472">
        <f t="shared" si="12"/>
        <v>100</v>
      </c>
      <c r="T40" s="1471" t="s">
        <v>8</v>
      </c>
      <c r="U40" s="1472">
        <f t="shared" si="13"/>
        <v>100</v>
      </c>
      <c r="V40" s="1471" t="s">
        <v>8</v>
      </c>
      <c r="W40" s="1472">
        <f t="shared" si="14"/>
        <v>100</v>
      </c>
      <c r="X40" s="1465"/>
      <c r="Y40" s="340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409"/>
      <c r="Q41" s="1503" t="str">
        <f t="shared" si="11"/>
        <v>进深比</v>
      </c>
      <c r="R41" s="1475" t="s">
        <v>8</v>
      </c>
      <c r="S41" s="1476">
        <f t="shared" si="12"/>
        <v>100</v>
      </c>
      <c r="T41" s="1475" t="s">
        <v>8</v>
      </c>
      <c r="U41" s="1476">
        <f t="shared" si="13"/>
        <v>100</v>
      </c>
      <c r="V41" s="1475" t="s">
        <v>8</v>
      </c>
      <c r="W41" s="1476">
        <f t="shared" si="14"/>
        <v>100</v>
      </c>
      <c r="X41" s="1477"/>
      <c r="Y41" s="340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409"/>
      <c r="Q42" s="1470" t="str">
        <f t="shared" si="11"/>
        <v>内部装修</v>
      </c>
      <c r="R42" s="1471" t="s">
        <v>8</v>
      </c>
      <c r="S42" s="1472">
        <f t="shared" si="12"/>
        <v>100</v>
      </c>
      <c r="T42" s="1471" t="s">
        <v>8</v>
      </c>
      <c r="U42" s="1472">
        <f t="shared" si="13"/>
        <v>100</v>
      </c>
      <c r="V42" s="1471" t="s">
        <v>8</v>
      </c>
      <c r="W42" s="1472">
        <f t="shared" si="14"/>
        <v>100</v>
      </c>
      <c r="X42" s="1465"/>
      <c r="Y42" s="340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409"/>
      <c r="Q43" s="1470" t="str">
        <f t="shared" si="11"/>
        <v>内部装修维护情况</v>
      </c>
      <c r="R43" s="1471" t="s">
        <v>8</v>
      </c>
      <c r="S43" s="1472">
        <f t="shared" si="12"/>
        <v>100</v>
      </c>
      <c r="T43" s="1471" t="s">
        <v>8</v>
      </c>
      <c r="U43" s="1472">
        <f t="shared" si="13"/>
        <v>100</v>
      </c>
      <c r="V43" s="1471" t="s">
        <v>8</v>
      </c>
      <c r="W43" s="1472">
        <f t="shared" si="14"/>
        <v>100</v>
      </c>
      <c r="X43" s="1465"/>
      <c r="Y43" s="340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409"/>
      <c r="Q44" s="1063">
        <f t="shared" si="11"/>
        <v>111</v>
      </c>
      <c r="R44" s="1466" t="s">
        <v>8</v>
      </c>
      <c r="S44" s="1467">
        <f t="shared" si="12"/>
        <v>100</v>
      </c>
      <c r="T44" s="1466" t="s">
        <v>8</v>
      </c>
      <c r="U44" s="1467">
        <f t="shared" si="13"/>
        <v>100</v>
      </c>
      <c r="V44" s="1466" t="s">
        <v>8</v>
      </c>
      <c r="W44" s="1467">
        <f t="shared" si="14"/>
        <v>100</v>
      </c>
      <c r="X44" s="1468"/>
      <c r="Y44" s="340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409"/>
      <c r="Q45" s="1470">
        <f t="shared" si="11"/>
        <v>111</v>
      </c>
      <c r="R45" s="1471" t="s">
        <v>8</v>
      </c>
      <c r="S45" s="1472">
        <f t="shared" si="12"/>
        <v>100</v>
      </c>
      <c r="T45" s="1471" t="s">
        <v>8</v>
      </c>
      <c r="U45" s="1472">
        <f t="shared" si="13"/>
        <v>100</v>
      </c>
      <c r="V45" s="1471" t="s">
        <v>8</v>
      </c>
      <c r="W45" s="1472">
        <f t="shared" si="14"/>
        <v>100</v>
      </c>
      <c r="X45" s="1465"/>
      <c r="Y45" s="340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71" t="str">
        <f>A47</f>
        <v>成交单价（元/平方米）</v>
      </c>
      <c r="Q47" s="3371"/>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71" t="str">
        <f>A48</f>
        <v>比较价格（元/平方米）</v>
      </c>
      <c r="Q48" s="337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368" t="str">
        <f>A49</f>
        <v>估价对象XX用房的比较价格（楼面单价，元/平方米）</v>
      </c>
      <c r="Q49" s="3369"/>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77" t="s">
        <v>482</v>
      </c>
      <c r="D4" s="3378"/>
      <c r="E4" s="3412" t="s">
        <v>483</v>
      </c>
      <c r="F4" s="3413"/>
      <c r="G4" s="3377" t="s">
        <v>484</v>
      </c>
      <c r="H4" s="3378"/>
      <c r="I4" s="3377" t="s">
        <v>485</v>
      </c>
      <c r="J4" s="3378"/>
      <c r="K4" s="437" t="s">
        <v>486</v>
      </c>
      <c r="L4" s="2031"/>
      <c r="M4" s="2032"/>
      <c r="N4" s="2032"/>
      <c r="O4" s="2032"/>
      <c r="P4" s="3488" t="s">
        <v>487</v>
      </c>
      <c r="Q4" s="3380"/>
      <c r="R4" s="3385" t="s">
        <v>483</v>
      </c>
      <c r="S4" s="3386"/>
      <c r="T4" s="3385" t="s">
        <v>484</v>
      </c>
      <c r="U4" s="3386"/>
      <c r="V4" s="3372" t="s">
        <v>485</v>
      </c>
      <c r="W4" s="3372"/>
      <c r="X4" s="1465"/>
      <c r="Y4" s="3385" t="s">
        <v>487</v>
      </c>
      <c r="Z4" s="3386"/>
      <c r="AA4" s="3374" t="s">
        <v>483</v>
      </c>
      <c r="AB4" s="3374"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489"/>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490"/>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405"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405" t="s">
        <v>493</v>
      </c>
      <c r="Q8" s="3404"/>
      <c r="R8" s="1466" t="s">
        <v>8</v>
      </c>
      <c r="S8" s="1467">
        <f t="shared" si="0"/>
        <v>0</v>
      </c>
      <c r="T8" s="1466" t="s">
        <v>8</v>
      </c>
      <c r="U8" s="1467">
        <f t="shared" si="1"/>
        <v>0</v>
      </c>
      <c r="V8" s="1466" t="s">
        <v>8</v>
      </c>
      <c r="W8" s="1467">
        <f t="shared" si="2"/>
        <v>0</v>
      </c>
      <c r="X8" s="1468"/>
      <c r="Y8" s="3403" t="s">
        <v>493</v>
      </c>
      <c r="Z8" s="3404"/>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406" t="s">
        <v>500</v>
      </c>
      <c r="Q15" s="1470" t="str">
        <f t="shared" si="6"/>
        <v>办公集聚程度</v>
      </c>
      <c r="R15" s="1471" t="s">
        <v>8</v>
      </c>
      <c r="S15" s="1472">
        <f t="shared" si="0"/>
        <v>100</v>
      </c>
      <c r="T15" s="1471" t="s">
        <v>8</v>
      </c>
      <c r="U15" s="1472">
        <f t="shared" si="1"/>
        <v>100</v>
      </c>
      <c r="V15" s="1471" t="s">
        <v>8</v>
      </c>
      <c r="W15" s="1472">
        <f t="shared" si="2"/>
        <v>100</v>
      </c>
      <c r="X15" s="1465"/>
      <c r="Y15" s="340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407"/>
      <c r="Q16" s="1470"/>
      <c r="R16" s="1471"/>
      <c r="S16" s="1472"/>
      <c r="T16" s="1471"/>
      <c r="U16" s="1472"/>
      <c r="V16" s="1471"/>
      <c r="W16" s="1472"/>
      <c r="X16" s="1465"/>
      <c r="Y16" s="340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407"/>
      <c r="Q18" s="1470"/>
      <c r="R18" s="1471"/>
      <c r="S18" s="1472"/>
      <c r="T18" s="1471"/>
      <c r="U18" s="1472"/>
      <c r="V18" s="1471"/>
      <c r="W18" s="1472"/>
      <c r="X18" s="1465"/>
      <c r="Y18" s="340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407"/>
      <c r="Q20" s="1470"/>
      <c r="R20" s="1471"/>
      <c r="S20" s="1472"/>
      <c r="T20" s="1471"/>
      <c r="U20" s="1472"/>
      <c r="V20" s="1471"/>
      <c r="W20" s="1472"/>
      <c r="X20" s="1465"/>
      <c r="Y20" s="340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407"/>
      <c r="Q22" s="2490"/>
      <c r="R22" s="1471"/>
      <c r="S22" s="1472"/>
      <c r="T22" s="1471"/>
      <c r="U22" s="1472"/>
      <c r="V22" s="1471"/>
      <c r="W22" s="1472"/>
      <c r="X22" s="2492"/>
      <c r="Y22" s="340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407"/>
      <c r="Q23" s="1470" t="str">
        <f>B23</f>
        <v>环境质量</v>
      </c>
      <c r="R23" s="1471" t="s">
        <v>8</v>
      </c>
      <c r="S23" s="1472">
        <f>F23</f>
        <v>100</v>
      </c>
      <c r="T23" s="1471" t="s">
        <v>8</v>
      </c>
      <c r="U23" s="1472">
        <f>H23</f>
        <v>100</v>
      </c>
      <c r="V23" s="1471" t="s">
        <v>8</v>
      </c>
      <c r="W23" s="1472">
        <f>J23</f>
        <v>100</v>
      </c>
      <c r="X23" s="1465"/>
      <c r="Y23" s="340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407"/>
      <c r="Q24" s="1470"/>
      <c r="R24" s="1471"/>
      <c r="S24" s="1472"/>
      <c r="T24" s="1471"/>
      <c r="U24" s="1472"/>
      <c r="V24" s="1471"/>
      <c r="W24" s="1472"/>
      <c r="X24" s="1465"/>
      <c r="Y24" s="340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407"/>
      <c r="Q25" s="1470" t="str">
        <f>B25</f>
        <v>毗邻道路的类型与等级</v>
      </c>
      <c r="R25" s="1471" t="s">
        <v>8</v>
      </c>
      <c r="S25" s="1472">
        <f>F25</f>
        <v>100</v>
      </c>
      <c r="T25" s="1471" t="s">
        <v>8</v>
      </c>
      <c r="U25" s="1472">
        <f>H25</f>
        <v>100</v>
      </c>
      <c r="V25" s="1471" t="s">
        <v>8</v>
      </c>
      <c r="W25" s="1472">
        <f>J25</f>
        <v>100</v>
      </c>
      <c r="X25" s="1465"/>
      <c r="Y25" s="340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407"/>
      <c r="Q26" s="1470"/>
      <c r="R26" s="1471"/>
      <c r="S26" s="1472"/>
      <c r="T26" s="1471"/>
      <c r="U26" s="1472"/>
      <c r="V26" s="1471"/>
      <c r="W26" s="1472"/>
      <c r="X26" s="1465"/>
      <c r="Y26" s="340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407"/>
      <c r="Q27" s="1470" t="str">
        <f t="shared" ref="Q27:Q47" si="11">B27</f>
        <v>楼层</v>
      </c>
      <c r="R27" s="1471" t="s">
        <v>8</v>
      </c>
      <c r="S27" s="1472">
        <f>F27</f>
        <v>100</v>
      </c>
      <c r="T27" s="1471" t="s">
        <v>8</v>
      </c>
      <c r="U27" s="1472">
        <f>H27</f>
        <v>100</v>
      </c>
      <c r="V27" s="1471" t="s">
        <v>8</v>
      </c>
      <c r="W27" s="1472">
        <f>J27</f>
        <v>100</v>
      </c>
      <c r="X27" s="1465"/>
      <c r="Y27" s="340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407"/>
      <c r="Q28" s="1063" t="str">
        <f t="shared" si="11"/>
        <v>朝向</v>
      </c>
      <c r="R28" s="1466" t="s">
        <v>8</v>
      </c>
      <c r="S28" s="1467">
        <f>F28</f>
        <v>100</v>
      </c>
      <c r="T28" s="1466" t="s">
        <v>8</v>
      </c>
      <c r="U28" s="1467">
        <f>H28</f>
        <v>100</v>
      </c>
      <c r="V28" s="1466" t="s">
        <v>8</v>
      </c>
      <c r="W28" s="1467">
        <f>J28</f>
        <v>100</v>
      </c>
      <c r="X28" s="1468"/>
      <c r="Y28" s="340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407"/>
      <c r="Q29" s="1470">
        <f t="shared" si="11"/>
        <v>111</v>
      </c>
      <c r="R29" s="1471" t="s">
        <v>8</v>
      </c>
      <c r="S29" s="1472">
        <f t="shared" ref="S29:S47" si="12">F29</f>
        <v>100</v>
      </c>
      <c r="T29" s="1471" t="s">
        <v>8</v>
      </c>
      <c r="U29" s="1472">
        <f t="shared" ref="U29:U47" si="13">H29</f>
        <v>100</v>
      </c>
      <c r="V29" s="1471" t="s">
        <v>8</v>
      </c>
      <c r="W29" s="1472">
        <f t="shared" ref="W29:W47" si="14">J29</f>
        <v>100</v>
      </c>
      <c r="X29" s="1465"/>
      <c r="Y29" s="340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407"/>
      <c r="Q30" s="1470">
        <f t="shared" si="11"/>
        <v>111</v>
      </c>
      <c r="R30" s="1471" t="s">
        <v>8</v>
      </c>
      <c r="S30" s="1472">
        <f t="shared" si="12"/>
        <v>100</v>
      </c>
      <c r="T30" s="1471" t="s">
        <v>8</v>
      </c>
      <c r="U30" s="1472">
        <f t="shared" si="13"/>
        <v>100</v>
      </c>
      <c r="V30" s="1471" t="s">
        <v>8</v>
      </c>
      <c r="W30" s="1472">
        <f t="shared" si="14"/>
        <v>100</v>
      </c>
      <c r="X30" s="1465"/>
      <c r="Y30" s="340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407"/>
      <c r="Q31" s="1470">
        <f t="shared" si="11"/>
        <v>111</v>
      </c>
      <c r="R31" s="1471" t="s">
        <v>8</v>
      </c>
      <c r="S31" s="1472">
        <f t="shared" si="12"/>
        <v>100</v>
      </c>
      <c r="T31" s="1471" t="s">
        <v>8</v>
      </c>
      <c r="U31" s="1472">
        <f t="shared" si="13"/>
        <v>100</v>
      </c>
      <c r="V31" s="1471" t="s">
        <v>8</v>
      </c>
      <c r="W31" s="1472">
        <f t="shared" si="14"/>
        <v>100</v>
      </c>
      <c r="X31" s="1465"/>
      <c r="Y31" s="340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407"/>
      <c r="Q32" s="1470">
        <f t="shared" si="11"/>
        <v>111</v>
      </c>
      <c r="R32" s="1471" t="s">
        <v>8</v>
      </c>
      <c r="S32" s="1472">
        <f t="shared" si="12"/>
        <v>100</v>
      </c>
      <c r="T32" s="1471" t="s">
        <v>8</v>
      </c>
      <c r="U32" s="1472">
        <f t="shared" si="13"/>
        <v>100</v>
      </c>
      <c r="V32" s="1471" t="s">
        <v>8</v>
      </c>
      <c r="W32" s="1472">
        <f t="shared" si="14"/>
        <v>100</v>
      </c>
      <c r="X32" s="1465"/>
      <c r="Y32" s="340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408" t="s">
        <v>510</v>
      </c>
      <c r="Q33" s="1470" t="str">
        <f t="shared" si="11"/>
        <v>建筑类型</v>
      </c>
      <c r="R33" s="1471" t="s">
        <v>8</v>
      </c>
      <c r="S33" s="1472">
        <f t="shared" si="12"/>
        <v>100</v>
      </c>
      <c r="T33" s="1471" t="s">
        <v>8</v>
      </c>
      <c r="U33" s="1472">
        <f t="shared" si="13"/>
        <v>100</v>
      </c>
      <c r="V33" s="1471" t="s">
        <v>8</v>
      </c>
      <c r="W33" s="1472">
        <f t="shared" si="14"/>
        <v>100</v>
      </c>
      <c r="X33" s="1465"/>
      <c r="Y33" s="340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409"/>
      <c r="Q34" s="1503" t="str">
        <f t="shared" si="11"/>
        <v>项目建筑规模</v>
      </c>
      <c r="R34" s="1475" t="s">
        <v>8</v>
      </c>
      <c r="S34" s="1476" t="e">
        <f t="shared" si="12"/>
        <v>#N/A</v>
      </c>
      <c r="T34" s="1475" t="s">
        <v>8</v>
      </c>
      <c r="U34" s="1476" t="e">
        <f t="shared" si="13"/>
        <v>#N/A</v>
      </c>
      <c r="V34" s="1475" t="s">
        <v>8</v>
      </c>
      <c r="W34" s="1476" t="e">
        <f t="shared" si="14"/>
        <v>#N/A</v>
      </c>
      <c r="X34" s="1477"/>
      <c r="Y34" s="340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409"/>
      <c r="Q35" s="1470" t="str">
        <f t="shared" si="11"/>
        <v>建筑结构</v>
      </c>
      <c r="R35" s="1471" t="s">
        <v>8</v>
      </c>
      <c r="S35" s="1472">
        <f t="shared" si="12"/>
        <v>100</v>
      </c>
      <c r="T35" s="1471" t="s">
        <v>8</v>
      </c>
      <c r="U35" s="1472">
        <f t="shared" si="13"/>
        <v>100</v>
      </c>
      <c r="V35" s="1471" t="s">
        <v>8</v>
      </c>
      <c r="W35" s="1472">
        <f t="shared" si="14"/>
        <v>100</v>
      </c>
      <c r="X35" s="1465"/>
      <c r="Y35" s="340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409"/>
      <c r="Q36" s="1470" t="str">
        <f t="shared" si="11"/>
        <v>公共部分装修</v>
      </c>
      <c r="R36" s="1471" t="s">
        <v>8</v>
      </c>
      <c r="S36" s="1472">
        <f t="shared" si="12"/>
        <v>100</v>
      </c>
      <c r="T36" s="1471" t="s">
        <v>8</v>
      </c>
      <c r="U36" s="1472">
        <f t="shared" si="13"/>
        <v>100</v>
      </c>
      <c r="V36" s="1471" t="s">
        <v>8</v>
      </c>
      <c r="W36" s="1472">
        <f t="shared" si="14"/>
        <v>100</v>
      </c>
      <c r="X36" s="1465"/>
      <c r="Y36" s="340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409"/>
      <c r="Q37" s="1470" t="str">
        <f t="shared" si="11"/>
        <v>成新度</v>
      </c>
      <c r="R37" s="1471" t="s">
        <v>8</v>
      </c>
      <c r="S37" s="1472" t="e">
        <f t="shared" si="12"/>
        <v>#N/A</v>
      </c>
      <c r="T37" s="1471" t="s">
        <v>8</v>
      </c>
      <c r="U37" s="1472" t="e">
        <f t="shared" si="13"/>
        <v>#N/A</v>
      </c>
      <c r="V37" s="1471" t="s">
        <v>8</v>
      </c>
      <c r="W37" s="1472" t="e">
        <f t="shared" si="14"/>
        <v>#N/A</v>
      </c>
      <c r="X37" s="1465"/>
      <c r="Y37" s="340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409"/>
      <c r="Q38" s="1063" t="str">
        <f t="shared" si="11"/>
        <v>写字楼等级</v>
      </c>
      <c r="R38" s="1466" t="s">
        <v>8</v>
      </c>
      <c r="S38" s="1467">
        <f t="shared" si="12"/>
        <v>100</v>
      </c>
      <c r="T38" s="1466" t="s">
        <v>8</v>
      </c>
      <c r="U38" s="1467">
        <f t="shared" si="13"/>
        <v>100</v>
      </c>
      <c r="V38" s="1466" t="s">
        <v>8</v>
      </c>
      <c r="W38" s="1467">
        <f t="shared" si="14"/>
        <v>100</v>
      </c>
      <c r="X38" s="1468"/>
      <c r="Y38" s="340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409" t="s">
        <v>510</v>
      </c>
      <c r="Q39" s="1470" t="str">
        <f t="shared" si="11"/>
        <v>物业管理</v>
      </c>
      <c r="R39" s="1471" t="s">
        <v>8</v>
      </c>
      <c r="S39" s="1472">
        <f t="shared" si="12"/>
        <v>100</v>
      </c>
      <c r="T39" s="1471" t="s">
        <v>8</v>
      </c>
      <c r="U39" s="1472">
        <f t="shared" si="13"/>
        <v>100</v>
      </c>
      <c r="V39" s="1471" t="s">
        <v>8</v>
      </c>
      <c r="W39" s="1472">
        <f t="shared" si="14"/>
        <v>100</v>
      </c>
      <c r="X39" s="1465"/>
      <c r="Y39" s="340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409"/>
      <c r="Q40" s="1470" t="str">
        <f t="shared" si="11"/>
        <v>市政基础设施</v>
      </c>
      <c r="R40" s="1471" t="s">
        <v>8</v>
      </c>
      <c r="S40" s="1472">
        <f t="shared" si="12"/>
        <v>100</v>
      </c>
      <c r="T40" s="1471" t="s">
        <v>8</v>
      </c>
      <c r="U40" s="1472">
        <f t="shared" si="13"/>
        <v>100</v>
      </c>
      <c r="V40" s="1471" t="s">
        <v>8</v>
      </c>
      <c r="W40" s="1472">
        <f t="shared" si="14"/>
        <v>100</v>
      </c>
      <c r="X40" s="1465"/>
      <c r="Y40" s="340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409"/>
      <c r="Q41" s="1470" t="str">
        <f t="shared" si="11"/>
        <v>层高</v>
      </c>
      <c r="R41" s="1471" t="s">
        <v>8</v>
      </c>
      <c r="S41" s="1472">
        <f t="shared" si="12"/>
        <v>100</v>
      </c>
      <c r="T41" s="1471" t="s">
        <v>8</v>
      </c>
      <c r="U41" s="1472">
        <f t="shared" si="13"/>
        <v>100</v>
      </c>
      <c r="V41" s="1471" t="s">
        <v>8</v>
      </c>
      <c r="W41" s="1472">
        <f t="shared" si="14"/>
        <v>100</v>
      </c>
      <c r="X41" s="1465"/>
      <c r="Y41" s="340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409"/>
      <c r="Q42" s="1503" t="str">
        <f t="shared" si="11"/>
        <v>单套建筑面积</v>
      </c>
      <c r="R42" s="1475" t="s">
        <v>8</v>
      </c>
      <c r="S42" s="1476">
        <f t="shared" si="12"/>
        <v>100</v>
      </c>
      <c r="T42" s="1475" t="s">
        <v>8</v>
      </c>
      <c r="U42" s="1476">
        <f t="shared" si="13"/>
        <v>100</v>
      </c>
      <c r="V42" s="1475" t="s">
        <v>8</v>
      </c>
      <c r="W42" s="1476">
        <f t="shared" si="14"/>
        <v>100</v>
      </c>
      <c r="X42" s="1477"/>
      <c r="Y42" s="340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409"/>
      <c r="Q43" s="1470" t="str">
        <f t="shared" si="11"/>
        <v>内部装修</v>
      </c>
      <c r="R43" s="1471" t="s">
        <v>8</v>
      </c>
      <c r="S43" s="1472">
        <f t="shared" si="12"/>
        <v>100</v>
      </c>
      <c r="T43" s="1471" t="s">
        <v>8</v>
      </c>
      <c r="U43" s="1472">
        <f t="shared" si="13"/>
        <v>100</v>
      </c>
      <c r="V43" s="1471" t="s">
        <v>8</v>
      </c>
      <c r="W43" s="1472">
        <f t="shared" si="14"/>
        <v>100</v>
      </c>
      <c r="X43" s="1465"/>
      <c r="Y43" s="340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409"/>
      <c r="Q44" s="1470" t="str">
        <f t="shared" si="11"/>
        <v>内部装修维护情况</v>
      </c>
      <c r="R44" s="1471" t="s">
        <v>8</v>
      </c>
      <c r="S44" s="1472">
        <f t="shared" si="12"/>
        <v>100</v>
      </c>
      <c r="T44" s="1471" t="s">
        <v>8</v>
      </c>
      <c r="U44" s="1472">
        <f t="shared" si="13"/>
        <v>100</v>
      </c>
      <c r="V44" s="1471" t="s">
        <v>8</v>
      </c>
      <c r="W44" s="1472">
        <f t="shared" si="14"/>
        <v>100</v>
      </c>
      <c r="X44" s="1465"/>
      <c r="Y44" s="340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409"/>
      <c r="Q45" s="1063">
        <f t="shared" si="11"/>
        <v>111</v>
      </c>
      <c r="R45" s="1466" t="s">
        <v>8</v>
      </c>
      <c r="S45" s="1467">
        <f t="shared" si="12"/>
        <v>100</v>
      </c>
      <c r="T45" s="1466" t="s">
        <v>8</v>
      </c>
      <c r="U45" s="1467">
        <f t="shared" si="13"/>
        <v>100</v>
      </c>
      <c r="V45" s="1466" t="s">
        <v>8</v>
      </c>
      <c r="W45" s="1467">
        <f t="shared" si="14"/>
        <v>100</v>
      </c>
      <c r="X45" s="1468"/>
      <c r="Y45" s="340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409"/>
      <c r="Q46" s="1470">
        <f t="shared" si="11"/>
        <v>111</v>
      </c>
      <c r="R46" s="1471" t="s">
        <v>8</v>
      </c>
      <c r="S46" s="1472">
        <f t="shared" si="12"/>
        <v>100</v>
      </c>
      <c r="T46" s="1471" t="s">
        <v>8</v>
      </c>
      <c r="U46" s="1472">
        <f t="shared" si="13"/>
        <v>100</v>
      </c>
      <c r="V46" s="1471" t="s">
        <v>8</v>
      </c>
      <c r="W46" s="1472">
        <f t="shared" si="14"/>
        <v>100</v>
      </c>
      <c r="X46" s="1465"/>
      <c r="Y46" s="340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369" t="str">
        <f>A48</f>
        <v>成交单价（元/平方米）</v>
      </c>
      <c r="Q48" s="3371"/>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369" t="str">
        <f>A49</f>
        <v>比较价格（元/平方米）</v>
      </c>
      <c r="Q49" s="3371"/>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87" t="str">
        <f>A50</f>
        <v>估价对象XX用房的比较价格（楼面单价，元/平方米）</v>
      </c>
      <c r="Q50" s="3369"/>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77" t="s">
        <v>482</v>
      </c>
      <c r="D4" s="3378"/>
      <c r="E4" s="3412" t="s">
        <v>483</v>
      </c>
      <c r="F4" s="3413"/>
      <c r="G4" s="3377" t="s">
        <v>484</v>
      </c>
      <c r="H4" s="3378"/>
      <c r="I4" s="3377" t="s">
        <v>485</v>
      </c>
      <c r="J4" s="3378"/>
      <c r="K4" s="437"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5"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403"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406" t="s">
        <v>500</v>
      </c>
      <c r="Q15" s="1470" t="str">
        <f t="shared" si="6"/>
        <v>产业集聚程度</v>
      </c>
      <c r="R15" s="1471" t="s">
        <v>8</v>
      </c>
      <c r="S15" s="1472">
        <f t="shared" si="0"/>
        <v>100</v>
      </c>
      <c r="T15" s="1471" t="s">
        <v>8</v>
      </c>
      <c r="U15" s="1472">
        <f t="shared" si="1"/>
        <v>100</v>
      </c>
      <c r="V15" s="1471" t="s">
        <v>8</v>
      </c>
      <c r="W15" s="1472">
        <f t="shared" si="2"/>
        <v>100</v>
      </c>
      <c r="X15" s="1465"/>
      <c r="Y15" s="340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407"/>
      <c r="Q22" s="2490"/>
      <c r="R22" s="1471"/>
      <c r="S22" s="1472"/>
      <c r="T22" s="1471"/>
      <c r="U22" s="1472"/>
      <c r="V22" s="1471"/>
      <c r="W22" s="1472"/>
      <c r="X22" s="2492"/>
      <c r="Y22" s="340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407"/>
      <c r="Q23" s="1470" t="str">
        <f>B23</f>
        <v>环境质量</v>
      </c>
      <c r="R23" s="1471" t="s">
        <v>8</v>
      </c>
      <c r="S23" s="1472">
        <f>F23</f>
        <v>100</v>
      </c>
      <c r="T23" s="1471" t="s">
        <v>8</v>
      </c>
      <c r="U23" s="1472">
        <f>H23</f>
        <v>100</v>
      </c>
      <c r="V23" s="1471" t="s">
        <v>8</v>
      </c>
      <c r="W23" s="1472">
        <f>J23</f>
        <v>100</v>
      </c>
      <c r="X23" s="1465"/>
      <c r="Y23" s="340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407"/>
      <c r="Q25" s="1470">
        <f>B25</f>
        <v>111</v>
      </c>
      <c r="R25" s="1471" t="s">
        <v>8</v>
      </c>
      <c r="S25" s="1472">
        <f>F25</f>
        <v>100</v>
      </c>
      <c r="T25" s="1471" t="s">
        <v>8</v>
      </c>
      <c r="U25" s="1472">
        <f>H25</f>
        <v>100</v>
      </c>
      <c r="V25" s="1471" t="s">
        <v>8</v>
      </c>
      <c r="W25" s="1472">
        <f>J25</f>
        <v>100</v>
      </c>
      <c r="X25" s="1465"/>
      <c r="Y25" s="340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407"/>
      <c r="Q26" s="1470">
        <f t="shared" ref="Q26:Q40" si="11">B26</f>
        <v>111</v>
      </c>
      <c r="R26" s="1471" t="s">
        <v>8</v>
      </c>
      <c r="S26" s="1472">
        <f>F26</f>
        <v>100</v>
      </c>
      <c r="T26" s="1471" t="s">
        <v>8</v>
      </c>
      <c r="U26" s="1472">
        <f>H26</f>
        <v>100</v>
      </c>
      <c r="V26" s="1471" t="s">
        <v>8</v>
      </c>
      <c r="W26" s="1472">
        <f>J26</f>
        <v>100</v>
      </c>
      <c r="X26" s="1465"/>
      <c r="Y26" s="340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407"/>
      <c r="Q27" s="1063">
        <f t="shared" si="11"/>
        <v>111</v>
      </c>
      <c r="R27" s="1466" t="s">
        <v>8</v>
      </c>
      <c r="S27" s="1467">
        <f>F27</f>
        <v>100</v>
      </c>
      <c r="T27" s="1466" t="s">
        <v>8</v>
      </c>
      <c r="U27" s="1467">
        <f>H27</f>
        <v>100</v>
      </c>
      <c r="V27" s="1466" t="s">
        <v>8</v>
      </c>
      <c r="W27" s="1467">
        <f>J27</f>
        <v>100</v>
      </c>
      <c r="X27" s="1468"/>
      <c r="Y27" s="340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407"/>
      <c r="Q28" s="1470">
        <f t="shared" si="11"/>
        <v>111</v>
      </c>
      <c r="R28" s="1471" t="s">
        <v>8</v>
      </c>
      <c r="S28" s="1472">
        <f t="shared" ref="S28:S40" si="12">F28</f>
        <v>100</v>
      </c>
      <c r="T28" s="1471" t="s">
        <v>8</v>
      </c>
      <c r="U28" s="1472">
        <f t="shared" ref="U28:U40" si="13">H28</f>
        <v>100</v>
      </c>
      <c r="V28" s="1471" t="s">
        <v>8</v>
      </c>
      <c r="W28" s="1472">
        <f t="shared" ref="W28:W40" si="14">J28</f>
        <v>100</v>
      </c>
      <c r="X28" s="1465"/>
      <c r="Y28" s="340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408" t="s">
        <v>510</v>
      </c>
      <c r="Q29" s="1470" t="str">
        <f t="shared" si="11"/>
        <v>建筑类型</v>
      </c>
      <c r="R29" s="1471" t="s">
        <v>8</v>
      </c>
      <c r="S29" s="1472">
        <f t="shared" si="12"/>
        <v>100</v>
      </c>
      <c r="T29" s="1471" t="s">
        <v>8</v>
      </c>
      <c r="U29" s="1472">
        <f t="shared" si="13"/>
        <v>100</v>
      </c>
      <c r="V29" s="1471" t="s">
        <v>8</v>
      </c>
      <c r="W29" s="1472">
        <f t="shared" si="14"/>
        <v>100</v>
      </c>
      <c r="X29" s="1465"/>
      <c r="Y29" s="340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409"/>
      <c r="Q30" s="1503" t="str">
        <f t="shared" si="11"/>
        <v>项目建筑规模</v>
      </c>
      <c r="R30" s="1475" t="s">
        <v>8</v>
      </c>
      <c r="S30" s="1476" t="e">
        <f t="shared" si="12"/>
        <v>#N/A</v>
      </c>
      <c r="T30" s="1475" t="s">
        <v>8</v>
      </c>
      <c r="U30" s="1476" t="e">
        <f t="shared" si="13"/>
        <v>#N/A</v>
      </c>
      <c r="V30" s="1475" t="s">
        <v>8</v>
      </c>
      <c r="W30" s="1476" t="e">
        <f t="shared" si="14"/>
        <v>#N/A</v>
      </c>
      <c r="X30" s="1477"/>
      <c r="Y30" s="340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409"/>
      <c r="Q31" s="1470" t="str">
        <f t="shared" si="11"/>
        <v>建筑结构</v>
      </c>
      <c r="R31" s="1471" t="s">
        <v>8</v>
      </c>
      <c r="S31" s="1472">
        <f t="shared" si="12"/>
        <v>100</v>
      </c>
      <c r="T31" s="1471" t="s">
        <v>8</v>
      </c>
      <c r="U31" s="1472">
        <f t="shared" si="13"/>
        <v>100</v>
      </c>
      <c r="V31" s="1471" t="s">
        <v>8</v>
      </c>
      <c r="W31" s="1472">
        <f t="shared" si="14"/>
        <v>100</v>
      </c>
      <c r="X31" s="1465"/>
      <c r="Y31" s="340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409"/>
      <c r="Q32" s="1470" t="str">
        <f t="shared" si="11"/>
        <v>公共部分装修</v>
      </c>
      <c r="R32" s="1471" t="s">
        <v>8</v>
      </c>
      <c r="S32" s="1472">
        <f t="shared" si="12"/>
        <v>100</v>
      </c>
      <c r="T32" s="1471" t="s">
        <v>8</v>
      </c>
      <c r="U32" s="1472">
        <f t="shared" si="13"/>
        <v>100</v>
      </c>
      <c r="V32" s="1471" t="s">
        <v>8</v>
      </c>
      <c r="W32" s="1472">
        <f t="shared" si="14"/>
        <v>100</v>
      </c>
      <c r="X32" s="1465"/>
      <c r="Y32" s="340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409"/>
      <c r="Q33" s="1470" t="str">
        <f t="shared" si="11"/>
        <v>成新度</v>
      </c>
      <c r="R33" s="1471" t="s">
        <v>8</v>
      </c>
      <c r="S33" s="1472" t="e">
        <f t="shared" si="12"/>
        <v>#N/A</v>
      </c>
      <c r="T33" s="1471" t="s">
        <v>8</v>
      </c>
      <c r="U33" s="1472" t="e">
        <f t="shared" si="13"/>
        <v>#N/A</v>
      </c>
      <c r="V33" s="1471" t="s">
        <v>8</v>
      </c>
      <c r="W33" s="1472" t="e">
        <f t="shared" si="14"/>
        <v>#N/A</v>
      </c>
      <c r="X33" s="1465"/>
      <c r="Y33" s="340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409"/>
      <c r="Q34" s="1063" t="str">
        <f t="shared" si="11"/>
        <v>物业管理</v>
      </c>
      <c r="R34" s="1466" t="s">
        <v>8</v>
      </c>
      <c r="S34" s="1467">
        <f t="shared" si="12"/>
        <v>100</v>
      </c>
      <c r="T34" s="1466" t="s">
        <v>8</v>
      </c>
      <c r="U34" s="1467">
        <f t="shared" si="13"/>
        <v>100</v>
      </c>
      <c r="V34" s="1466" t="s">
        <v>8</v>
      </c>
      <c r="W34" s="1467">
        <f t="shared" si="14"/>
        <v>100</v>
      </c>
      <c r="X34" s="1468"/>
      <c r="Y34" s="340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409" t="s">
        <v>510</v>
      </c>
      <c r="Q35" s="1470" t="str">
        <f t="shared" si="11"/>
        <v>市政基础设施</v>
      </c>
      <c r="R35" s="1471" t="s">
        <v>8</v>
      </c>
      <c r="S35" s="1472">
        <f t="shared" si="12"/>
        <v>100</v>
      </c>
      <c r="T35" s="1471" t="s">
        <v>8</v>
      </c>
      <c r="U35" s="1472">
        <f t="shared" si="13"/>
        <v>100</v>
      </c>
      <c r="V35" s="1471" t="s">
        <v>8</v>
      </c>
      <c r="W35" s="1472">
        <f t="shared" si="14"/>
        <v>100</v>
      </c>
      <c r="X35" s="1465"/>
      <c r="Y35" s="340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409"/>
      <c r="Q36" s="1470" t="str">
        <f t="shared" si="11"/>
        <v>内部装修</v>
      </c>
      <c r="R36" s="1471" t="s">
        <v>8</v>
      </c>
      <c r="S36" s="1472">
        <f t="shared" si="12"/>
        <v>100</v>
      </c>
      <c r="T36" s="1471" t="s">
        <v>8</v>
      </c>
      <c r="U36" s="1472">
        <f t="shared" si="13"/>
        <v>100</v>
      </c>
      <c r="V36" s="1471" t="s">
        <v>8</v>
      </c>
      <c r="W36" s="1472">
        <f t="shared" si="14"/>
        <v>100</v>
      </c>
      <c r="X36" s="1465"/>
      <c r="Y36" s="340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409"/>
      <c r="Q37" s="1470" t="str">
        <f t="shared" si="11"/>
        <v>内部装修状况</v>
      </c>
      <c r="R37" s="1471" t="s">
        <v>8</v>
      </c>
      <c r="S37" s="1472">
        <f t="shared" si="12"/>
        <v>100</v>
      </c>
      <c r="T37" s="1471" t="s">
        <v>8</v>
      </c>
      <c r="U37" s="1472">
        <f t="shared" si="13"/>
        <v>100</v>
      </c>
      <c r="V37" s="1471" t="s">
        <v>8</v>
      </c>
      <c r="W37" s="1472">
        <f t="shared" si="14"/>
        <v>100</v>
      </c>
      <c r="X37" s="1465"/>
      <c r="Y37" s="340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409"/>
      <c r="Q38" s="1503">
        <f t="shared" si="11"/>
        <v>111</v>
      </c>
      <c r="R38" s="1475" t="s">
        <v>8</v>
      </c>
      <c r="S38" s="1476">
        <f t="shared" si="12"/>
        <v>100</v>
      </c>
      <c r="T38" s="1475" t="s">
        <v>8</v>
      </c>
      <c r="U38" s="1476">
        <f t="shared" si="13"/>
        <v>100</v>
      </c>
      <c r="V38" s="1475" t="s">
        <v>8</v>
      </c>
      <c r="W38" s="1476">
        <f t="shared" si="14"/>
        <v>100</v>
      </c>
      <c r="X38" s="1477"/>
      <c r="Y38" s="340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409"/>
      <c r="Q39" s="1470">
        <f t="shared" si="11"/>
        <v>111</v>
      </c>
      <c r="R39" s="1471" t="s">
        <v>8</v>
      </c>
      <c r="S39" s="1472">
        <f t="shared" si="12"/>
        <v>100</v>
      </c>
      <c r="T39" s="1471" t="s">
        <v>8</v>
      </c>
      <c r="U39" s="1472">
        <f t="shared" si="13"/>
        <v>100</v>
      </c>
      <c r="V39" s="1471" t="s">
        <v>8</v>
      </c>
      <c r="W39" s="1472">
        <f t="shared" si="14"/>
        <v>100</v>
      </c>
      <c r="X39" s="1465"/>
      <c r="Y39" s="340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71" t="str">
        <f>A41</f>
        <v>成交单价（元/平方米）</v>
      </c>
      <c r="Q41" s="3371"/>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71" t="str">
        <f>A42</f>
        <v>比较价格（元/平方米）</v>
      </c>
      <c r="Q42" s="3371"/>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368" t="str">
        <f>A43</f>
        <v>估价对象XX用房的比较价格（楼面单价，元/平方米）</v>
      </c>
      <c r="Q43" s="3369"/>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7" t="s">
        <v>758</v>
      </c>
      <c r="D4" s="3378"/>
      <c r="E4" s="3377" t="s">
        <v>759</v>
      </c>
      <c r="F4" s="3378"/>
      <c r="G4" s="3377" t="s">
        <v>760</v>
      </c>
      <c r="H4" s="3378"/>
      <c r="I4" s="3377" t="s">
        <v>761</v>
      </c>
      <c r="J4" s="3378"/>
      <c r="K4" s="437" t="s">
        <v>762</v>
      </c>
      <c r="L4" s="2031"/>
      <c r="M4" s="2032"/>
      <c r="N4" s="2032"/>
      <c r="O4" s="2032"/>
      <c r="P4" s="3379" t="s">
        <v>763</v>
      </c>
      <c r="Q4" s="3380"/>
      <c r="R4" s="3385" t="s">
        <v>759</v>
      </c>
      <c r="S4" s="3386"/>
      <c r="T4" s="3385" t="s">
        <v>760</v>
      </c>
      <c r="U4" s="3386"/>
      <c r="V4" s="3372" t="s">
        <v>761</v>
      </c>
      <c r="W4" s="3372"/>
      <c r="X4" s="1465"/>
      <c r="Y4" s="3385" t="s">
        <v>763</v>
      </c>
      <c r="Z4" s="3386"/>
      <c r="AA4" s="3374" t="s">
        <v>759</v>
      </c>
      <c r="AB4" s="3375" t="s">
        <v>760</v>
      </c>
      <c r="AC4" s="3374" t="s">
        <v>761</v>
      </c>
    </row>
    <row r="5" spans="1:29" ht="15">
      <c r="A5" s="438"/>
      <c r="B5" s="439"/>
      <c r="C5" s="3492" t="s">
        <v>3362</v>
      </c>
      <c r="D5" s="3394"/>
      <c r="E5" s="3492" t="s">
        <v>3360</v>
      </c>
      <c r="F5" s="3394"/>
      <c r="G5" s="3492" t="s">
        <v>3363</v>
      </c>
      <c r="H5" s="3394"/>
      <c r="I5" s="3492" t="s">
        <v>3364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491" t="s">
        <v>3023</v>
      </c>
      <c r="D6" s="3392"/>
      <c r="E6" s="3395" t="s">
        <v>3361</v>
      </c>
      <c r="F6" s="3396"/>
      <c r="G6" s="3491" t="s">
        <v>3365</v>
      </c>
      <c r="H6" s="3392"/>
      <c r="I6" s="3491" t="s">
        <v>3365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403" t="s">
        <v>490</v>
      </c>
      <c r="Q7" s="3405"/>
      <c r="R7" s="1466" t="s">
        <v>8</v>
      </c>
      <c r="S7" s="1467">
        <f t="shared" ref="S7:S14" si="0">F7</f>
        <v>98.5</v>
      </c>
      <c r="T7" s="1466" t="s">
        <v>8</v>
      </c>
      <c r="U7" s="1467">
        <f t="shared" ref="U7:U14" si="1">H7</f>
        <v>100</v>
      </c>
      <c r="V7" s="1466" t="s">
        <v>8</v>
      </c>
      <c r="W7" s="1467">
        <f t="shared" ref="W7:W14" si="2">J7</f>
        <v>100</v>
      </c>
      <c r="X7" s="1468"/>
      <c r="Y7" s="3403" t="s">
        <v>490</v>
      </c>
      <c r="Z7" s="3404"/>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403" t="s">
        <v>493</v>
      </c>
      <c r="Q8" s="3404"/>
      <c r="R8" s="1466" t="s">
        <v>8</v>
      </c>
      <c r="S8" s="1467">
        <f t="shared" si="0"/>
        <v>100</v>
      </c>
      <c r="T8" s="1466" t="s">
        <v>8</v>
      </c>
      <c r="U8" s="1467">
        <f t="shared" si="1"/>
        <v>100</v>
      </c>
      <c r="V8" s="1466" t="s">
        <v>8</v>
      </c>
      <c r="W8" s="1467">
        <f t="shared" si="2"/>
        <v>100</v>
      </c>
      <c r="X8" s="1468"/>
      <c r="Y8" s="3403" t="s">
        <v>493</v>
      </c>
      <c r="Z8" s="3404"/>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71" t="s">
        <v>495</v>
      </c>
      <c r="Q9" s="1063" t="str">
        <f t="shared" ref="Q9:Q14" si="6">B9</f>
        <v>用途</v>
      </c>
      <c r="R9" s="1466" t="s">
        <v>8</v>
      </c>
      <c r="S9" s="1467">
        <f t="shared" si="0"/>
        <v>100</v>
      </c>
      <c r="T9" s="1466" t="s">
        <v>8</v>
      </c>
      <c r="U9" s="1467">
        <f t="shared" si="1"/>
        <v>100</v>
      </c>
      <c r="V9" s="1466" t="s">
        <v>8</v>
      </c>
      <c r="W9" s="1467">
        <f t="shared" si="2"/>
        <v>100</v>
      </c>
      <c r="X9" s="1468"/>
      <c r="Y9" s="3317"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71"/>
      <c r="Q11" s="1063">
        <f t="shared" si="6"/>
        <v>111</v>
      </c>
      <c r="R11" s="1466" t="s">
        <v>8</v>
      </c>
      <c r="S11" s="1467">
        <f t="shared" si="0"/>
        <v>100</v>
      </c>
      <c r="T11" s="1466" t="s">
        <v>8</v>
      </c>
      <c r="U11" s="1467">
        <f t="shared" si="1"/>
        <v>100</v>
      </c>
      <c r="V11" s="1466" t="s">
        <v>8</v>
      </c>
      <c r="W11" s="1467">
        <f t="shared" si="2"/>
        <v>100</v>
      </c>
      <c r="X11" s="1468"/>
      <c r="Y11" s="3317"/>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406" t="s">
        <v>500</v>
      </c>
      <c r="Q14" s="1470" t="str">
        <f t="shared" si="6"/>
        <v>交通便捷度</v>
      </c>
      <c r="R14" s="1471" t="s">
        <v>8</v>
      </c>
      <c r="S14" s="1472">
        <f t="shared" si="0"/>
        <v>101</v>
      </c>
      <c r="T14" s="1471" t="s">
        <v>8</v>
      </c>
      <c r="U14" s="1472">
        <f t="shared" si="1"/>
        <v>100</v>
      </c>
      <c r="V14" s="1471" t="s">
        <v>8</v>
      </c>
      <c r="W14" s="1472">
        <f t="shared" si="2"/>
        <v>100</v>
      </c>
      <c r="X14" s="1465"/>
      <c r="Y14" s="340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407"/>
      <c r="Q15" s="1470"/>
      <c r="R15" s="1471"/>
      <c r="S15" s="1472"/>
      <c r="T15" s="1471"/>
      <c r="U15" s="1472"/>
      <c r="V15" s="1471"/>
      <c r="W15" s="1472"/>
      <c r="X15" s="1465"/>
      <c r="Y15" s="340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407"/>
      <c r="Q16" s="1470" t="str">
        <f>B16</f>
        <v>公共配套设施</v>
      </c>
      <c r="R16" s="1471" t="s">
        <v>8</v>
      </c>
      <c r="S16" s="1472">
        <f>F16</f>
        <v>101</v>
      </c>
      <c r="T16" s="1471" t="s">
        <v>8</v>
      </c>
      <c r="U16" s="1472">
        <f>H16</f>
        <v>100</v>
      </c>
      <c r="V16" s="1471" t="s">
        <v>8</v>
      </c>
      <c r="W16" s="1472">
        <f>J16</f>
        <v>100</v>
      </c>
      <c r="X16" s="1465"/>
      <c r="Y16" s="340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407"/>
      <c r="Q17" s="1470"/>
      <c r="R17" s="1471"/>
      <c r="S17" s="1472"/>
      <c r="T17" s="1471"/>
      <c r="U17" s="1472"/>
      <c r="V17" s="1471"/>
      <c r="W17" s="1472"/>
      <c r="X17" s="1465"/>
      <c r="Y17" s="340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407"/>
      <c r="Q18" s="2490" t="str">
        <f>B18</f>
        <v>基础设施水平</v>
      </c>
      <c r="R18" s="1471" t="s">
        <v>8</v>
      </c>
      <c r="S18" s="1472">
        <f>F18</f>
        <v>100</v>
      </c>
      <c r="T18" s="1471" t="s">
        <v>8</v>
      </c>
      <c r="U18" s="1472">
        <f>H18</f>
        <v>100</v>
      </c>
      <c r="V18" s="1471" t="s">
        <v>8</v>
      </c>
      <c r="W18" s="1472">
        <f>J18</f>
        <v>100</v>
      </c>
      <c r="X18" s="2492"/>
      <c r="Y18" s="340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407"/>
      <c r="Q19" s="2490"/>
      <c r="R19" s="1471"/>
      <c r="S19" s="1472"/>
      <c r="T19" s="1471"/>
      <c r="U19" s="1472"/>
      <c r="V19" s="1471"/>
      <c r="W19" s="1472"/>
      <c r="X19" s="2492"/>
      <c r="Y19" s="340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407"/>
      <c r="Q20" s="1470" t="str">
        <f>B20</f>
        <v>自然及人文环境</v>
      </c>
      <c r="R20" s="1471" t="s">
        <v>8</v>
      </c>
      <c r="S20" s="1472">
        <f>F20</f>
        <v>100</v>
      </c>
      <c r="T20" s="1471" t="s">
        <v>8</v>
      </c>
      <c r="U20" s="1472">
        <f>H20</f>
        <v>98</v>
      </c>
      <c r="V20" s="1471" t="s">
        <v>8</v>
      </c>
      <c r="W20" s="1472">
        <f>J20</f>
        <v>100</v>
      </c>
      <c r="X20" s="1465"/>
      <c r="Y20" s="340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407"/>
      <c r="Q21" s="1470"/>
      <c r="R21" s="1471"/>
      <c r="S21" s="1472"/>
      <c r="T21" s="1471"/>
      <c r="U21" s="1472"/>
      <c r="V21" s="1471"/>
      <c r="W21" s="1472"/>
      <c r="X21" s="1465"/>
      <c r="Y21" s="340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407"/>
      <c r="Q22" s="1470" t="str">
        <f>B22</f>
        <v>楼层</v>
      </c>
      <c r="R22" s="1471" t="s">
        <v>8</v>
      </c>
      <c r="S22" s="1472">
        <f>F22</f>
        <v>100</v>
      </c>
      <c r="T22" s="1471" t="s">
        <v>8</v>
      </c>
      <c r="U22" s="1472">
        <f>H22</f>
        <v>100</v>
      </c>
      <c r="V22" s="1471" t="s">
        <v>8</v>
      </c>
      <c r="W22" s="1472">
        <f>J22</f>
        <v>100</v>
      </c>
      <c r="X22" s="1465"/>
      <c r="Y22" s="340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407"/>
      <c r="Q23" s="1470">
        <f>B23</f>
        <v>111</v>
      </c>
      <c r="R23" s="1471" t="s">
        <v>8</v>
      </c>
      <c r="S23" s="1472">
        <f>F23</f>
        <v>100</v>
      </c>
      <c r="T23" s="1471" t="s">
        <v>8</v>
      </c>
      <c r="U23" s="1472">
        <f>H23</f>
        <v>100</v>
      </c>
      <c r="V23" s="1471" t="s">
        <v>8</v>
      </c>
      <c r="W23" s="1472">
        <f>J23</f>
        <v>100</v>
      </c>
      <c r="X23" s="1465"/>
      <c r="Y23" s="340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407"/>
      <c r="Q24" s="1470">
        <f t="shared" ref="Q24:Q36" si="11">B24</f>
        <v>111</v>
      </c>
      <c r="R24" s="1471" t="s">
        <v>8</v>
      </c>
      <c r="S24" s="1472">
        <f>F24</f>
        <v>100</v>
      </c>
      <c r="T24" s="1471" t="s">
        <v>8</v>
      </c>
      <c r="U24" s="1472">
        <f>H24</f>
        <v>100</v>
      </c>
      <c r="V24" s="1471" t="s">
        <v>8</v>
      </c>
      <c r="W24" s="1472">
        <f>J24</f>
        <v>100</v>
      </c>
      <c r="X24" s="1465"/>
      <c r="Y24" s="340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407"/>
      <c r="Q25" s="1063">
        <f t="shared" si="11"/>
        <v>111</v>
      </c>
      <c r="R25" s="1466" t="s">
        <v>8</v>
      </c>
      <c r="S25" s="1467">
        <f>F25</f>
        <v>100</v>
      </c>
      <c r="T25" s="1466" t="s">
        <v>8</v>
      </c>
      <c r="U25" s="1467">
        <f>H25</f>
        <v>100</v>
      </c>
      <c r="V25" s="1466" t="s">
        <v>8</v>
      </c>
      <c r="W25" s="1467">
        <f>J25</f>
        <v>100</v>
      </c>
      <c r="X25" s="1468"/>
      <c r="Y25" s="340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40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40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409"/>
      <c r="Q27" s="1503" t="str">
        <f t="shared" si="11"/>
        <v>项目停车位配比</v>
      </c>
      <c r="R27" s="1475" t="s">
        <v>8</v>
      </c>
      <c r="S27" s="1476">
        <f t="shared" si="12"/>
        <v>100</v>
      </c>
      <c r="T27" s="1475" t="s">
        <v>8</v>
      </c>
      <c r="U27" s="1476">
        <f t="shared" si="13"/>
        <v>100</v>
      </c>
      <c r="V27" s="1475" t="s">
        <v>8</v>
      </c>
      <c r="W27" s="1476">
        <f t="shared" si="14"/>
        <v>100</v>
      </c>
      <c r="X27" s="1477"/>
      <c r="Y27" s="340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409"/>
      <c r="Q28" s="1470" t="str">
        <f t="shared" si="11"/>
        <v>公共部分装修</v>
      </c>
      <c r="R28" s="1471" t="s">
        <v>8</v>
      </c>
      <c r="S28" s="1472">
        <f t="shared" si="12"/>
        <v>100</v>
      </c>
      <c r="T28" s="1471" t="s">
        <v>8</v>
      </c>
      <c r="U28" s="1472">
        <f t="shared" si="13"/>
        <v>100</v>
      </c>
      <c r="V28" s="1471" t="s">
        <v>8</v>
      </c>
      <c r="W28" s="1472">
        <f t="shared" si="14"/>
        <v>100</v>
      </c>
      <c r="X28" s="1465"/>
      <c r="Y28" s="340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409"/>
      <c r="Q29" s="1470" t="str">
        <f t="shared" si="11"/>
        <v>成新率</v>
      </c>
      <c r="R29" s="1471" t="s">
        <v>8</v>
      </c>
      <c r="S29" s="1472">
        <f t="shared" si="12"/>
        <v>100</v>
      </c>
      <c r="T29" s="1471" t="s">
        <v>8</v>
      </c>
      <c r="U29" s="1472">
        <f t="shared" si="13"/>
        <v>100</v>
      </c>
      <c r="V29" s="1471" t="s">
        <v>8</v>
      </c>
      <c r="W29" s="1472">
        <f t="shared" si="14"/>
        <v>100</v>
      </c>
      <c r="X29" s="1465"/>
      <c r="Y29" s="340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409"/>
      <c r="Q30" s="1470" t="str">
        <f t="shared" si="11"/>
        <v>物业等级</v>
      </c>
      <c r="R30" s="1471" t="s">
        <v>8</v>
      </c>
      <c r="S30" s="1472">
        <f t="shared" si="12"/>
        <v>100</v>
      </c>
      <c r="T30" s="1471" t="s">
        <v>8</v>
      </c>
      <c r="U30" s="1472">
        <f t="shared" si="13"/>
        <v>100</v>
      </c>
      <c r="V30" s="1471" t="s">
        <v>8</v>
      </c>
      <c r="W30" s="1472">
        <f t="shared" si="14"/>
        <v>100</v>
      </c>
      <c r="X30" s="1465"/>
      <c r="Y30" s="340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409"/>
      <c r="Q31" s="1063" t="str">
        <f t="shared" si="11"/>
        <v>停车位面积</v>
      </c>
      <c r="R31" s="1466" t="s">
        <v>8</v>
      </c>
      <c r="S31" s="1467">
        <f t="shared" si="12"/>
        <v>101</v>
      </c>
      <c r="T31" s="1466" t="s">
        <v>8</v>
      </c>
      <c r="U31" s="1467">
        <f t="shared" si="13"/>
        <v>99</v>
      </c>
      <c r="V31" s="1466" t="s">
        <v>8</v>
      </c>
      <c r="W31" s="1467">
        <f t="shared" si="14"/>
        <v>100</v>
      </c>
      <c r="X31" s="1468"/>
      <c r="Y31" s="340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409" t="s">
        <v>510</v>
      </c>
      <c r="Q32" s="1470" t="str">
        <f t="shared" si="11"/>
        <v>车位类型</v>
      </c>
      <c r="R32" s="1471" t="s">
        <v>8</v>
      </c>
      <c r="S32" s="1472">
        <f t="shared" si="12"/>
        <v>100</v>
      </c>
      <c r="T32" s="1471" t="s">
        <v>8</v>
      </c>
      <c r="U32" s="1472">
        <f t="shared" si="13"/>
        <v>100</v>
      </c>
      <c r="V32" s="1471" t="s">
        <v>8</v>
      </c>
      <c r="W32" s="1472">
        <f t="shared" si="14"/>
        <v>100</v>
      </c>
      <c r="X32" s="1465"/>
      <c r="Y32" s="340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409"/>
      <c r="Q33" s="1470" t="str">
        <f t="shared" si="11"/>
        <v>是否直接入户</v>
      </c>
      <c r="R33" s="1471" t="s">
        <v>8</v>
      </c>
      <c r="S33" s="1472">
        <f t="shared" si="12"/>
        <v>100</v>
      </c>
      <c r="T33" s="1471" t="s">
        <v>8</v>
      </c>
      <c r="U33" s="1472">
        <f t="shared" si="13"/>
        <v>100</v>
      </c>
      <c r="V33" s="1471" t="s">
        <v>8</v>
      </c>
      <c r="W33" s="1472">
        <f t="shared" si="14"/>
        <v>100</v>
      </c>
      <c r="X33" s="1465"/>
      <c r="Y33" s="340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409"/>
      <c r="Q34" s="1470">
        <f t="shared" si="11"/>
        <v>111</v>
      </c>
      <c r="R34" s="1471" t="s">
        <v>8</v>
      </c>
      <c r="S34" s="1472">
        <f t="shared" si="12"/>
        <v>100</v>
      </c>
      <c r="T34" s="1471" t="s">
        <v>8</v>
      </c>
      <c r="U34" s="1472">
        <f t="shared" si="13"/>
        <v>100</v>
      </c>
      <c r="V34" s="1471" t="s">
        <v>8</v>
      </c>
      <c r="W34" s="1472">
        <f t="shared" si="14"/>
        <v>100</v>
      </c>
      <c r="X34" s="1465"/>
      <c r="Y34" s="340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409"/>
      <c r="Q35" s="1503">
        <f t="shared" si="11"/>
        <v>111</v>
      </c>
      <c r="R35" s="1475" t="s">
        <v>8</v>
      </c>
      <c r="S35" s="1476">
        <f t="shared" si="12"/>
        <v>100</v>
      </c>
      <c r="T35" s="1475" t="s">
        <v>8</v>
      </c>
      <c r="U35" s="1476">
        <f t="shared" si="13"/>
        <v>100</v>
      </c>
      <c r="V35" s="1475" t="s">
        <v>8</v>
      </c>
      <c r="W35" s="1476">
        <f t="shared" si="14"/>
        <v>100</v>
      </c>
      <c r="X35" s="1477"/>
      <c r="Y35" s="340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409"/>
      <c r="Q36" s="1470">
        <f t="shared" si="11"/>
        <v>111</v>
      </c>
      <c r="R36" s="1471" t="s">
        <v>8</v>
      </c>
      <c r="S36" s="1472">
        <f t="shared" si="12"/>
        <v>100</v>
      </c>
      <c r="T36" s="1471" t="s">
        <v>8</v>
      </c>
      <c r="U36" s="1472">
        <f t="shared" si="13"/>
        <v>100</v>
      </c>
      <c r="V36" s="1471" t="s">
        <v>8</v>
      </c>
      <c r="W36" s="1472">
        <f t="shared" si="14"/>
        <v>100</v>
      </c>
      <c r="X36" s="1465"/>
      <c r="Y36" s="340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71" t="str">
        <f>A37</f>
        <v>成交单价</v>
      </c>
      <c r="Q37" s="3371"/>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71" t="str">
        <f>A38</f>
        <v>比较价格（元/平方米）</v>
      </c>
      <c r="Q38" s="3371"/>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368" t="str">
        <f>A39</f>
        <v>估价对象XX用房的比较价格（楼面单价，元/平方米）</v>
      </c>
      <c r="Q39" s="3369"/>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7" t="s">
        <v>758</v>
      </c>
      <c r="D4" s="3378"/>
      <c r="E4" s="3412" t="s">
        <v>759</v>
      </c>
      <c r="F4" s="3413"/>
      <c r="G4" s="3377" t="s">
        <v>760</v>
      </c>
      <c r="H4" s="3378"/>
      <c r="I4" s="3377" t="s">
        <v>761</v>
      </c>
      <c r="J4" s="3378"/>
      <c r="K4" s="437" t="s">
        <v>762</v>
      </c>
      <c r="L4" s="2031"/>
      <c r="M4" s="2032"/>
      <c r="N4" s="2032"/>
      <c r="O4" s="2032"/>
      <c r="P4" s="3379" t="s">
        <v>763</v>
      </c>
      <c r="Q4" s="3380"/>
      <c r="R4" s="3385" t="s">
        <v>759</v>
      </c>
      <c r="S4" s="3386"/>
      <c r="T4" s="3385" t="s">
        <v>760</v>
      </c>
      <c r="U4" s="3386"/>
      <c r="V4" s="3372" t="s">
        <v>761</v>
      </c>
      <c r="W4" s="3372"/>
      <c r="X4" s="1465"/>
      <c r="Y4" s="3385" t="s">
        <v>763</v>
      </c>
      <c r="Z4" s="3386"/>
      <c r="AA4" s="3374" t="s">
        <v>759</v>
      </c>
      <c r="AB4" s="3375" t="s">
        <v>760</v>
      </c>
      <c r="AC4" s="3374" t="s">
        <v>761</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403" t="s">
        <v>490</v>
      </c>
      <c r="Q7" s="3405"/>
      <c r="R7" s="1466" t="s">
        <v>8</v>
      </c>
      <c r="S7" s="1467">
        <f t="shared" ref="S7:S14" si="0">F7</f>
        <v>0</v>
      </c>
      <c r="T7" s="1466" t="s">
        <v>8</v>
      </c>
      <c r="U7" s="1467">
        <f t="shared" ref="U7:U14" si="1">H7</f>
        <v>0</v>
      </c>
      <c r="V7" s="1466" t="s">
        <v>8</v>
      </c>
      <c r="W7" s="1467">
        <f t="shared" ref="W7:W14"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71" t="s">
        <v>495</v>
      </c>
      <c r="Q9" s="1063" t="str">
        <f t="shared" ref="Q9:Q14" si="6">B9</f>
        <v>用途</v>
      </c>
      <c r="R9" s="1466" t="s">
        <v>8</v>
      </c>
      <c r="S9" s="1467">
        <f t="shared" si="0"/>
        <v>100</v>
      </c>
      <c r="T9" s="1466" t="s">
        <v>8</v>
      </c>
      <c r="U9" s="1467">
        <f t="shared" si="1"/>
        <v>100</v>
      </c>
      <c r="V9" s="1466" t="s">
        <v>8</v>
      </c>
      <c r="W9" s="1467">
        <f t="shared" si="2"/>
        <v>100</v>
      </c>
      <c r="X9" s="1468"/>
      <c r="Y9" s="3317"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71"/>
      <c r="Q11" s="1063">
        <f t="shared" si="6"/>
        <v>111</v>
      </c>
      <c r="R11" s="1466" t="s">
        <v>8</v>
      </c>
      <c r="S11" s="1467">
        <f t="shared" si="0"/>
        <v>100</v>
      </c>
      <c r="T11" s="1466" t="s">
        <v>8</v>
      </c>
      <c r="U11" s="1467">
        <f t="shared" si="1"/>
        <v>100</v>
      </c>
      <c r="V11" s="1466" t="s">
        <v>8</v>
      </c>
      <c r="W11" s="1467">
        <f t="shared" si="2"/>
        <v>100</v>
      </c>
      <c r="X11" s="1468"/>
      <c r="Y11" s="3317"/>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406" t="s">
        <v>500</v>
      </c>
      <c r="Q14" s="1470" t="str">
        <f t="shared" si="6"/>
        <v>交通便捷度</v>
      </c>
      <c r="R14" s="1471" t="s">
        <v>8</v>
      </c>
      <c r="S14" s="1472">
        <f t="shared" si="0"/>
        <v>100</v>
      </c>
      <c r="T14" s="1471" t="s">
        <v>8</v>
      </c>
      <c r="U14" s="1472">
        <f t="shared" si="1"/>
        <v>100</v>
      </c>
      <c r="V14" s="1471" t="s">
        <v>8</v>
      </c>
      <c r="W14" s="1472">
        <f t="shared" si="2"/>
        <v>100</v>
      </c>
      <c r="X14" s="1465"/>
      <c r="Y14" s="340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407"/>
      <c r="Q15" s="1470"/>
      <c r="R15" s="1471"/>
      <c r="S15" s="1472"/>
      <c r="T15" s="1471"/>
      <c r="U15" s="1472"/>
      <c r="V15" s="1471"/>
      <c r="W15" s="1472"/>
      <c r="X15" s="1465"/>
      <c r="Y15" s="340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407"/>
      <c r="Q16" s="1470" t="str">
        <f>B16</f>
        <v>公共配套设施</v>
      </c>
      <c r="R16" s="1471" t="s">
        <v>8</v>
      </c>
      <c r="S16" s="1472">
        <f>F16</f>
        <v>100</v>
      </c>
      <c r="T16" s="1471" t="s">
        <v>8</v>
      </c>
      <c r="U16" s="1472">
        <f>H16</f>
        <v>100</v>
      </c>
      <c r="V16" s="1471" t="s">
        <v>8</v>
      </c>
      <c r="W16" s="1472">
        <f>J16</f>
        <v>100</v>
      </c>
      <c r="X16" s="1465"/>
      <c r="Y16" s="340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407"/>
      <c r="Q17" s="1470"/>
      <c r="R17" s="1471"/>
      <c r="S17" s="1472"/>
      <c r="T17" s="1471"/>
      <c r="U17" s="1472"/>
      <c r="V17" s="1471"/>
      <c r="W17" s="1472"/>
      <c r="X17" s="1465"/>
      <c r="Y17" s="340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407"/>
      <c r="Q18" s="2490" t="str">
        <f>B18</f>
        <v>基础设施水平</v>
      </c>
      <c r="R18" s="1471" t="s">
        <v>8</v>
      </c>
      <c r="S18" s="1472">
        <f>F18</f>
        <v>100</v>
      </c>
      <c r="T18" s="1471" t="s">
        <v>8</v>
      </c>
      <c r="U18" s="1472">
        <f>H18</f>
        <v>100</v>
      </c>
      <c r="V18" s="1471" t="s">
        <v>8</v>
      </c>
      <c r="W18" s="1472">
        <f>J18</f>
        <v>100</v>
      </c>
      <c r="X18" s="2492"/>
      <c r="Y18" s="340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407"/>
      <c r="Q19" s="2490"/>
      <c r="R19" s="1471"/>
      <c r="S19" s="1472"/>
      <c r="T19" s="1471"/>
      <c r="U19" s="1472"/>
      <c r="V19" s="1471"/>
      <c r="W19" s="1472"/>
      <c r="X19" s="2492"/>
      <c r="Y19" s="340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407"/>
      <c r="Q20" s="1470" t="str">
        <f>B20</f>
        <v>自然及人文环境</v>
      </c>
      <c r="R20" s="1471" t="s">
        <v>8</v>
      </c>
      <c r="S20" s="1472">
        <f>F20</f>
        <v>100</v>
      </c>
      <c r="T20" s="1471" t="s">
        <v>8</v>
      </c>
      <c r="U20" s="1472">
        <f>H20</f>
        <v>100</v>
      </c>
      <c r="V20" s="1471" t="s">
        <v>8</v>
      </c>
      <c r="W20" s="1472">
        <f>J20</f>
        <v>100</v>
      </c>
      <c r="X20" s="1465"/>
      <c r="Y20" s="340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407"/>
      <c r="Q21" s="1470"/>
      <c r="R21" s="1471"/>
      <c r="S21" s="1472"/>
      <c r="T21" s="1471"/>
      <c r="U21" s="1472"/>
      <c r="V21" s="1471"/>
      <c r="W21" s="1472"/>
      <c r="X21" s="1465"/>
      <c r="Y21" s="340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407"/>
      <c r="Q22" s="1470" t="str">
        <f>B22</f>
        <v>楼层</v>
      </c>
      <c r="R22" s="1471" t="s">
        <v>8</v>
      </c>
      <c r="S22" s="1472">
        <f>F22</f>
        <v>100</v>
      </c>
      <c r="T22" s="1471" t="s">
        <v>8</v>
      </c>
      <c r="U22" s="1472">
        <f>H22</f>
        <v>100</v>
      </c>
      <c r="V22" s="1471" t="s">
        <v>8</v>
      </c>
      <c r="W22" s="1472">
        <f>J22</f>
        <v>100</v>
      </c>
      <c r="X22" s="1465"/>
      <c r="Y22" s="340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407"/>
      <c r="Q23" s="1470">
        <f>B23</f>
        <v>111</v>
      </c>
      <c r="R23" s="1471" t="s">
        <v>8</v>
      </c>
      <c r="S23" s="1472">
        <f>F23</f>
        <v>100</v>
      </c>
      <c r="T23" s="1471" t="s">
        <v>8</v>
      </c>
      <c r="U23" s="1472">
        <f>H23</f>
        <v>100</v>
      </c>
      <c r="V23" s="1471" t="s">
        <v>8</v>
      </c>
      <c r="W23" s="1472">
        <f>J23</f>
        <v>100</v>
      </c>
      <c r="X23" s="1465"/>
      <c r="Y23" s="340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407"/>
      <c r="Q24" s="1470">
        <f t="shared" ref="Q24:Q34" si="11">B24</f>
        <v>111</v>
      </c>
      <c r="R24" s="1471" t="s">
        <v>8</v>
      </c>
      <c r="S24" s="1472">
        <f>F24</f>
        <v>100</v>
      </c>
      <c r="T24" s="1471" t="s">
        <v>8</v>
      </c>
      <c r="U24" s="1472">
        <f>H24</f>
        <v>100</v>
      </c>
      <c r="V24" s="1471" t="s">
        <v>8</v>
      </c>
      <c r="W24" s="1472">
        <f>J24</f>
        <v>100</v>
      </c>
      <c r="X24" s="1465"/>
      <c r="Y24" s="340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407"/>
      <c r="Q25" s="1063">
        <f t="shared" si="11"/>
        <v>111</v>
      </c>
      <c r="R25" s="1466" t="s">
        <v>8</v>
      </c>
      <c r="S25" s="1467">
        <f>F25</f>
        <v>100</v>
      </c>
      <c r="T25" s="1466" t="s">
        <v>8</v>
      </c>
      <c r="U25" s="1467">
        <f>H25</f>
        <v>100</v>
      </c>
      <c r="V25" s="1466" t="s">
        <v>8</v>
      </c>
      <c r="W25" s="1467">
        <f>J25</f>
        <v>100</v>
      </c>
      <c r="X25" s="1468"/>
      <c r="Y25" s="340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40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40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409"/>
      <c r="Q27" s="1503" t="str">
        <f t="shared" si="11"/>
        <v>成新率</v>
      </c>
      <c r="R27" s="1475" t="s">
        <v>8</v>
      </c>
      <c r="S27" s="1476" t="e">
        <f t="shared" si="12"/>
        <v>#N/A</v>
      </c>
      <c r="T27" s="1475" t="s">
        <v>8</v>
      </c>
      <c r="U27" s="1476" t="e">
        <f t="shared" si="13"/>
        <v>#N/A</v>
      </c>
      <c r="V27" s="1475" t="s">
        <v>8</v>
      </c>
      <c r="W27" s="1476" t="e">
        <f t="shared" si="14"/>
        <v>#N/A</v>
      </c>
      <c r="X27" s="1477"/>
      <c r="Y27" s="340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409"/>
      <c r="Q28" s="1470" t="str">
        <f t="shared" si="11"/>
        <v>物业等级</v>
      </c>
      <c r="R28" s="1471" t="s">
        <v>8</v>
      </c>
      <c r="S28" s="1472">
        <f t="shared" si="12"/>
        <v>100</v>
      </c>
      <c r="T28" s="1471" t="s">
        <v>8</v>
      </c>
      <c r="U28" s="1472">
        <f t="shared" si="13"/>
        <v>100</v>
      </c>
      <c r="V28" s="1471" t="s">
        <v>8</v>
      </c>
      <c r="W28" s="1472">
        <f t="shared" si="14"/>
        <v>100</v>
      </c>
      <c r="X28" s="1465"/>
      <c r="Y28" s="340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409"/>
      <c r="Q29" s="1470" t="str">
        <f t="shared" si="11"/>
        <v>有无电梯</v>
      </c>
      <c r="R29" s="1471" t="s">
        <v>8</v>
      </c>
      <c r="S29" s="1472">
        <f t="shared" si="12"/>
        <v>100</v>
      </c>
      <c r="T29" s="1471" t="s">
        <v>8</v>
      </c>
      <c r="U29" s="1472">
        <f t="shared" si="13"/>
        <v>100</v>
      </c>
      <c r="V29" s="1471" t="s">
        <v>8</v>
      </c>
      <c r="W29" s="1472">
        <f t="shared" si="14"/>
        <v>100</v>
      </c>
      <c r="X29" s="1465"/>
      <c r="Y29" s="340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409"/>
      <c r="Q30" s="1470" t="str">
        <f t="shared" si="11"/>
        <v>建筑面积</v>
      </c>
      <c r="R30" s="1471" t="s">
        <v>8</v>
      </c>
      <c r="S30" s="1472" t="e">
        <f t="shared" si="12"/>
        <v>#N/A</v>
      </c>
      <c r="T30" s="1471" t="s">
        <v>8</v>
      </c>
      <c r="U30" s="1472" t="e">
        <f t="shared" si="13"/>
        <v>#N/A</v>
      </c>
      <c r="V30" s="1471" t="s">
        <v>8</v>
      </c>
      <c r="W30" s="1472" t="e">
        <f t="shared" si="14"/>
        <v>#N/A</v>
      </c>
      <c r="X30" s="1465"/>
      <c r="Y30" s="340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409"/>
      <c r="Q31" s="1063" t="str">
        <f t="shared" si="11"/>
        <v>是否封闭</v>
      </c>
      <c r="R31" s="1466" t="s">
        <v>8</v>
      </c>
      <c r="S31" s="1467">
        <f t="shared" si="12"/>
        <v>100</v>
      </c>
      <c r="T31" s="1466" t="s">
        <v>8</v>
      </c>
      <c r="U31" s="1467">
        <f t="shared" si="13"/>
        <v>100</v>
      </c>
      <c r="V31" s="1466" t="s">
        <v>8</v>
      </c>
      <c r="W31" s="1467">
        <f t="shared" si="14"/>
        <v>100</v>
      </c>
      <c r="X31" s="1468"/>
      <c r="Y31" s="340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409" t="s">
        <v>510</v>
      </c>
      <c r="Q32" s="1470">
        <f t="shared" si="11"/>
        <v>111</v>
      </c>
      <c r="R32" s="1471" t="s">
        <v>8</v>
      </c>
      <c r="S32" s="1472">
        <f t="shared" si="12"/>
        <v>100</v>
      </c>
      <c r="T32" s="1471" t="s">
        <v>8</v>
      </c>
      <c r="U32" s="1472">
        <f t="shared" si="13"/>
        <v>100</v>
      </c>
      <c r="V32" s="1471" t="s">
        <v>8</v>
      </c>
      <c r="W32" s="1472">
        <f t="shared" si="14"/>
        <v>100</v>
      </c>
      <c r="X32" s="1465"/>
      <c r="Y32" s="340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409"/>
      <c r="Q33" s="1470">
        <f t="shared" si="11"/>
        <v>111</v>
      </c>
      <c r="R33" s="1471" t="s">
        <v>8</v>
      </c>
      <c r="S33" s="1472">
        <f t="shared" si="12"/>
        <v>100</v>
      </c>
      <c r="T33" s="1471" t="s">
        <v>8</v>
      </c>
      <c r="U33" s="1472">
        <f t="shared" si="13"/>
        <v>100</v>
      </c>
      <c r="V33" s="1471" t="s">
        <v>8</v>
      </c>
      <c r="W33" s="1472">
        <f t="shared" si="14"/>
        <v>100</v>
      </c>
      <c r="X33" s="1465"/>
      <c r="Y33" s="340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409"/>
      <c r="Q34" s="1470">
        <f t="shared" si="11"/>
        <v>111</v>
      </c>
      <c r="R34" s="1471" t="s">
        <v>8</v>
      </c>
      <c r="S34" s="1472">
        <f t="shared" si="12"/>
        <v>100</v>
      </c>
      <c r="T34" s="1471" t="s">
        <v>8</v>
      </c>
      <c r="U34" s="1472">
        <f t="shared" si="13"/>
        <v>100</v>
      </c>
      <c r="V34" s="1471" t="s">
        <v>8</v>
      </c>
      <c r="W34" s="1472">
        <f t="shared" si="14"/>
        <v>100</v>
      </c>
      <c r="X34" s="1465"/>
      <c r="Y34" s="340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71" t="str">
        <f>A35</f>
        <v>成交单价（元/平方米）</v>
      </c>
      <c r="Q35" s="3371"/>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71" t="str">
        <f>A36</f>
        <v>比较价格（元/平方米）</v>
      </c>
      <c r="Q36" s="3371"/>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368" t="str">
        <f>A37</f>
        <v>估价对象XX用房的比较价格（楼面单价，元/平方米）</v>
      </c>
      <c r="Q37" s="3369"/>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2000</v>
      </c>
      <c r="B1" s="3204"/>
      <c r="C1" s="3204"/>
      <c r="D1" s="3204"/>
      <c r="E1" s="3204"/>
      <c r="F1" s="3204"/>
      <c r="G1" s="3204"/>
      <c r="H1" s="3204"/>
      <c r="I1" s="3204"/>
      <c r="J1" s="3204"/>
      <c r="K1" s="3204"/>
      <c r="L1" s="3204"/>
      <c r="M1" s="3204"/>
      <c r="N1" s="3204"/>
      <c r="O1" s="3204"/>
      <c r="P1" s="3204"/>
      <c r="Q1" s="3204"/>
      <c r="R1" s="3204"/>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5" t="s">
        <v>1991</v>
      </c>
      <c r="B3" s="3205" t="s">
        <v>2692</v>
      </c>
      <c r="C3" s="3206" t="s">
        <v>1992</v>
      </c>
      <c r="D3" s="3205" t="s">
        <v>2696</v>
      </c>
      <c r="E3" s="3208" t="s">
        <v>1993</v>
      </c>
      <c r="F3" s="3208"/>
      <c r="G3" s="3208"/>
      <c r="H3" s="3208" t="s">
        <v>1994</v>
      </c>
      <c r="I3" s="3208"/>
      <c r="J3" s="3208"/>
      <c r="K3" s="3206" t="s">
        <v>1995</v>
      </c>
      <c r="L3" s="3206" t="s">
        <v>1996</v>
      </c>
      <c r="M3" s="3205" t="s">
        <v>2693</v>
      </c>
      <c r="N3" s="3207" t="str">
        <f>"（分摊）"&amp;项目基本情况!B16&amp;"国有建设用地使用权面积/㎡"</f>
        <v>（分摊）出让国有建设用地使用权面积/㎡</v>
      </c>
      <c r="O3" s="3205" t="s">
        <v>2025</v>
      </c>
      <c r="P3" s="3206" t="s">
        <v>2005</v>
      </c>
      <c r="Q3" s="3206" t="s">
        <v>2026</v>
      </c>
      <c r="R3" s="3206" t="s">
        <v>1997</v>
      </c>
    </row>
    <row r="4" spans="1:18" ht="36.75" customHeight="1">
      <c r="A4" s="3205"/>
      <c r="B4" s="3205"/>
      <c r="C4" s="3206"/>
      <c r="D4" s="3205"/>
      <c r="E4" s="2560" t="s">
        <v>2004</v>
      </c>
      <c r="F4" s="2560" t="s">
        <v>2705</v>
      </c>
      <c r="G4" s="2560" t="s">
        <v>1998</v>
      </c>
      <c r="H4" s="2560" t="s">
        <v>1999</v>
      </c>
      <c r="I4" s="2560" t="s">
        <v>2706</v>
      </c>
      <c r="J4" s="2560" t="s">
        <v>1998</v>
      </c>
      <c r="K4" s="3206"/>
      <c r="L4" s="3206"/>
      <c r="M4" s="3205"/>
      <c r="N4" s="3207"/>
      <c r="O4" s="3205"/>
      <c r="P4" s="3206"/>
      <c r="Q4" s="3206"/>
      <c r="R4" s="3206"/>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43263</v>
      </c>
      <c r="Q5" s="1709">
        <f ca="1">结果表!D42</f>
        <v>13707</v>
      </c>
      <c r="R5" s="1710">
        <f ca="1">结果表!C42</f>
        <v>382756</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11">
        <f ca="1">结果表!O39</f>
        <v>378378</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11"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3" t="s">
        <v>2027</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2028</v>
      </c>
      <c r="B5" s="3212"/>
      <c r="C5" s="3212"/>
      <c r="D5" s="3212"/>
    </row>
    <row r="6" spans="1:4">
      <c r="A6" s="3213" t="s">
        <v>2006</v>
      </c>
      <c r="B6" s="3213"/>
      <c r="C6" s="3213"/>
      <c r="D6" s="3213"/>
    </row>
    <row r="7" spans="1:4" ht="33" customHeight="1">
      <c r="A7" s="3213" t="s">
        <v>2537</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2030</v>
      </c>
      <c r="B12" s="3212"/>
      <c r="C12" s="3212"/>
      <c r="D12" s="3212"/>
    </row>
    <row r="13" spans="1:4">
      <c r="A13" s="3216" t="s">
        <v>2707</v>
      </c>
      <c r="B13" s="3216"/>
      <c r="C13" s="3216"/>
      <c r="D13" s="3216"/>
    </row>
    <row r="14" spans="1:4">
      <c r="A14" s="3215" t="str">
        <f>IF(项目基本情况!B8="抵押","综上，"&amp;结果表!K47,"——")</f>
        <v>综上，本次评估估价师知悉的法定优先受偿款为人民币4378万元整。</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2663</v>
      </c>
      <c r="B17" s="3213"/>
      <c r="C17" s="3213"/>
      <c r="D17" s="3213"/>
    </row>
    <row r="18" spans="1:4">
      <c r="A18" s="3213" t="s">
        <v>2655</v>
      </c>
      <c r="B18" s="3213"/>
      <c r="C18" s="3213"/>
      <c r="D18" s="3213"/>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3" t="s">
        <v>2660</v>
      </c>
      <c r="B23" s="3213"/>
      <c r="C23" s="3213"/>
      <c r="D23" s="3213"/>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43238</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2018-05-18T09:07:52Z</dcterms:modified>
</cp:coreProperties>
</file>