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4340" windowHeight="12585"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测绘"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不动产收益法" sheetId="15" state="hidden" r:id="rId42"/>
    <sheet name="典型户型修正" sheetId="31" state="hidden" r:id="rId43"/>
    <sheet name="存贷款利率" sheetId="65" r:id="rId44"/>
  </sheets>
  <externalReferences>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O13" i="3" l="1"/>
  <c r="E119" i="39" l="1"/>
  <c r="F119" i="39" s="1"/>
  <c r="D119" i="39"/>
  <c r="I48" i="39"/>
  <c r="G48" i="39"/>
  <c r="E48" i="39"/>
  <c r="Q9" i="1" l="1"/>
  <c r="N9" i="1"/>
  <c r="L9" i="1"/>
  <c r="G22" i="6"/>
  <c r="AN13" i="3"/>
  <c r="C15" i="66" l="1"/>
  <c r="B15" i="66"/>
  <c r="H34" i="72"/>
  <c r="AH7" i="1"/>
  <c r="H16" i="72"/>
  <c r="M13" i="3"/>
  <c r="D92" i="35"/>
  <c r="E92" i="35" s="1"/>
  <c r="G116" i="21"/>
  <c r="F116" i="21"/>
  <c r="E116" i="21"/>
  <c r="D116" i="21"/>
  <c r="C116" i="21"/>
  <c r="I40" i="39" l="1"/>
  <c r="I9" i="39"/>
  <c r="C40" i="39"/>
  <c r="G124" i="39"/>
  <c r="F124" i="39"/>
  <c r="E124" i="39"/>
  <c r="D124" i="39"/>
  <c r="C124" i="39"/>
  <c r="G126" i="39"/>
  <c r="F126" i="39"/>
  <c r="E126" i="39"/>
  <c r="D126" i="39"/>
  <c r="C126" i="39"/>
  <c r="G122" i="39"/>
  <c r="F122" i="39"/>
  <c r="E122" i="39"/>
  <c r="D122" i="39"/>
  <c r="C122" i="39"/>
  <c r="I7" i="39"/>
  <c r="F21" i="6"/>
  <c r="B59" i="1" l="1"/>
  <c r="I13" i="3"/>
  <c r="J13" i="3"/>
  <c r="AT13" i="3"/>
  <c r="AF13" i="3"/>
  <c r="K13" i="3"/>
  <c r="D3" i="4" l="1"/>
  <c r="L14" i="72"/>
  <c r="C19" i="72"/>
  <c r="C20" i="72"/>
  <c r="C21" i="72"/>
  <c r="C22" i="72"/>
  <c r="C23" i="72"/>
  <c r="C24" i="72"/>
  <c r="C25" i="72"/>
  <c r="C26" i="72"/>
  <c r="C27" i="72"/>
  <c r="C28" i="72"/>
  <c r="C29" i="72"/>
  <c r="C30" i="72"/>
  <c r="C31" i="72"/>
  <c r="C18" i="72"/>
  <c r="C3" i="72"/>
  <c r="C4" i="72"/>
  <c r="C5" i="72"/>
  <c r="C6" i="72"/>
  <c r="C7" i="72"/>
  <c r="C8" i="72"/>
  <c r="C9" i="72"/>
  <c r="C10" i="72"/>
  <c r="C11" i="72"/>
  <c r="C12" i="72"/>
  <c r="C13" i="72"/>
  <c r="C2" i="72"/>
  <c r="K32" i="72"/>
  <c r="I32" i="72"/>
  <c r="H32" i="72"/>
  <c r="G32" i="72"/>
  <c r="F32" i="72"/>
  <c r="E32" i="72"/>
  <c r="D32" i="72"/>
  <c r="J31" i="72"/>
  <c r="J32" i="72" s="1"/>
  <c r="G30" i="72"/>
  <c r="C32" i="72" l="1"/>
  <c r="K14" i="72" l="1"/>
  <c r="I14" i="72"/>
  <c r="H14" i="72"/>
  <c r="G14" i="72"/>
  <c r="F14" i="72"/>
  <c r="E14" i="72"/>
  <c r="D14" i="72"/>
  <c r="J13" i="72"/>
  <c r="J14" i="72" s="1"/>
  <c r="C14" i="72" l="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O69" i="59"/>
  <c r="C68" i="59"/>
  <c r="D68" i="59" s="1"/>
  <c r="U69" i="59"/>
  <c r="C72" i="59"/>
  <c r="C71" i="59" s="1"/>
  <c r="D71" i="59" s="1"/>
  <c r="D73" i="59"/>
  <c r="C76" i="59"/>
  <c r="D76" i="59" s="1"/>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E66" i="36"/>
  <c r="H18" i="35"/>
  <c r="J18" i="35"/>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R5" i="3" s="1"/>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c r="F64" i="36" s="1"/>
  <c r="G64" i="36"/>
  <c r="J16" i="36"/>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2" i="21" s="1"/>
  <c r="S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H5" i="3" s="1"/>
  <c r="BI13" i="3"/>
  <c r="BJ13" i="3"/>
  <c r="BK13" i="3"/>
  <c r="BM13" i="3"/>
  <c r="BM5" i="3" s="1"/>
  <c r="F29" i="6" s="1"/>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G20" i="6" s="1"/>
  <c r="E20" i="6" s="1"/>
  <c r="D3" i="35" s="1"/>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H12" i="21"/>
  <c r="U12" i="21" s="1"/>
  <c r="J26" i="21"/>
  <c r="W26" i="21" s="1"/>
  <c r="F26" i="21"/>
  <c r="AA26" i="21" s="1"/>
  <c r="W41" i="21"/>
  <c r="S10" i="39"/>
  <c r="F39" i="37"/>
  <c r="S39" i="37"/>
  <c r="W39" i="37"/>
  <c r="F29" i="36"/>
  <c r="AA29" i="36"/>
  <c r="F16" i="36"/>
  <c r="AA16" i="36" s="1"/>
  <c r="U22" i="36"/>
  <c r="W22" i="36"/>
  <c r="U26" i="36"/>
  <c r="AC31" i="36"/>
  <c r="J33" i="36"/>
  <c r="W33" i="36"/>
  <c r="U31" i="35"/>
  <c r="W24" i="35"/>
  <c r="F36" i="34"/>
  <c r="S36" i="34" s="1"/>
  <c r="S34" i="34"/>
  <c r="W39" i="34"/>
  <c r="H39" i="33"/>
  <c r="AB39" i="33"/>
  <c r="S40" i="33"/>
  <c r="S33" i="33"/>
  <c r="W33" i="33"/>
  <c r="H39" i="37"/>
  <c r="AB39" i="37" s="1"/>
  <c r="W10" i="40"/>
  <c r="U11" i="40"/>
  <c r="U36" i="40"/>
  <c r="S40" i="39"/>
  <c r="C29" i="39"/>
  <c r="C23" i="39"/>
  <c r="U36" i="39"/>
  <c r="H32" i="33"/>
  <c r="AB32" i="33"/>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H14" i="21"/>
  <c r="U14" i="21" s="1"/>
  <c r="H28" i="21"/>
  <c r="AB28" i="21" s="1"/>
  <c r="F28" i="21"/>
  <c r="S28" i="21" s="1"/>
  <c r="J28" i="21"/>
  <c r="AC28" i="21" s="1"/>
  <c r="J30" i="21"/>
  <c r="W30" i="21" s="1"/>
  <c r="J44" i="21"/>
  <c r="AC44" i="21" s="1"/>
  <c r="H44" i="21"/>
  <c r="AB44" i="21" s="1"/>
  <c r="F44" i="21"/>
  <c r="AA44" i="21" s="1"/>
  <c r="J46" i="21"/>
  <c r="W46" i="21"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H14" i="33"/>
  <c r="U14" i="33" s="1"/>
  <c r="F14" i="33"/>
  <c r="AA14" i="33"/>
  <c r="J14" i="33"/>
  <c r="AC14" i="33" s="1"/>
  <c r="H30" i="33"/>
  <c r="AB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U36" i="37"/>
  <c r="AC13" i="36"/>
  <c r="AB45"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AZ541" i="3" s="1"/>
  <c r="BA531" i="3"/>
  <c r="BA521" i="3"/>
  <c r="BA509" i="3"/>
  <c r="BA505" i="3"/>
  <c r="BA501" i="3"/>
  <c r="BA493" i="3"/>
  <c r="AZ493" i="3"/>
  <c r="BA487" i="3"/>
  <c r="BA19" i="3"/>
  <c r="BA566" i="3"/>
  <c r="BA562" i="3"/>
  <c r="BA560" i="3"/>
  <c r="AZ560" i="3" s="1"/>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BQ530" i="3"/>
  <c r="BQ528" i="3"/>
  <c r="BQ526" i="3"/>
  <c r="BL526" i="3" s="1"/>
  <c r="BQ524" i="3"/>
  <c r="BL524" i="3" s="1"/>
  <c r="BQ522" i="3"/>
  <c r="BQ520" i="3"/>
  <c r="BL520" i="3"/>
  <c r="BQ518" i="3"/>
  <c r="BL518" i="3" s="1"/>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G494" i="3" s="1"/>
  <c r="BQ494" i="3"/>
  <c r="BL493" i="3"/>
  <c r="G492" i="3"/>
  <c r="G488" i="3"/>
  <c r="G484" i="3"/>
  <c r="G20" i="3"/>
  <c r="BQ492" i="3"/>
  <c r="BL492" i="3" s="1"/>
  <c r="AZ492" i="3" s="1"/>
  <c r="BQ490" i="3"/>
  <c r="BL490" i="3" s="1"/>
  <c r="AZ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E125" i="33"/>
  <c r="F125" i="33" s="1"/>
  <c r="G125" i="33" s="1"/>
  <c r="H43" i="33"/>
  <c r="U43" i="33"/>
  <c r="H17" i="37"/>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D3" i="21"/>
  <c r="AC33" i="36"/>
  <c r="W23" i="35"/>
  <c r="AC8" i="37"/>
  <c r="AC36" i="34"/>
  <c r="AB8" i="34"/>
  <c r="AC37" i="33"/>
  <c r="AA13" i="33"/>
  <c r="S39" i="33"/>
  <c r="F43" i="33"/>
  <c r="AA43" i="33"/>
  <c r="AA23" i="37"/>
  <c r="G107" i="37"/>
  <c r="H107" i="37"/>
  <c r="I107" i="37" s="1"/>
  <c r="J107" i="37" s="1"/>
  <c r="K107" i="37" s="1"/>
  <c r="L107" i="37" s="1"/>
  <c r="M107" i="37" s="1"/>
  <c r="J37" i="21"/>
  <c r="W37" i="21" s="1"/>
  <c r="H19" i="34"/>
  <c r="AB19" i="34" s="1"/>
  <c r="J10" i="37"/>
  <c r="AC10" i="37" s="1"/>
  <c r="F36" i="35"/>
  <c r="J9" i="37"/>
  <c r="W9" i="37" s="1"/>
  <c r="H9" i="37"/>
  <c r="U9" i="37"/>
  <c r="F9" i="37"/>
  <c r="S9" i="37" s="1"/>
  <c r="F11" i="37"/>
  <c r="S11" i="37"/>
  <c r="J12" i="37"/>
  <c r="H12" i="37"/>
  <c r="AB12" i="37" s="1"/>
  <c r="F12" i="37"/>
  <c r="AA12" i="37" s="1"/>
  <c r="H15" i="37"/>
  <c r="E94" i="37"/>
  <c r="F94" i="37" s="1"/>
  <c r="G94" i="37" s="1"/>
  <c r="H94" i="37" s="1"/>
  <c r="I94" i="37" s="1"/>
  <c r="J94" i="37" s="1"/>
  <c r="K94" i="37" s="1"/>
  <c r="L94" i="37" s="1"/>
  <c r="M94" i="37" s="1"/>
  <c r="F31" i="37"/>
  <c r="S31" i="37"/>
  <c r="H31" i="37"/>
  <c r="U31" i="37" s="1"/>
  <c r="J15" i="37"/>
  <c r="W15" i="37" s="1"/>
  <c r="U12" i="37"/>
  <c r="J11" i="37"/>
  <c r="W11" i="37" s="1"/>
  <c r="E89" i="40"/>
  <c r="F89" i="40" s="1"/>
  <c r="G89" i="40" s="1"/>
  <c r="F21" i="40"/>
  <c r="S21" i="40" s="1"/>
  <c r="J21" i="40"/>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U43" i="21"/>
  <c r="AA13" i="40"/>
  <c r="F77" i="40"/>
  <c r="G77" i="40" s="1"/>
  <c r="H77" i="40"/>
  <c r="I77" i="40" s="1"/>
  <c r="J77" i="40" s="1"/>
  <c r="K77" i="40" s="1"/>
  <c r="L77" i="40" s="1"/>
  <c r="M77" i="40" s="1"/>
  <c r="R16" i="4"/>
  <c r="G4" i="4"/>
  <c r="S37" i="34"/>
  <c r="J16" i="35"/>
  <c r="W16" i="35" s="1"/>
  <c r="AC26" i="36"/>
  <c r="AZ354" i="3"/>
  <c r="H11" i="37"/>
  <c r="W37" i="37"/>
  <c r="AA30" i="33"/>
  <c r="AA36" i="37"/>
  <c r="S42" i="33"/>
  <c r="U32" i="33"/>
  <c r="AZ508" i="3"/>
  <c r="AA45" i="33"/>
  <c r="AC11" i="36"/>
  <c r="AB45" i="34"/>
  <c r="AB35" i="35"/>
  <c r="S25" i="35"/>
  <c r="W44" i="33"/>
  <c r="AC30" i="33"/>
  <c r="W30" i="33"/>
  <c r="W32" i="36"/>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c r="H19" i="33"/>
  <c r="AB19" i="33" s="1"/>
  <c r="F32" i="33"/>
  <c r="AA32" i="33"/>
  <c r="J32" i="33"/>
  <c r="F35" i="33"/>
  <c r="AA35" i="33" s="1"/>
  <c r="F11" i="34"/>
  <c r="E80" i="34"/>
  <c r="F80" i="34" s="1"/>
  <c r="H17" i="34"/>
  <c r="AB17" i="34"/>
  <c r="AC27" i="34"/>
  <c r="W27" i="34"/>
  <c r="J13" i="33"/>
  <c r="W13" i="33" s="1"/>
  <c r="H13" i="33"/>
  <c r="U13" i="33"/>
  <c r="H29" i="33"/>
  <c r="F29" i="33"/>
  <c r="AA29" i="33" s="1"/>
  <c r="J12" i="34"/>
  <c r="AC12" i="34" s="1"/>
  <c r="H12" i="34"/>
  <c r="F12" i="34"/>
  <c r="S12" i="34" s="1"/>
  <c r="J14" i="34"/>
  <c r="W14" i="34"/>
  <c r="F14" i="34"/>
  <c r="S14" i="34" s="1"/>
  <c r="H14" i="34"/>
  <c r="AB14" i="34"/>
  <c r="H30" i="34"/>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W27" i="33"/>
  <c r="S28" i="33"/>
  <c r="AA44" i="34"/>
  <c r="AC19" i="33"/>
  <c r="W19" i="33"/>
  <c r="AC34" i="37"/>
  <c r="S35" i="37"/>
  <c r="AA35" i="37"/>
  <c r="U38" i="2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AZ549" i="3" s="1"/>
  <c r="BA549" i="3"/>
  <c r="BL548" i="3"/>
  <c r="BA548" i="3"/>
  <c r="BL547" i="3"/>
  <c r="BA547" i="3"/>
  <c r="AZ547" i="3" s="1"/>
  <c r="BL539" i="3"/>
  <c r="BA539" i="3"/>
  <c r="BA538" i="3"/>
  <c r="AZ538" i="3" s="1"/>
  <c r="BL537" i="3"/>
  <c r="BA537" i="3"/>
  <c r="BL536" i="3"/>
  <c r="BA535" i="3"/>
  <c r="AZ535" i="3" s="1"/>
  <c r="BA534" i="3"/>
  <c r="BA533" i="3"/>
  <c r="AZ533" i="3" s="1"/>
  <c r="BL531" i="3"/>
  <c r="AZ531" i="3" s="1"/>
  <c r="BL530" i="3"/>
  <c r="BA530" i="3"/>
  <c r="AZ530" i="3" s="1"/>
  <c r="BL529" i="3"/>
  <c r="BA529" i="3"/>
  <c r="BL528" i="3"/>
  <c r="AZ528" i="3" s="1"/>
  <c r="BA527" i="3"/>
  <c r="AZ527" i="3" s="1"/>
  <c r="BA526" i="3"/>
  <c r="BA525" i="3"/>
  <c r="AZ525" i="3" s="1"/>
  <c r="BL523" i="3"/>
  <c r="BA523" i="3"/>
  <c r="BL522" i="3"/>
  <c r="BA522" i="3"/>
  <c r="BL521" i="3"/>
  <c r="AZ521" i="3" s="1"/>
  <c r="BA519" i="3"/>
  <c r="AZ519" i="3" s="1"/>
  <c r="BA518" i="3"/>
  <c r="BL517" i="3"/>
  <c r="BA517" i="3"/>
  <c r="AZ517" i="3"/>
  <c r="BL515" i="3"/>
  <c r="AZ515" i="3" s="1"/>
  <c r="BA515" i="3"/>
  <c r="BA514" i="3"/>
  <c r="BL513" i="3"/>
  <c r="BA513" i="3"/>
  <c r="BL512" i="3"/>
  <c r="AZ512" i="3" s="1"/>
  <c r="BA511" i="3"/>
  <c r="AZ511" i="3" s="1"/>
  <c r="BA510" i="3"/>
  <c r="BL509" i="3"/>
  <c r="AZ509" i="3" s="1"/>
  <c r="BL507" i="3"/>
  <c r="BA507" i="3"/>
  <c r="AZ507" i="3"/>
  <c r="BL506" i="3"/>
  <c r="BA506" i="3"/>
  <c r="BL505" i="3"/>
  <c r="BL504" i="3"/>
  <c r="BA504" i="3"/>
  <c r="BA503" i="3"/>
  <c r="AZ503" i="3" s="1"/>
  <c r="BA500" i="3"/>
  <c r="BL499" i="3"/>
  <c r="BA499" i="3"/>
  <c r="BL498" i="3"/>
  <c r="AZ498" i="3" s="1"/>
  <c r="BL497" i="3"/>
  <c r="BA497" i="3"/>
  <c r="AZ497" i="3" s="1"/>
  <c r="BL496" i="3"/>
  <c r="BA496" i="3"/>
  <c r="BA495" i="3"/>
  <c r="AZ495" i="3" s="1"/>
  <c r="BL494" i="3"/>
  <c r="BA494" i="3"/>
  <c r="AZ494" i="3" s="1"/>
  <c r="BA491" i="3"/>
  <c r="AZ491" i="3" s="1"/>
  <c r="BA490" i="3"/>
  <c r="BL489" i="3"/>
  <c r="BA489" i="3"/>
  <c r="BL487" i="3"/>
  <c r="BL486" i="3"/>
  <c r="BA486" i="3"/>
  <c r="BA485" i="3"/>
  <c r="BA483" i="3"/>
  <c r="AZ483" i="3" s="1"/>
  <c r="BA482" i="3"/>
  <c r="BL481" i="3"/>
  <c r="BJ5" i="3"/>
  <c r="BA481" i="3"/>
  <c r="BB5" i="3"/>
  <c r="BL19" i="3"/>
  <c r="AZ19" i="3" s="1"/>
  <c r="BA18" i="3"/>
  <c r="F114" i="34"/>
  <c r="G114" i="34" s="1"/>
  <c r="H114" i="34" s="1"/>
  <c r="I114" i="34" s="1"/>
  <c r="J114" i="34" s="1"/>
  <c r="K114" i="34" s="1"/>
  <c r="L114" i="34" s="1"/>
  <c r="M114" i="34" s="1"/>
  <c r="H38" i="34"/>
  <c r="H30" i="40"/>
  <c r="AB30" i="40" s="1"/>
  <c r="G99" i="40"/>
  <c r="J30" i="40"/>
  <c r="AC30" i="40" s="1"/>
  <c r="F38" i="40"/>
  <c r="AA36" i="34"/>
  <c r="AC12" i="21"/>
  <c r="W12" i="21"/>
  <c r="AB10" i="21"/>
  <c r="U8" i="21"/>
  <c r="AB8" i="21"/>
  <c r="AC36" i="21"/>
  <c r="AB8" i="33"/>
  <c r="U8" i="33"/>
  <c r="E106" i="33"/>
  <c r="H34" i="33"/>
  <c r="U34" i="33"/>
  <c r="F34" i="33"/>
  <c r="S34" i="33" s="1"/>
  <c r="F41" i="33"/>
  <c r="S41" i="33"/>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c r="E91" i="40"/>
  <c r="F91" i="40" s="1"/>
  <c r="G91" i="40" s="1"/>
  <c r="H23" i="40"/>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AZ252" i="3"/>
  <c r="F72" i="46"/>
  <c r="H74" i="46" s="1"/>
  <c r="J13" i="40"/>
  <c r="W13" i="40" s="1"/>
  <c r="AB14" i="40"/>
  <c r="S47" i="39"/>
  <c r="W41" i="40"/>
  <c r="U41" i="40"/>
  <c r="J23" i="40"/>
  <c r="AC23" i="40" s="1"/>
  <c r="F23" i="40"/>
  <c r="S23" i="40" s="1"/>
  <c r="AC15" i="40"/>
  <c r="U23" i="35"/>
  <c r="H20" i="35"/>
  <c r="U20" i="35" s="1"/>
  <c r="F20" i="35"/>
  <c r="AA20" i="35" s="1"/>
  <c r="H15" i="34"/>
  <c r="AB15" i="34" s="1"/>
  <c r="F78" i="34"/>
  <c r="G78" i="34"/>
  <c r="J15" i="34"/>
  <c r="AC15" i="34" s="1"/>
  <c r="H41" i="33"/>
  <c r="U41" i="33" s="1"/>
  <c r="F30" i="40"/>
  <c r="H99" i="40"/>
  <c r="I99" i="40" s="1"/>
  <c r="J99" i="40" s="1"/>
  <c r="K99" i="40" s="1"/>
  <c r="L99" i="40" s="1"/>
  <c r="M99" i="40" s="1"/>
  <c r="J29" i="39"/>
  <c r="AC29" i="39" s="1"/>
  <c r="U21" i="39"/>
  <c r="AB33" i="36"/>
  <c r="AA11" i="36"/>
  <c r="G99" i="37"/>
  <c r="H99" i="37" s="1"/>
  <c r="I99" i="37" s="1"/>
  <c r="J99" i="37" s="1"/>
  <c r="K99" i="37" s="1"/>
  <c r="L99" i="37" s="1"/>
  <c r="M99" i="37" s="1"/>
  <c r="F33" i="37"/>
  <c r="AA33" i="37" s="1"/>
  <c r="AB19" i="39"/>
  <c r="U46" i="34"/>
  <c r="AC30" i="34"/>
  <c r="AA14" i="34"/>
  <c r="W12" i="34"/>
  <c r="AC13" i="33"/>
  <c r="U17" i="34"/>
  <c r="H15" i="33"/>
  <c r="U15" i="33" s="1"/>
  <c r="AA11" i="33"/>
  <c r="AB34" i="40"/>
  <c r="U42" i="40"/>
  <c r="W32" i="40"/>
  <c r="H25" i="40"/>
  <c r="AB25" i="40" s="1"/>
  <c r="F93" i="40"/>
  <c r="G93" i="40"/>
  <c r="J37" i="34"/>
  <c r="AC37" i="34"/>
  <c r="J36" i="33"/>
  <c r="W36" i="33" s="1"/>
  <c r="AB23" i="40"/>
  <c r="H23" i="39"/>
  <c r="AB23" i="39" s="1"/>
  <c r="J23" i="39"/>
  <c r="AC23" i="39" s="1"/>
  <c r="F96" i="39"/>
  <c r="G96" i="39" s="1"/>
  <c r="S15" i="34"/>
  <c r="AA41" i="33"/>
  <c r="AA34" i="33"/>
  <c r="F106" i="33"/>
  <c r="G106" i="33" s="1"/>
  <c r="H106" i="33" s="1"/>
  <c r="I106" i="33" s="1"/>
  <c r="J106" i="33" s="1"/>
  <c r="K106" i="33" s="1"/>
  <c r="L106" i="33" s="1"/>
  <c r="M106" i="33" s="1"/>
  <c r="J34" i="33"/>
  <c r="AC34" i="33" s="1"/>
  <c r="U30" i="40"/>
  <c r="W29" i="35"/>
  <c r="AC39" i="39"/>
  <c r="W39" i="39"/>
  <c r="AB46" i="39"/>
  <c r="AB44"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G80" i="34"/>
  <c r="F17" i="34"/>
  <c r="AA17" i="34" s="1"/>
  <c r="J17" i="34"/>
  <c r="AC17" i="34" s="1"/>
  <c r="H11" i="34"/>
  <c r="AB11" i="34" s="1"/>
  <c r="J35" i="33"/>
  <c r="S32" i="33"/>
  <c r="AC15" i="33"/>
  <c r="H11" i="33"/>
  <c r="U11" i="33" s="1"/>
  <c r="H10" i="33"/>
  <c r="U10" i="33" s="1"/>
  <c r="J10" i="33"/>
  <c r="W10" i="33" s="1"/>
  <c r="AC16" i="35"/>
  <c r="J11" i="34"/>
  <c r="AC11" i="34" s="1"/>
  <c r="W11" i="34"/>
  <c r="AC36" i="33"/>
  <c r="F25" i="40"/>
  <c r="AA25" i="40" s="1"/>
  <c r="J11" i="33"/>
  <c r="W11" i="33" s="1"/>
  <c r="H33" i="37"/>
  <c r="AB33" i="37" s="1"/>
  <c r="W15" i="34"/>
  <c r="W23" i="40"/>
  <c r="B11" i="1"/>
  <c r="E11" i="1" s="1"/>
  <c r="K11" i="1"/>
  <c r="M11" i="1" s="1"/>
  <c r="B9" i="1"/>
  <c r="E9" i="1" s="1"/>
  <c r="K9" i="1"/>
  <c r="M9" i="1" s="1"/>
  <c r="AP6" i="1"/>
  <c r="M20" i="44"/>
  <c r="AC25" i="36"/>
  <c r="S8" i="36"/>
  <c r="AA26" i="36"/>
  <c r="H20" i="36"/>
  <c r="U20" i="36" s="1"/>
  <c r="F68" i="36"/>
  <c r="G68" i="36" s="1"/>
  <c r="J20" i="36"/>
  <c r="AC20" i="36" s="1"/>
  <c r="F20" i="36"/>
  <c r="S20" i="36"/>
  <c r="F62" i="36"/>
  <c r="G62" i="36" s="1"/>
  <c r="J14" i="36"/>
  <c r="H14" i="36"/>
  <c r="F14" i="36"/>
  <c r="AA14" i="36" s="1"/>
  <c r="U27" i="36"/>
  <c r="AB12" i="36"/>
  <c r="S33" i="36"/>
  <c r="AA27" i="36"/>
  <c r="S16" i="36"/>
  <c r="S29" i="36"/>
  <c r="AA13" i="35"/>
  <c r="S8" i="35"/>
  <c r="W20" i="35"/>
  <c r="S23" i="35"/>
  <c r="AC18" i="35"/>
  <c r="W18" i="35"/>
  <c r="U18" i="35"/>
  <c r="AB18" i="35"/>
  <c r="AB30" i="35"/>
  <c r="S27" i="35"/>
  <c r="S28" i="35"/>
  <c r="AB9" i="37"/>
  <c r="AA9" i="37"/>
  <c r="S17" i="37"/>
  <c r="W28" i="37"/>
  <c r="AA31" i="37"/>
  <c r="S33" i="37"/>
  <c r="AA32" i="37"/>
  <c r="J33" i="37"/>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U25" i="34" s="1"/>
  <c r="F25" i="34"/>
  <c r="J23" i="34"/>
  <c r="F86" i="34"/>
  <c r="G86" i="34" s="1"/>
  <c r="F23" i="34"/>
  <c r="AA23" i="34" s="1"/>
  <c r="H23" i="34"/>
  <c r="W17" i="34"/>
  <c r="U11" i="34"/>
  <c r="W37" i="34"/>
  <c r="AC40" i="34"/>
  <c r="W44" i="34"/>
  <c r="W19" i="34"/>
  <c r="W29" i="34"/>
  <c r="AC21" i="34"/>
  <c r="W21" i="34"/>
  <c r="U15" i="34"/>
  <c r="AB21" i="34"/>
  <c r="U21" i="34"/>
  <c r="U27" i="34"/>
  <c r="U19" i="34"/>
  <c r="AB41" i="34"/>
  <c r="AA41" i="34"/>
  <c r="S9" i="34"/>
  <c r="U39" i="33"/>
  <c r="S35" i="33"/>
  <c r="W34" i="33"/>
  <c r="AB41" i="33"/>
  <c r="U36" i="33"/>
  <c r="S29" i="33"/>
  <c r="W31" i="33"/>
  <c r="W43" i="33"/>
  <c r="U46" i="33"/>
  <c r="W39" i="33"/>
  <c r="U35" i="33"/>
  <c r="AB34" i="33"/>
  <c r="W26"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S44" i="21"/>
  <c r="W28" i="21"/>
  <c r="AC46" i="21"/>
  <c r="AC26" i="21"/>
  <c r="F77" i="21"/>
  <c r="G77" i="21" s="1"/>
  <c r="J15" i="21"/>
  <c r="AC15" i="21" s="1"/>
  <c r="W13" i="21"/>
  <c r="W44" i="21"/>
  <c r="W10" i="21"/>
  <c r="AC38" i="21"/>
  <c r="AB21" i="21"/>
  <c r="U21" i="21"/>
  <c r="AB29" i="21"/>
  <c r="AA31" i="21"/>
  <c r="W33" i="40"/>
  <c r="S35" i="40"/>
  <c r="U15" i="40"/>
  <c r="S14" i="40"/>
  <c r="S15" i="40"/>
  <c r="AB13" i="40"/>
  <c r="S16" i="40"/>
  <c r="W11" i="40"/>
  <c r="AA21" i="40"/>
  <c r="U21" i="40"/>
  <c r="W25" i="40"/>
  <c r="U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AB40" i="40"/>
  <c r="U10" i="40"/>
  <c r="U27" i="40"/>
  <c r="AB27" i="40"/>
  <c r="AB45" i="39"/>
  <c r="AC19" i="39"/>
  <c r="AC38" i="39"/>
  <c r="AC21" i="39"/>
  <c r="AB15" i="39"/>
  <c r="U11" i="39"/>
  <c r="U31" i="39"/>
  <c r="AB31" i="39"/>
  <c r="S38" i="39"/>
  <c r="S22" i="31"/>
  <c r="R22" i="31" s="1"/>
  <c r="B21" i="31" s="1"/>
  <c r="D96" i="9"/>
  <c r="M18" i="15"/>
  <c r="A18" i="64"/>
  <c r="B74" i="63" s="1"/>
  <c r="C53" i="10"/>
  <c r="A25" i="64" s="1"/>
  <c r="A18" i="51"/>
  <c r="B14" i="63" s="1"/>
  <c r="BA16" i="3"/>
  <c r="BA17" i="3"/>
  <c r="AZ17" i="3" s="1"/>
  <c r="F3" i="35"/>
  <c r="AZ15" i="3"/>
  <c r="BK5" i="3"/>
  <c r="BO5" i="3"/>
  <c r="BP5" i="3"/>
  <c r="BN5" i="3"/>
  <c r="BL18" i="3"/>
  <c r="AZ18" i="3" s="1"/>
  <c r="BC5" i="3"/>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G1" i="15"/>
  <c r="F66" i="36"/>
  <c r="G66" i="36" s="1"/>
  <c r="H18" i="36"/>
  <c r="U18" i="36" s="1"/>
  <c r="U16" i="36"/>
  <c r="S25" i="36"/>
  <c r="AC27" i="36"/>
  <c r="W28" i="36"/>
  <c r="AA32" i="36"/>
  <c r="U13" i="36"/>
  <c r="AA22" i="36"/>
  <c r="AA13" i="36"/>
  <c r="W29" i="36"/>
  <c r="W8" i="36"/>
  <c r="AC30" i="35"/>
  <c r="U24" i="35"/>
  <c r="S24" i="35"/>
  <c r="W22" i="35"/>
  <c r="S32" i="35"/>
  <c r="W35" i="37"/>
  <c r="U33" i="37"/>
  <c r="AC15" i="37"/>
  <c r="AA13" i="37"/>
  <c r="S12" i="37"/>
  <c r="W38" i="37"/>
  <c r="W36" i="37"/>
  <c r="AB28" i="37"/>
  <c r="W13" i="37"/>
  <c r="U38" i="37"/>
  <c r="AA31" i="34"/>
  <c r="W47" i="34"/>
  <c r="AB29" i="34"/>
  <c r="AB47" i="34"/>
  <c r="AB13" i="34"/>
  <c r="AC13" i="34"/>
  <c r="S47" i="34"/>
  <c r="AA29" i="34"/>
  <c r="S19" i="34"/>
  <c r="S8" i="34"/>
  <c r="AA19" i="33"/>
  <c r="AC25" i="33"/>
  <c r="S43" i="33"/>
  <c r="AB42" i="33"/>
  <c r="AB14" i="33"/>
  <c r="S15" i="33"/>
  <c r="AB25" i="21"/>
  <c r="AA25" i="21"/>
  <c r="AA29" i="21"/>
  <c r="U27" i="21"/>
  <c r="W29" i="21"/>
  <c r="G95" i="40"/>
  <c r="J27" i="40"/>
  <c r="W27" i="40" s="1"/>
  <c r="W37" i="40"/>
  <c r="W30" i="40"/>
  <c r="S34" i="40"/>
  <c r="U38" i="40"/>
  <c r="S40" i="40"/>
  <c r="S42" i="40"/>
  <c r="G104" i="39"/>
  <c r="J31" i="39"/>
  <c r="W31" i="39" s="1"/>
  <c r="AB43" i="39"/>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W14" i="36"/>
  <c r="U14" i="36"/>
  <c r="AB14" i="36"/>
  <c r="S19" i="37"/>
  <c r="W19" i="37"/>
  <c r="AB19" i="37"/>
  <c r="U19" i="37"/>
  <c r="AC17" i="37"/>
  <c r="W17" i="37"/>
  <c r="AB25" i="34"/>
  <c r="AA25" i="34"/>
  <c r="S25" i="34"/>
  <c r="W25" i="34"/>
  <c r="AC25" i="34"/>
  <c r="U23" i="34"/>
  <c r="AB23" i="34"/>
  <c r="S23" i="34"/>
  <c r="AC23" i="34"/>
  <c r="W23" i="34"/>
  <c r="AA25" i="33"/>
  <c r="S25" i="33"/>
  <c r="U23" i="33"/>
  <c r="W23" i="33"/>
  <c r="S23" i="33"/>
  <c r="AA23" i="33"/>
  <c r="W17" i="33"/>
  <c r="AC17" i="33"/>
  <c r="AA17" i="33"/>
  <c r="U17" i="33"/>
  <c r="AB17" i="33"/>
  <c r="AB39" i="40"/>
  <c r="AC39" i="40"/>
  <c r="AA39" i="40"/>
  <c r="U37" i="40"/>
  <c r="AB37" i="40"/>
  <c r="AB29" i="40"/>
  <c r="W29" i="40"/>
  <c r="S29" i="40"/>
  <c r="W19" i="40"/>
  <c r="AC19" i="40"/>
  <c r="S19" i="40"/>
  <c r="B20" i="31"/>
  <c r="A17" i="51"/>
  <c r="B13" i="63" s="1"/>
  <c r="AT6" i="3"/>
  <c r="AZ16" i="3"/>
  <c r="E4" i="4"/>
  <c r="B21" i="55" s="1"/>
  <c r="B72" i="63" s="1"/>
  <c r="J18" i="36"/>
  <c r="AC18" i="36" s="1"/>
  <c r="W18" i="36"/>
  <c r="L20" i="6"/>
  <c r="C45" i="9"/>
  <c r="B7" i="66" s="1"/>
  <c r="N76" i="9"/>
  <c r="C46" i="9"/>
  <c r="K33" i="9" s="1"/>
  <c r="B8" i="66"/>
  <c r="J21" i="46"/>
  <c r="F38" i="46"/>
  <c r="F41" i="46"/>
  <c r="F40" i="46"/>
  <c r="H117"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M6" i="15"/>
  <c r="J36" i="15"/>
  <c r="B13" i="67"/>
  <c r="F10" i="67"/>
  <c r="B10" i="67"/>
  <c r="E13" i="67"/>
  <c r="M28" i="15"/>
  <c r="F13" i="15"/>
  <c r="F14" i="67"/>
  <c r="N4" i="65"/>
  <c r="B9" i="67"/>
  <c r="F9" i="15"/>
  <c r="E8" i="67"/>
  <c r="M24" i="15"/>
  <c r="F26" i="15"/>
  <c r="E12" i="67"/>
  <c r="E9" i="67"/>
  <c r="J15" i="15"/>
  <c r="F9" i="67"/>
  <c r="F11" i="67"/>
  <c r="N7" i="65"/>
  <c r="N5" i="65"/>
  <c r="F38" i="15"/>
  <c r="F8" i="15"/>
  <c r="B12" i="67"/>
  <c r="F6" i="15"/>
  <c r="B8" i="67"/>
  <c r="E11" i="67"/>
  <c r="F13" i="67"/>
  <c r="B11" i="67"/>
  <c r="E10" i="67"/>
  <c r="E14" i="67"/>
  <c r="N3" i="65"/>
  <c r="F8" i="67"/>
  <c r="M23" i="15"/>
  <c r="M26" i="15"/>
  <c r="L47" i="15"/>
  <c r="F42" i="15"/>
  <c r="M22" i="15"/>
  <c r="M8" i="15"/>
  <c r="F40" i="15"/>
  <c r="F37" i="15"/>
  <c r="F36" i="15"/>
  <c r="B14" i="67"/>
  <c r="N6" i="65"/>
  <c r="F16" i="15"/>
  <c r="L48" i="15"/>
  <c r="M9" i="15"/>
  <c r="F12" i="67"/>
  <c r="G69" i="21" l="1"/>
  <c r="F11" i="21"/>
  <c r="S11" i="21" s="1"/>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S19"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AC27" i="39" s="1"/>
  <c r="S17" i="39"/>
  <c r="F121" i="39"/>
  <c r="G121" i="39" s="1"/>
  <c r="H121" i="39" s="1"/>
  <c r="I121" i="39" s="1"/>
  <c r="J121" i="39" s="1"/>
  <c r="K121" i="39" s="1"/>
  <c r="L121" i="39" s="1"/>
  <c r="M121" i="39" s="1"/>
  <c r="J41" i="39"/>
  <c r="AC41" i="39" s="1"/>
  <c r="F41" i="39"/>
  <c r="AA41" i="39" s="1"/>
  <c r="U29" i="39"/>
  <c r="W40" i="39"/>
  <c r="S29" i="39"/>
  <c r="W25" i="39"/>
  <c r="S25" i="39"/>
  <c r="U23" i="39"/>
  <c r="W23" i="39"/>
  <c r="U14" i="39"/>
  <c r="AB38" i="39"/>
  <c r="AB37" i="39"/>
  <c r="U27" i="39"/>
  <c r="AB16" i="39"/>
  <c r="U34" i="39"/>
  <c r="W13" i="39"/>
  <c r="S14" i="39"/>
  <c r="S11" i="39"/>
  <c r="S16" i="39"/>
  <c r="AA21" i="39"/>
  <c r="AC43" i="39"/>
  <c r="AA43" i="39"/>
  <c r="AA44" i="39"/>
  <c r="AC44" i="39"/>
  <c r="W41" i="39"/>
  <c r="U41" i="39"/>
  <c r="AA13" i="39"/>
  <c r="C19" i="39"/>
  <c r="B77" i="46"/>
  <c r="F19" i="6"/>
  <c r="E19" i="6" s="1"/>
  <c r="I4" i="6"/>
  <c r="G3" i="46" s="1"/>
  <c r="Z7" i="46" s="1"/>
  <c r="G1" i="44"/>
  <c r="K1" i="12"/>
  <c r="K7" i="1"/>
  <c r="M7" i="1" s="1"/>
  <c r="O7" i="1" s="1"/>
  <c r="P7" i="1" s="1"/>
  <c r="K1" i="43"/>
  <c r="O41" i="9"/>
  <c r="R8" i="54" s="1"/>
  <c r="B54" i="63" s="1"/>
  <c r="H1" i="65"/>
  <c r="C22" i="59"/>
  <c r="C21" i="59" s="1"/>
  <c r="AA30" i="40"/>
  <c r="S30" i="40"/>
  <c r="AB25" i="39"/>
  <c r="AB33" i="40"/>
  <c r="U33" i="40"/>
  <c r="AB47" i="39"/>
  <c r="U47" i="39"/>
  <c r="AA45" i="39"/>
  <c r="S45" i="39"/>
  <c r="W27"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AZ203" i="3" s="1"/>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F65" i="15"/>
  <c r="F67" i="15"/>
  <c r="F50" i="15"/>
  <c r="C27" i="15"/>
  <c r="F64" i="15"/>
  <c r="L59" i="15"/>
  <c r="L58" i="15"/>
  <c r="J53" i="15"/>
  <c r="J57" i="15"/>
  <c r="J55" i="15" s="1"/>
  <c r="J58" i="15" s="1"/>
  <c r="Q51" i="15" s="1"/>
  <c r="I54" i="15"/>
  <c r="L56" i="15"/>
  <c r="Q72" i="15"/>
  <c r="F63" i="15"/>
  <c r="C4" i="65"/>
  <c r="B39" i="1" s="1"/>
  <c r="J4" i="65"/>
  <c r="I6" i="65"/>
  <c r="M11" i="44"/>
  <c r="L48" i="44"/>
  <c r="M10" i="44"/>
  <c r="J7" i="65"/>
  <c r="F11" i="44"/>
  <c r="J5" i="65"/>
  <c r="M30" i="44"/>
  <c r="F15" i="44"/>
  <c r="M31" i="44"/>
  <c r="F40" i="44"/>
  <c r="F43" i="44"/>
  <c r="M25" i="44"/>
  <c r="M26" i="44"/>
  <c r="M24" i="44"/>
  <c r="F39" i="44"/>
  <c r="F38" i="44"/>
  <c r="F9" i="44"/>
  <c r="I7" i="65"/>
  <c r="F10" i="44"/>
  <c r="I4" i="65"/>
  <c r="J3" i="65"/>
  <c r="J6" i="65"/>
  <c r="L49" i="44"/>
  <c r="F8" i="44"/>
  <c r="J17" i="44"/>
  <c r="F28" i="44"/>
  <c r="M8" i="44"/>
  <c r="I3" i="65"/>
  <c r="M28" i="44"/>
  <c r="I5" i="65"/>
  <c r="F45" i="44"/>
  <c r="F18" i="44"/>
  <c r="S27" i="39" l="1"/>
  <c r="AZ13" i="3"/>
  <c r="G26" i="46"/>
  <c r="F26" i="46"/>
  <c r="D26" i="46" s="1"/>
  <c r="C25" i="46" s="1"/>
  <c r="J26" i="46"/>
  <c r="E26" i="46"/>
  <c r="H26" i="46"/>
  <c r="B117" i="46"/>
  <c r="I123" i="46" s="1"/>
  <c r="J123" i="46" s="1"/>
  <c r="K123" i="46" s="1"/>
  <c r="L123" i="46" s="1"/>
  <c r="M123" i="46" s="1"/>
  <c r="H69" i="21"/>
  <c r="I69" i="21" s="1"/>
  <c r="J69" i="21" s="1"/>
  <c r="K69" i="21" s="1"/>
  <c r="L69" i="21" s="1"/>
  <c r="M69" i="21" s="1"/>
  <c r="H11" i="21"/>
  <c r="J11" i="21"/>
  <c r="D18" i="9"/>
  <c r="M44" i="9" s="1"/>
  <c r="M43" i="9"/>
  <c r="AC26" i="35"/>
  <c r="W26" i="35"/>
  <c r="AB26" i="35"/>
  <c r="U26" i="35"/>
  <c r="U37" i="21"/>
  <c r="AB37" i="21"/>
  <c r="AA37" i="21"/>
  <c r="AB23" i="21"/>
  <c r="AA23" i="21"/>
  <c r="AC19" i="21"/>
  <c r="AB13" i="39"/>
  <c r="U13" i="39"/>
  <c r="S41" i="39"/>
  <c r="E32" i="6"/>
  <c r="L19" i="6" s="1"/>
  <c r="L27" i="6" s="1"/>
  <c r="K6" i="1"/>
  <c r="Q16" i="1" s="1"/>
  <c r="F21" i="43" s="1"/>
  <c r="K15" i="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E61" i="46"/>
  <c r="B59" i="46" s="1"/>
  <c r="E50" i="46"/>
  <c r="B48" i="46" s="1"/>
  <c r="C28" i="46" s="1"/>
  <c r="B123" i="46"/>
  <c r="C123" i="46" s="1"/>
  <c r="E17" i="46"/>
  <c r="C17" i="46" s="1"/>
  <c r="C7" i="46"/>
  <c r="AZ5" i="3"/>
  <c r="E3" i="6" s="1"/>
  <c r="D16" i="43" s="1"/>
  <c r="C16" i="43" s="1"/>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B12" i="59"/>
  <c r="H7" i="35"/>
  <c r="U7" i="35" s="1"/>
  <c r="E64" i="40"/>
  <c r="D66" i="40"/>
  <c r="J7" i="37"/>
  <c r="D71" i="39"/>
  <c r="E69" i="39"/>
  <c r="H7" i="33"/>
  <c r="F7" i="33"/>
  <c r="J46" i="36"/>
  <c r="J7" i="35"/>
  <c r="F7" i="35"/>
  <c r="H7" i="37"/>
  <c r="F7" i="37"/>
  <c r="Q62" i="15"/>
  <c r="Q75" i="15"/>
  <c r="M13" i="44"/>
  <c r="J12" i="44" s="1"/>
  <c r="F11" i="15"/>
  <c r="M11" i="15"/>
  <c r="F13" i="44"/>
  <c r="C12" i="44" s="1"/>
  <c r="M32" i="46"/>
  <c r="P32" i="46"/>
  <c r="O32" i="46"/>
  <c r="N32" i="46"/>
  <c r="F1" i="15"/>
  <c r="Q53" i="15"/>
  <c r="Q61" i="15"/>
  <c r="Q74" i="15"/>
  <c r="AE6" i="1"/>
  <c r="AE12" i="1"/>
  <c r="AE7" i="1"/>
  <c r="AE8" i="1"/>
  <c r="AE9" i="1"/>
  <c r="AE10" i="1"/>
  <c r="AE11" i="1"/>
  <c r="E2" i="65"/>
  <c r="F46" i="44"/>
  <c r="F43" i="15"/>
  <c r="M29" i="15"/>
  <c r="F41" i="15"/>
  <c r="F7" i="15"/>
  <c r="C18" i="44"/>
  <c r="E3" i="65"/>
  <c r="D120" i="46" l="1"/>
  <c r="E120" i="46" s="1"/>
  <c r="F120" i="46" s="1"/>
  <c r="G120" i="46" s="1"/>
  <c r="H120" i="46" s="1"/>
  <c r="D119" i="46"/>
  <c r="E119" i="46" s="1"/>
  <c r="F119" i="46" s="1"/>
  <c r="G119" i="46" s="1"/>
  <c r="H119" i="46" s="1"/>
  <c r="I122" i="46"/>
  <c r="J122" i="46" s="1"/>
  <c r="K122" i="46" s="1"/>
  <c r="L122" i="46" s="1"/>
  <c r="M122" i="46" s="1"/>
  <c r="I119" i="46"/>
  <c r="J119" i="46" s="1"/>
  <c r="K119" i="46" s="1"/>
  <c r="L119" i="46" s="1"/>
  <c r="M119" i="46" s="1"/>
  <c r="I120" i="46"/>
  <c r="J120" i="46" s="1"/>
  <c r="K120" i="46" s="1"/>
  <c r="L120" i="46" s="1"/>
  <c r="M120" i="46" s="1"/>
  <c r="I121" i="46"/>
  <c r="J121" i="46" s="1"/>
  <c r="K121" i="46" s="1"/>
  <c r="L121" i="46" s="1"/>
  <c r="M121" i="46" s="1"/>
  <c r="G122" i="46"/>
  <c r="H122" i="46" s="1"/>
  <c r="B121" i="46"/>
  <c r="C121" i="46" s="1"/>
  <c r="D117" i="46"/>
  <c r="B122" i="46"/>
  <c r="C122" i="46" s="1"/>
  <c r="D123" i="46"/>
  <c r="E123" i="46" s="1"/>
  <c r="F123" i="46" s="1"/>
  <c r="G123" i="46" s="1"/>
  <c r="H123" i="46" s="1"/>
  <c r="B119" i="46"/>
  <c r="C119" i="46" s="1"/>
  <c r="D121" i="46"/>
  <c r="E121" i="46" s="1"/>
  <c r="F121" i="46" s="1"/>
  <c r="G121" i="46" s="1"/>
  <c r="H121" i="46" s="1"/>
  <c r="B120" i="46"/>
  <c r="C120" i="46" s="1"/>
  <c r="D122" i="46"/>
  <c r="E122" i="46" s="1"/>
  <c r="F122" i="46" s="1"/>
  <c r="W11" i="21"/>
  <c r="AC11" i="21"/>
  <c r="V48" i="21"/>
  <c r="I48" i="21" s="1"/>
  <c r="U11" i="21"/>
  <c r="AB11" i="21"/>
  <c r="T48" i="21"/>
  <c r="G48" i="21" s="1"/>
  <c r="AP16" i="1"/>
  <c r="F22" i="11" s="1"/>
  <c r="H16" i="1"/>
  <c r="M19" i="44"/>
  <c r="G16" i="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F17" i="11"/>
  <c r="C17" i="11" s="1"/>
  <c r="C19" i="11" s="1"/>
  <c r="C20" i="11" s="1"/>
  <c r="C21" i="11" s="1"/>
  <c r="C22" i="11" s="1"/>
  <c r="C23" i="11" s="1"/>
  <c r="B2"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M29" i="44"/>
  <c r="C16" i="15"/>
  <c r="M27" i="15"/>
  <c r="J12" i="40" l="1"/>
  <c r="AC12" i="40" s="1"/>
  <c r="J12" i="39"/>
  <c r="H12" i="39"/>
  <c r="F12" i="39"/>
  <c r="B14" i="66"/>
  <c r="B1" i="66" s="1"/>
  <c r="W12" i="40"/>
  <c r="AA12" i="39"/>
  <c r="U12" i="39"/>
  <c r="AC12" i="39"/>
  <c r="F12" i="40"/>
  <c r="AA12" i="40" s="1"/>
  <c r="H12" i="40"/>
  <c r="U12" i="40" s="1"/>
  <c r="O6" i="1"/>
  <c r="P6" i="1" s="1"/>
  <c r="C15" i="12" s="1"/>
  <c r="C5" i="15"/>
  <c r="C38" i="15" s="1"/>
  <c r="C47" i="15"/>
  <c r="C65" i="15" s="1"/>
  <c r="M17" i="15"/>
  <c r="J6" i="15"/>
  <c r="J18" i="15" s="1"/>
  <c r="F58" i="15"/>
  <c r="D22" i="12"/>
  <c r="C22" i="12" s="1"/>
  <c r="C20" i="12" s="1"/>
  <c r="P36" i="46"/>
  <c r="Q36" i="46"/>
  <c r="N36" i="46"/>
  <c r="M36" i="46"/>
  <c r="L37" i="46"/>
  <c r="P37" i="46" s="1"/>
  <c r="D37" i="59"/>
  <c r="T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AB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C17" i="15"/>
  <c r="F7" i="67"/>
  <c r="C7" i="66" l="1"/>
  <c r="C8" i="66"/>
  <c r="S12" i="39"/>
  <c r="B2" i="21"/>
  <c r="C10" i="12" s="1"/>
  <c r="C8" i="12"/>
  <c r="C59" i="15"/>
  <c r="AB12" i="39"/>
  <c r="S12" i="40"/>
  <c r="W12" i="39"/>
  <c r="J5" i="15"/>
  <c r="J24" i="15" s="1"/>
  <c r="K27" i="6"/>
  <c r="M21" i="6"/>
  <c r="I21" i="6" s="1"/>
  <c r="S21" i="6" s="1"/>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H21" i="6" l="1"/>
  <c r="C14" i="66"/>
  <c r="B2" i="66" s="1"/>
  <c r="H23" i="6"/>
  <c r="H25" i="6"/>
  <c r="D30" i="6"/>
  <c r="M27" i="6"/>
  <c r="H24" i="6"/>
  <c r="R24" i="6" s="1"/>
  <c r="R11" i="1" s="1"/>
  <c r="H22" i="6"/>
  <c r="R22" i="6" s="1"/>
  <c r="R9" i="1" s="1"/>
  <c r="S16" i="1"/>
  <c r="T11" i="1" s="1"/>
  <c r="D16" i="59"/>
  <c r="C15" i="59"/>
  <c r="C31" i="46"/>
  <c r="C30" i="46"/>
  <c r="B2" i="46" s="1"/>
  <c r="D4" i="46" s="1"/>
  <c r="T13"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F35" i="15"/>
  <c r="M23" i="44"/>
  <c r="M21" i="15"/>
  <c r="F37" i="44"/>
  <c r="D8" i="66" l="1"/>
  <c r="D7" i="66"/>
  <c r="T10" i="1"/>
  <c r="T8" i="1"/>
  <c r="T9" i="1"/>
  <c r="T6" i="1"/>
  <c r="D15" i="59"/>
  <c r="C14" i="59"/>
  <c r="B3" i="46"/>
  <c r="B4" i="46"/>
  <c r="C36" i="44"/>
  <c r="J20" i="15"/>
  <c r="C34" i="15"/>
  <c r="R27" i="6"/>
  <c r="H27" i="6"/>
  <c r="E7" i="59"/>
  <c r="B7" i="59"/>
  <c r="F6" i="59"/>
  <c r="I6" i="6"/>
  <c r="I5" i="6"/>
  <c r="J22" i="44"/>
  <c r="F62" i="15"/>
  <c r="C61" i="15" s="1"/>
  <c r="R16" i="1"/>
  <c r="C18" i="43"/>
  <c r="C109" i="9" s="1"/>
  <c r="C110" i="9" s="1"/>
  <c r="C18" i="12"/>
  <c r="C23" i="12" s="1"/>
  <c r="O46" i="36"/>
  <c r="J7" i="36" s="1"/>
  <c r="F7" i="36"/>
  <c r="H7" i="36"/>
  <c r="J64" i="40"/>
  <c r="I66" i="40"/>
  <c r="J69" i="39"/>
  <c r="I71" i="39"/>
  <c r="B3" i="67"/>
  <c r="B4" i="67"/>
  <c r="C16" i="44"/>
  <c r="C14" i="15"/>
  <c r="C15" i="15" l="1"/>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B5" i="39" l="1"/>
  <c r="B3"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D10" i="12" s="1"/>
  <c r="C6" i="12" s="1"/>
  <c r="B3" i="35" l="1"/>
  <c r="D8" i="12" s="1"/>
  <c r="C24" i="12"/>
  <c r="C29" i="12"/>
  <c r="C35" i="12" l="1"/>
  <c r="C33" i="12" s="1"/>
  <c r="C28" i="12"/>
  <c r="C26" i="12" s="1"/>
  <c r="C31" i="12" s="1"/>
  <c r="C30" i="12" s="1"/>
  <c r="C36" i="12" s="1"/>
  <c r="B2" i="12" s="1"/>
  <c r="D19" i="9"/>
  <c r="D22" i="9" l="1"/>
  <c r="G19" i="9"/>
  <c r="L44" i="9"/>
  <c r="B3" i="12"/>
  <c r="B5" i="12"/>
  <c r="B4" i="12"/>
  <c r="D21" i="9"/>
  <c r="D20" i="9"/>
  <c r="G20" i="9" l="1"/>
  <c r="G21" i="9"/>
  <c r="G22" i="9"/>
  <c r="C32" i="9"/>
  <c r="N43" i="9"/>
  <c r="C42" i="9" l="1"/>
  <c r="C34" i="9"/>
  <c r="O43" i="9"/>
  <c r="O38" i="9"/>
  <c r="C35" i="9"/>
  <c r="F42" i="9" s="1"/>
  <c r="C33" i="9"/>
  <c r="D14" i="66" l="1"/>
  <c r="K26" i="9"/>
  <c r="K25" i="9"/>
  <c r="D42" i="9"/>
  <c r="Q5" i="54" s="1"/>
  <c r="B47" i="63" s="1"/>
  <c r="N38" i="9"/>
  <c r="K28" i="9" s="1"/>
  <c r="M38" i="9"/>
  <c r="K27" i="9" s="1"/>
  <c r="E42" i="9"/>
  <c r="P5" i="54" s="1"/>
  <c r="B46" i="63" s="1"/>
  <c r="C44" i="9"/>
  <c r="R5" i="54"/>
  <c r="B48" i="63" s="1"/>
  <c r="N68" i="9"/>
  <c r="D63" i="9"/>
  <c r="D15" i="66"/>
  <c r="G15" i="66" s="1"/>
  <c r="O39" i="9" l="1"/>
  <c r="N69" i="9"/>
  <c r="F44" i="9"/>
  <c r="D44" i="9"/>
  <c r="E44" i="9"/>
  <c r="C82" i="9"/>
  <c r="C81" i="9" s="1"/>
  <c r="C85" i="9" s="1"/>
  <c r="C86" i="9" s="1"/>
  <c r="D72" i="9" s="1"/>
  <c r="C103" i="9"/>
  <c r="C111" i="9"/>
  <c r="C104" i="9" s="1"/>
  <c r="C90" i="9"/>
  <c r="D73" i="9"/>
  <c r="N73" i="9" s="1"/>
  <c r="D71" i="9"/>
  <c r="D66" i="9" s="1"/>
  <c r="N72" i="9" s="1"/>
  <c r="D70" i="9"/>
  <c r="C96" i="9"/>
  <c r="C91" i="9" s="1"/>
  <c r="G14" i="66"/>
  <c r="B6" i="66" s="1"/>
  <c r="E14" i="66"/>
  <c r="F14" i="66"/>
  <c r="E15" i="66"/>
  <c r="F15" i="66"/>
  <c r="B5" i="66"/>
  <c r="D6" i="66" l="1"/>
  <c r="C6" i="66"/>
  <c r="C113" i="9"/>
  <c r="M88" i="9"/>
  <c r="N88" i="9" s="1"/>
  <c r="M84" i="9"/>
  <c r="N84" i="9" s="1"/>
  <c r="M83" i="9"/>
  <c r="N83" i="9" s="1"/>
  <c r="M85" i="9"/>
  <c r="N85" i="9" s="1"/>
  <c r="M86" i="9"/>
  <c r="N86" i="9" s="1"/>
  <c r="M87" i="9"/>
  <c r="N87" i="9" s="1"/>
  <c r="C97" i="9"/>
  <c r="K29" i="9"/>
  <c r="K30" i="9" s="1"/>
  <c r="R6" i="54"/>
  <c r="B50" i="63" s="1"/>
  <c r="D5" i="66"/>
  <c r="C5" i="66"/>
  <c r="C98" i="9" l="1"/>
  <c r="E98" i="9" s="1"/>
  <c r="E99" i="9" s="1"/>
  <c r="C114" i="9"/>
  <c r="E114" i="9" s="1"/>
  <c r="E115" i="9" s="1"/>
  <c r="C115" i="9"/>
  <c r="D76" i="9" s="1"/>
  <c r="D74" i="9" s="1"/>
  <c r="N74" i="9" s="1"/>
  <c r="O77" i="9" s="1"/>
  <c r="N89" i="9"/>
  <c r="O89"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<sst xmlns="http://schemas.openxmlformats.org/spreadsheetml/2006/main" count="7883" uniqueCount="3516">
  <si>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</si>
  <si>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</si>
  <si>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</si>
  <si>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</si>
  <si>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</si>
  <si>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</si>
  <si>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</si>
  <si>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</si>
  <si>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</si>
  <si>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</si>
  <si>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</si>
  <si>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</si>
  <si>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</si>
  <si>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</si>
  <si>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</si>
  <si>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</si>
  <si>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</si>
  <si>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</si>
  <si>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</si>
  <si>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</si>
  <si>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</si>
  <si>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</si>
  <si>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</si>
  <si>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</si>
  <si>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</si>
  <si>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</si>
  <si>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</si>
  <si>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</si>
  <si>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</si>
  <si>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</si>
  <si>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</si>
  <si>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</si>
  <si>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</si>
  <si>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</si>
  <si>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</si>
  <si>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</si>
  <si>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</si>
  <si>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</si>
  <si>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</si>
  <si>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</si>
  <si>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</si>
  <si>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</si>
  <si>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</si>
  <si>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</si>
  <si>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</si>
  <si>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</si>
  <si>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</si>
  <si>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</si>
  <si>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</si>
  <si>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</si>
  <si>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</si>
  <si>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</si>
  <si>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</si>
  <si>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</si>
  <si>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</si>
  <si>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</si>
  <si>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</si>
  <si>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</si>
  <si>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</si>
  <si>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</si>
  <si>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</si>
  <si>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</si>
  <si>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</si>
  <si>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</si>
  <si>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</si>
  <si>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</si>
  <si>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</si>
  <si>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</si>
  <si>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</si>
  <si>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</si>
  <si>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</si>
  <si>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</si>
  <si>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</si>
  <si>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</si>
  <si>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</si>
  <si>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</si>
  <si>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</si>
  <si>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</si>
  <si>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</si>
  <si>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</si>
  <si>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</si>
  <si>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</si>
  <si>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</si>
  <si>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</si>
  <si>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</si>
  <si>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</si>
  <si>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</si>
  <si>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</si>
  <si>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</si>
  <si>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</si>
  <si>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</si>
  <si>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</si>
  <si>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</si>
  <si>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</si>
  <si>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</si>
  <si>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</si>
  <si>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</si>
  <si>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</si>
  <si>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</si>
  <si>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</si>
  <si>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</si>
  <si>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</si>
  <si>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</si>
  <si>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</si>
  <si>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</si>
  <si>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</si>
  <si>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</si>
  <si>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</si>
  <si>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</si>
  <si>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</si>
  <si>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</si>
  <si>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</si>
  <si>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</si>
  <si>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</si>
  <si>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</si>
  <si>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</si>
  <si>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</si>
  <si>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</si>
  <si>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</si>
  <si>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</si>
  <si>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</si>
  <si>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</si>
  <si>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</si>
  <si>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</si>
  <si>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</si>
  <si>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</si>
  <si>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</si>
  <si>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</si>
  <si>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</si>
  <si>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</si>
  <si>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</si>
  <si>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</si>
  <si>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</si>
  <si>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</si>
  <si>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</si>
  <si>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</si>
  <si>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</si>
  <si>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</si>
  <si>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</si>
  <si>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</si>
  <si>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</si>
  <si>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</si>
  <si>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</si>
  <si>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</si>
  <si>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</si>
  <si>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</si>
  <si>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</si>
  <si>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</si>
  <si>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</si>
  <si>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</si>
  <si>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</si>
  <si>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</si>
  <si>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</si>
  <si>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</si>
  <si>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</si>
  <si>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</si>
  <si>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</si>
  <si>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</si>
  <si>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</si>
  <si>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</si>
  <si>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</si>
  <si>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</si>
  <si>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</si>
  <si>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</si>
  <si>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</si>
  <si>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</si>
  <si>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</si>
  <si>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</si>
  <si>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</si>
  <si>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</si>
  <si>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</si>
  <si>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</si>
  <si>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</si>
  <si>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</si>
  <si>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</si>
  <si>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</si>
  <si>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</si>
  <si>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</si>
  <si>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</si>
  <si>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</si>
  <si>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</si>
  <si>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</si>
  <si>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</si>
  <si>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</si>
  <si>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</si>
  <si>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</si>
  <si>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</si>
  <si>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</si>
  <si>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</si>
  <si>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</si>
  <si>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</si>
  <si>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</si>
  <si>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</si>
  <si>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</si>
  <si>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</si>
  <si>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</si>
  <si>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</si>
  <si>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</si>
  <si>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</si>
  <si>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</si>
  <si>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</si>
  <si>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</si>
  <si>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</si>
  <si>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</si>
  <si>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</si>
  <si>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</si>
  <si>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</si>
  <si>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</si>
  <si>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</si>
  <si>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</si>
  <si>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</si>
  <si>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</si>
  <si>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</si>
  <si>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</si>
  <si>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</si>
  <si>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</si>
  <si>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</si>
  <si>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</si>
  <si>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</si>
  <si>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</si>
  <si>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</si>
  <si>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</si>
  <si>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</si>
  <si>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</si>
  <si>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</si>
  <si>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</si>
  <si>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</si>
  <si>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</si>
  <si>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</si>
  <si>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</si>
  <si>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</si>
  <si>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</si>
  <si>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</si>
  <si>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</si>
  <si>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</si>
  <si>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</si>
  <si>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</si>
  <si>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</si>
  <si>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</si>
  <si>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</si>
  <si>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</si>
  <si>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</si>
  <si>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</si>
  <si>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</si>
  <si>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</si>
  <si>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</si>
  <si>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</si>
  <si>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</si>
  <si>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</si>
  <si>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</si>
  <si>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</si>
  <si>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</si>
  <si>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</si>
  <si>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</si>
  <si>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</si>
  <si>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</si>
  <si>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</si>
  <si>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</si>
  <si>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</si>
  <si>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</si>
  <si>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</si>
  <si>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</si>
  <si>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</si>
  <si>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</si>
  <si>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</si>
  <si>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</si>
  <si>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</si>
  <si>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</si>
  <si>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</si>
  <si>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</si>
  <si>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</si>
  <si>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</si>
  <si>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</si>
  <si>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</si>
  <si>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</si>
  <si>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</si>
  <si>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</si>
  <si>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</si>
  <si>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</si>
  <si>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</si>
  <si>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</si>
  <si>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</si>
  <si>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</si>
  <si>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</si>
  <si>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</si>
  <si>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</si>
  <si>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</si>
  <si>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</si>
  <si>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</si>
  <si>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</si>
  <si>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</si>
  <si>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</si>
  <si>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</si>
  <si>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</si>
  <si>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</si>
  <si>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</si>
  <si>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</si>
  <si>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</si>
  <si>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</si>
  <si>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</si>
  <si>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</si>
  <si>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</si>
  <si>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</si>
  <si>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</si>
  <si>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</si>
  <si>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</si>
  <si>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</si>
  <si>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</si>
  <si>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</si>
  <si>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</si>
  <si>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</si>
  <si>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</si>
  <si>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</si>
  <si>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</si>
  <si>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</si>
  <si>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</si>
  <si>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</si>
  <si>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</si>
  <si>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</si>
  <si>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</si>
  <si>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</si>
  <si>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</si>
  <si>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</si>
  <si>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</si>
  <si>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</si>
  <si>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</si>
  <si>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</si>
  <si>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</si>
  <si>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</si>
  <si>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</si>
  <si>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</si>
  <si>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</si>
  <si>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</si>
  <si>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</si>
  <si>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</si>
  <si>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</si>
  <si>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</si>
  <si>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</si>
  <si>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</si>
  <si>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</si>
  <si>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</si>
  <si>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</si>
  <si>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</si>
  <si>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</si>
  <si>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</si>
  <si>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</si>
  <si>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</si>
  <si>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</si>
  <si>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</si>
  <si>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</si>
  <si>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</si>
  <si>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</si>
  <si>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</si>
  <si>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</si>
  <si>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</si>
  <si>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</si>
  <si>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</si>
  <si>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</si>
  <si>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</si>
  <si>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</si>
  <si>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</si>
  <si>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</si>
  <si>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</si>
  <si>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</si>
  <si>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</si>
  <si>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</si>
  <si>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</si>
  <si>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</si>
  <si>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</si>
  <si>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</si>
  <si>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</si>
  <si>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</si>
  <si>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</si>
  <si>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</si>
  <si>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</si>
  <si>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</si>
  <si>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</si>
  <si>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</si>
  <si>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</si>
  <si>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</si>
  <si>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</si>
  <si>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</si>
  <si>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</si>
  <si>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</si>
  <si>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</si>
  <si>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</si>
  <si>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</si>
  <si>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</si>
  <si>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</si>
  <si>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</si>
  <si>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</si>
  <si>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</si>
  <si>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</si>
  <si>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</si>
  <si>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</si>
  <si>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</si>
  <si>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</si>
  <si>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</si>
  <si>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</si>
  <si>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</si>
  <si>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</si>
  <si>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</si>
  <si>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</si>
  <si>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</si>
  <si>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</si>
  <si>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</si>
  <si>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</si>
  <si>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</si>
  <si>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</si>
  <si>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</si>
  <si>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</si>
  <si>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</si>
  <si>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</si>
  <si>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</si>
  <si>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</si>
  <si>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</si>
  <si>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</si>
  <si>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</si>
  <si>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</si>
  <si>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</si>
  <si>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</si>
  <si>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</si>
  <si>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</si>
  <si>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</si>
  <si>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</si>
  <si>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</si>
  <si>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</si>
  <si>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</si>
  <si>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</si>
  <si>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</si>
  <si>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</si>
  <si>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</si>
  <si>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</si>
  <si>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</si>
  <si>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</si>
  <si>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</si>
  <si>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</si>
  <si>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</si>
  <si>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</si>
  <si>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</si>
  <si>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</si>
  <si>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</si>
  <si>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</si>
  <si>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</si>
  <si>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</si>
  <si>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</si>
  <si>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</si>
  <si>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</si>
  <si>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</si>
  <si>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</si>
  <si>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</si>
  <si>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</si>
  <si>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</si>
  <si>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</si>
  <si>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</si>
  <si>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</si>
  <si>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</si>
  <si>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</si>
  <si>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</si>
  <si>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</si>
  <si>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</si>
  <si>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</si>
  <si>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</si>
  <si>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</si>
  <si>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</si>
  <si>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</si>
  <si>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</si>
  <si>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</si>
  <si>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</si>
  <si>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</si>
  <si>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</si>
  <si>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</si>
  <si>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</si>
  <si>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</si>
  <si>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</si>
  <si>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</si>
  <si>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</si>
  <si>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</si>
  <si>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</si>
  <si>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</si>
  <si>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</si>
  <si>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</si>
  <si>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</si>
  <si>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</si>
  <si>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</si>
  <si>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</si>
  <si>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</si>
  <si>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</si>
  <si>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</si>
  <si>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</si>
  <si>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</si>
  <si>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</si>
  <si>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</si>
  <si>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</si>
  <si>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</si>
  <si>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</si>
  <si>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</si>
  <si>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</si>
  <si>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</si>
  <si>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</si>
  <si>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</si>
  <si>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</si>
  <si>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</si>
  <si>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</si>
  <si>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</si>
  <si>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</si>
  <si>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</si>
  <si>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</si>
  <si>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</si>
  <si>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</si>
  <si>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</si>
  <si>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</si>
  <si>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</si>
  <si>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</si>
  <si>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</si>
  <si>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</si>
  <si>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</si>
  <si>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</si>
  <si>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</si>
  <si>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</si>
  <si>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</si>
  <si>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</si>
  <si>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</si>
  <si>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</si>
  <si>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</si>
  <si>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</si>
  <si>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</si>
  <si>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</si>
  <si>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</si>
  <si>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</si>
  <si>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</si>
  <si>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</si>
  <si>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</si>
  <si>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</si>
  <si>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</si>
  <si>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</si>
  <si>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</si>
  <si>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</si>
  <si>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</si>
  <si>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</si>
  <si>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</si>
  <si>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</si>
  <si>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</si>
  <si>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</si>
  <si>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</si>
  <si>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</si>
  <si>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</si>
  <si>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</si>
  <si>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</si>
  <si>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</si>
  <si>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</si>
  <si>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</si>
  <si>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</si>
  <si>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</si>
  <si>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</si>
  <si>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</si>
  <si>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</si>
  <si>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</si>
  <si>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</si>
  <si>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</si>
  <si>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</si>
  <si>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</si>
  <si>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</si>
  <si>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</si>
  <si>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</si>
  <si>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</si>
  <si>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</si>
  <si>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</si>
  <si>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</si>
  <si>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</si>
  <si>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</si>
  <si>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</si>
  <si>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</si>
  <si>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</si>
  <si>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</si>
  <si>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</si>
  <si>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</si>
  <si>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</si>
  <si>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</si>
  <si>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</si>
  <si>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</si>
  <si>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</si>
  <si>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</si>
  <si>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</si>
  <si>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</si>
  <si>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</si>
  <si>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</si>
  <si>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</si>
  <si>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</si>
  <si>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</si>
  <si>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</si>
  <si>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</si>
  <si>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</si>
  <si>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</si>
  <si>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</si>
  <si>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</si>
  <si>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</si>
  <si>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</si>
  <si>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</si>
  <si>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</si>
  <si>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</si>
  <si>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</si>
  <si>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</si>
  <si>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</si>
  <si>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</si>
  <si>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</si>
  <si>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</si>
  <si>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</si>
  <si>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</si>
  <si>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</si>
  <si>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</si>
  <si>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</si>
  <si>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</si>
  <si>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</si>
  <si>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</si>
  <si>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</si>
  <si>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</si>
  <si>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</si>
  <si>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</si>
  <si>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</si>
  <si>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</si>
  <si>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</si>
  <si>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</si>
  <si>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</si>
  <si>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</si>
  <si>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</si>
  <si>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</si>
  <si>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</si>
  <si>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</si>
  <si>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</si>
  <si>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</si>
  <si>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</si>
  <si>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</si>
  <si>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</si>
  <si>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</si>
  <si>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</si>
  <si>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</si>
  <si>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</si>
  <si>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</si>
  <si>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</si>
  <si>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</si>
  <si>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</si>
  <si>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</si>
  <si>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</si>
  <si>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</si>
  <si>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</si>
  <si>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</si>
  <si>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</si>
  <si>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</si>
  <si>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</si>
  <si>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</si>
  <si>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</si>
  <si>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</si>
  <si>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</si>
  <si>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</si>
  <si>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</si>
  <si>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</si>
  <si>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</si>
  <si>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</si>
  <si>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</si>
  <si>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</si>
  <si>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</si>
  <si>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</si>
  <si>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</si>
  <si>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</si>
  <si>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</si>
  <si>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</si>
  <si>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</si>
  <si>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</si>
  <si>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</si>
  <si>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</si>
  <si>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</si>
  <si>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</si>
  <si>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</si>
  <si>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</si>
  <si>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</si>
  <si>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</si>
  <si>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</si>
  <si>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</si>
  <si>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</si>
  <si>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</si>
  <si>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</si>
  <si>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</si>
  <si>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</si>
  <si>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</si>
  <si>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</si>
  <si>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</si>
  <si>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</si>
  <si>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</si>
  <si>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</si>
  <si>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</si>
  <si>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</si>
  <si>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</si>
  <si>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</si>
  <si>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</si>
  <si>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</si>
  <si>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</si>
  <si>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</si>
  <si>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</si>
  <si>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</si>
  <si>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</si>
  <si>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</si>
  <si>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</si>
  <si>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</si>
  <si>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</si>
  <si>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</si>
  <si>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</si>
  <si>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</si>
  <si>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</si>
  <si>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</si>
  <si>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</si>
  <si>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</si>
  <si>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</si>
  <si>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</si>
  <si>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</si>
  <si>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</si>
  <si>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</si>
  <si>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</si>
  <si>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</si>
  <si>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</si>
  <si>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</si>
  <si>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</si>
  <si>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</si>
  <si>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</si>
  <si>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</si>
  <si>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</si>
  <si>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</si>
  <si>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</si>
  <si>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</si>
  <si>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</si>
  <si>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</si>
  <si>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</si>
  <si>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</si>
  <si>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</si>
  <si>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</si>
  <si>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</si>
  <si>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</si>
  <si>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</si>
  <si>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</si>
  <si>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</si>
  <si>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</si>
  <si>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</si>
  <si>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</si>
  <si>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</si>
  <si>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</si>
  <si>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</si>
  <si>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</si>
  <si>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</si>
  <si>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</si>
  <si>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</si>
  <si>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</si>
  <si>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</si>
  <si>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</si>
  <si>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</si>
  <si>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</si>
  <si>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</si>
  <si>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</si>
  <si>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</si>
  <si>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</si>
  <si>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</si>
  <si>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</si>
  <si>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</si>
  <si>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</si>
  <si>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</si>
  <si>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</si>
  <si>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</si>
  <si>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</si>
  <si>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</si>
  <si>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</si>
  <si>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</si>
  <si>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</si>
  <si>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</si>
  <si>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</si>
  <si>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</si>
  <si>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</si>
  <si>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</si>
  <si>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</si>
  <si>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</si>
  <si>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</si>
  <si>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</si>
  <si>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</si>
  <si>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</si>
  <si>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</si>
  <si>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</si>
  <si>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</si>
  <si>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</si>
  <si>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</si>
  <si>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</si>
  <si>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</si>
  <si>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</si>
  <si>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</si>
  <si>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</si>
  <si>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</si>
  <si>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</si>
  <si>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</si>
  <si>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</si>
  <si>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</si>
  <si>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</si>
  <si>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</si>
  <si>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</si>
  <si>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</si>
  <si>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</si>
  <si>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</si>
  <si>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</si>
  <si>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</si>
  <si>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</si>
  <si>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</si>
  <si>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</si>
  <si>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</si>
  <si>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</si>
  <si>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</si>
  <si>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</si>
  <si>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</si>
  <si>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</si>
  <si>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</si>
  <si>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</si>
  <si>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</si>
  <si>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</si>
  <si>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</si>
  <si>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</si>
  <si>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</si>
  <si>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</si>
  <si>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</si>
  <si>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</si>
  <si>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</si>
  <si>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</si>
  <si>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</si>
  <si>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</si>
  <si>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</si>
  <si>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</si>
  <si>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</si>
  <si>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</si>
  <si>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</si>
  <si>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</si>
  <si>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</si>
  <si>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</si>
  <si>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</si>
  <si>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</si>
  <si>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</si>
  <si>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</si>
  <si>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</si>
  <si>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</si>
  <si>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</si>
  <si>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</si>
  <si>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</si>
  <si>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</si>
  <si>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</si>
  <si>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</si>
  <si>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</si>
  <si>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</si>
  <si>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</si>
  <si>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</si>
  <si>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</si>
  <si>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</si>
  <si>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</si>
  <si>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</si>
  <si>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</si>
  <si>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</si>
  <si>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</si>
  <si>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</si>
  <si>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</si>
  <si>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</si>
  <si>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</si>
  <si>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</si>
  <si>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</si>
  <si>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</si>
  <si>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</si>
  <si>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</si>
  <si>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</si>
  <si>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</si>
  <si>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</si>
  <si>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</si>
  <si>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</si>
  <si>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</si>
  <si>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</si>
  <si>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</si>
  <si>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</si>
  <si>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</si>
  <si>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</si>
  <si>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</si>
  <si>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</si>
  <si>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</si>
  <si>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</si>
  <si>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</si>
  <si>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</si>
  <si>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</si>
  <si>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</si>
  <si>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</si>
  <si>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</si>
  <si>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</si>
  <si>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</si>
  <si>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</si>
  <si>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</si>
  <si>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</si>
  <si>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</si>
  <si>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</si>
  <si>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</si>
  <si>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</si>
  <si>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</si>
  <si>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</si>
  <si>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</si>
  <si>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</si>
  <si>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</si>
  <si>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</si>
  <si>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</si>
  <si>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</si>
  <si>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</si>
  <si>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</si>
  <si>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</si>
  <si>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</si>
  <si>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</si>
  <si>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</si>
  <si>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</si>
  <si>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</si>
  <si>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</si>
  <si>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</si>
  <si>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</si>
  <si>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</si>
  <si>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</si>
  <si>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</si>
  <si>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</si>
  <si>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</si>
  <si>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</si>
  <si>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</si>
  <si>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</si>
  <si>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</si>
  <si>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</si>
  <si>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</si>
  <si>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</si>
  <si>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</si>
  <si>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</si>
  <si>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</si>
  <si>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</si>
  <si>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</si>
  <si>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</si>
  <si>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</si>
  <si>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</si>
  <si>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</si>
  <si>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</si>
  <si>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</si>
  <si>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</si>
  <si>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</si>
  <si>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</si>
  <si>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</si>
  <si>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</si>
  <si>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</si>
  <si>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</si>
  <si>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</si>
  <si>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</si>
  <si>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</si>
  <si>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</si>
  <si>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</si>
  <si>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</si>
  <si>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</si>
  <si>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</si>
  <si>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</si>
  <si>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</si>
  <si>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</si>
  <si>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</si>
  <si>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</si>
  <si>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</si>
  <si>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</si>
  <si>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</si>
  <si>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</si>
  <si>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</si>
  <si>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</si>
  <si>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</si>
  <si>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</si>
  <si>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</si>
  <si>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</si>
  <si>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</si>
  <si>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</si>
  <si>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</si>
  <si>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</si>
  <si>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</si>
  <si>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</si>
  <si>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</si>
  <si>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</si>
  <si>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</si>
  <si>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</si>
  <si>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</si>
  <si>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</si>
  <si>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</si>
  <si>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</si>
  <si>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</si>
  <si>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</si>
  <si>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</si>
  <si>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</si>
  <si>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</si>
  <si>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</si>
  <si>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</si>
  <si>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</si>
  <si>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</si>
  <si>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</si>
  <si>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</si>
  <si>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</si>
  <si>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</si>
  <si>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</si>
  <si>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</si>
  <si>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</si>
  <si>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</si>
  <si>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</si>
  <si>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</si>
  <si>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</si>
  <si>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</si>
  <si>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</si>
  <si>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</si>
  <si>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</si>
  <si>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</si>
  <si>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</si>
  <si>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</si>
  <si>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</si>
  <si>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</si>
  <si>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</si>
  <si>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</si>
  <si>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</si>
  <si>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</si>
  <si>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</si>
  <si>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</si>
  <si>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</si>
  <si>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</si>
  <si>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</si>
  <si>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</si>
  <si>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</si>
  <si>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</si>
  <si>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</si>
  <si>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</si>
  <si>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</si>
  <si>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</si>
  <si>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</si>
  <si>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</si>
  <si>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</si>
  <si>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</si>
  <si>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</si>
  <si>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</si>
  <si>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</si>
  <si>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</si>
  <si>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</si>
  <si>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</si>
  <si>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</si>
  <si>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</si>
  <si>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</si>
  <si>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</si>
  <si>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</si>
  <si>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</si>
  <si>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</si>
  <si>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</si>
  <si>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</si>
  <si>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</si>
  <si>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</si>
  <si>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</si>
  <si>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</si>
  <si>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</si>
  <si>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</si>
  <si>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</si>
  <si>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</si>
  <si>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</si>
  <si>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</si>
  <si>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</si>
  <si>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</si>
  <si>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</si>
  <si>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</si>
  <si>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</si>
  <si>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</si>
  <si>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</si>
  <si>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</si>
  <si>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</si>
  <si>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</si>
  <si>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</si>
  <si>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</si>
  <si>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</si>
  <si>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</si>
  <si>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</si>
  <si>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</si>
  <si>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</si>
  <si>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</si>
  <si>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</si>
  <si>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</si>
  <si>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</si>
  <si>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</si>
  <si>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</si>
  <si>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</si>
  <si>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</si>
  <si>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</si>
  <si>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</si>
  <si>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</si>
  <si>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</si>
  <si>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</si>
  <si>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</si>
  <si>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</si>
  <si>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</si>
  <si>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</si>
  <si>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</si>
  <si>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</si>
  <si>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</si>
  <si>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</si>
  <si>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</si>
  <si>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</si>
  <si>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</si>
  <si>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</si>
  <si>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</si>
  <si>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</si>
  <si>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</si>
  <si>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</si>
  <si>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</si>
  <si>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</si>
  <si>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</si>
  <si>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</si>
  <si>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</si>
  <si>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</si>
  <si>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</si>
  <si>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</si>
  <si>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</si>
  <si>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</si>
  <si>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</si>
  <si>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</si>
  <si>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</si>
  <si>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</si>
  <si>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</si>
  <si>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</si>
  <si>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</si>
  <si>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</si>
  <si>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</si>
  <si>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</si>
  <si>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</si>
  <si>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</si>
  <si>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</si>
  <si>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</si>
  <si>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</si>
  <si>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</si>
  <si>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</si>
  <si>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</si>
  <si>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</si>
  <si>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</si>
  <si>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</si>
  <si>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</si>
  <si>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</si>
  <si>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</si>
  <si>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</si>
  <si>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</si>
  <si>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</si>
  <si>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</si>
  <si>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</si>
  <si>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</si>
  <si>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</si>
  <si>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</si>
  <si>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</si>
  <si>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</si>
  <si>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</si>
  <si>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</si>
  <si>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</si>
  <si>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</si>
  <si>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</si>
  <si>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</si>
  <si>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</si>
  <si>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</si>
  <si>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</si>
  <si>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</si>
  <si>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</si>
  <si>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</si>
  <si>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</si>
  <si>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</si>
  <si>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</si>
  <si>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</si>
  <si>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</si>
  <si>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</si>
  <si>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</si>
  <si>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</si>
  <si>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</si>
  <si>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</si>
  <si>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</si>
  <si>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</si>
  <si>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</si>
  <si>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</si>
  <si>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</si>
  <si>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</si>
  <si>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</si>
  <si>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</si>
  <si>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</si>
  <si>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</si>
  <si>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</si>
  <si>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</si>
  <si>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</si>
  <si>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</si>
  <si>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</si>
  <si>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</si>
  <si>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</si>
  <si>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</si>
  <si>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</si>
  <si>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</si>
  <si>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</si>
  <si>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</si>
  <si>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</si>
  <si>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</si>
  <si>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</si>
  <si>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</si>
  <si>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</si>
  <si>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</si>
  <si>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</si>
  <si>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</si>
  <si>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</si>
  <si>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</si>
  <si>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</si>
  <si>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</si>
  <si>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</si>
  <si>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</si>
  <si>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</si>
  <si>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</si>
  <si>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</si>
  <si>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</si>
  <si>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</si>
  <si>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</si>
  <si>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</si>
  <si>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</si>
  <si>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</si>
  <si>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</si>
  <si>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</si>
  <si>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</si>
  <si>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</si>
  <si>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</si>
  <si>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</si>
  <si>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</si>
  <si>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</si>
  <si>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</si>
  <si>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</si>
  <si>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</si>
  <si>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</si>
  <si>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</si>
  <si>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</si>
  <si>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</si>
  <si>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</si>
  <si>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</si>
  <si>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</si>
  <si>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</si>
  <si>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</si>
  <si>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</si>
  <si>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</si>
  <si>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</si>
  <si>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</si>
  <si>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</si>
  <si>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</si>
  <si>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</si>
  <si>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</si>
  <si>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</si>
  <si>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</si>
  <si>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</si>
  <si>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</si>
  <si>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</si>
  <si>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</si>
  <si>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</si>
  <si>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</si>
  <si>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</si>
  <si>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</si>
  <si>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</si>
  <si>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</si>
  <si>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</si>
  <si>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</si>
  <si>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</si>
  <si>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</si>
  <si>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</si>
  <si>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</si>
  <si>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</si>
  <si>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</si>
  <si>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</si>
  <si>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</si>
  <si>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</si>
  <si>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</si>
  <si>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</si>
  <si>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</si>
  <si>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</si>
  <si>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</si>
  <si>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</si>
  <si>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</si>
  <si>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</si>
  <si>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</si>
  <si>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</si>
  <si>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</si>
  <si>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</si>
  <si>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</si>
  <si>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</si>
  <si>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</si>
  <si>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</si>
  <si>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</si>
  <si>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</si>
  <si>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</si>
  <si>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</si>
  <si>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</si>
  <si>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</si>
  <si>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</si>
  <si>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</si>
  <si>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</si>
  <si>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</si>
  <si>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</si>
  <si>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</si>
  <si>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</si>
  <si>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</si>
  <si>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</si>
  <si>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</si>
  <si>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</si>
  <si>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</si>
  <si>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</si>
  <si>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</si>
  <si>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</si>
  <si>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</si>
  <si>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</si>
  <si>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</si>
  <si>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</si>
  <si>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</si>
  <si>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</si>
  <si>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</si>
  <si>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</si>
  <si>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</si>
  <si>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</si>
  <si>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</si>
  <si>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</si>
  <si>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</si>
  <si>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</si>
  <si>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</si>
  <si>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</si>
  <si>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</si>
  <si>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</si>
  <si>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</si>
  <si>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</si>
  <si>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</si>
  <si>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</si>
  <si>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</si>
  <si>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</si>
  <si>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</si>
  <si>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</si>
  <si>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</si>
  <si>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</si>
  <si>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</si>
  <si>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</si>
  <si>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</si>
  <si>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</si>
  <si>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</si>
  <si>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</si>
  <si>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</si>
  <si>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</si>
  <si>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</si>
  <si>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</si>
  <si>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</si>
  <si>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</si>
  <si>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</si>
  <si>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</si>
  <si>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</si>
  <si>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</si>
  <si>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</si>
  <si>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</si>
  <si>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</si>
  <si>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</si>
  <si>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</si>
  <si>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</si>
  <si>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</si>
  <si>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</si>
  <si>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</si>
  <si>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</si>
  <si>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</si>
  <si>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</si>
  <si>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</si>
  <si>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</si>
  <si>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</si>
  <si>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</si>
  <si>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</si>
  <si>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</si>
  <si>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</si>
  <si>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</si>
  <si>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</si>
  <si>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</si>
  <si>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</si>
  <si>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</si>
  <si>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</si>
  <si>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</si>
  <si>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</si>
  <si>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</si>
  <si>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</si>
  <si>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</si>
  <si>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</si>
  <si>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</si>
  <si>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</si>
  <si>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</si>
  <si>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</si>
  <si>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</si>
  <si>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</si>
  <si>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</si>
  <si>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</si>
  <si>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</si>
  <si>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</si>
  <si>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</si>
  <si>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</si>
  <si>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</si>
  <si>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</si>
  <si>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</si>
  <si>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</si>
  <si>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</si>
  <si>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</si>
  <si>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</si>
  <si>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</si>
  <si>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</si>
  <si>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</si>
  <si>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</si>
  <si>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</si>
  <si>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</si>
  <si>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</si>
  <si>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</si>
  <si>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</si>
  <si>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</si>
  <si>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</si>
  <si>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</si>
  <si>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</si>
  <si>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</si>
  <si>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</si>
  <si>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</si>
  <si>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</si>
  <si>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</si>
  <si>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</si>
  <si>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</si>
  <si>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</si>
  <si>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</si>
  <si>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</si>
  <si>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</si>
  <si>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</si>
  <si>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</si>
  <si>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</si>
  <si>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</si>
  <si>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</si>
  <si>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</si>
  <si>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</si>
  <si>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</si>
  <si>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</si>
  <si>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</si>
  <si>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</si>
  <si>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</si>
  <si>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</si>
  <si>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</si>
  <si>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</si>
  <si>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</si>
  <si>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</si>
  <si>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</si>
  <si>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</si>
  <si>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</si>
  <si>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</si>
  <si>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</si>
  <si>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</si>
  <si>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</si>
  <si>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</si>
  <si>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</si>
  <si>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</si>
  <si>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</si>
  <si>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</si>
  <si>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</si>
  <si>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</si>
  <si>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</si>
  <si>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</si>
  <si>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</si>
  <si>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</si>
  <si>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</si>
  <si>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</si>
  <si>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</si>
  <si>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</si>
  <si>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</si>
  <si>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</si>
  <si>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</si>
  <si>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</si>
  <si>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</si>
  <si>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</si>
  <si>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</si>
  <si>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</si>
  <si>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</si>
  <si>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</si>
  <si>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</si>
  <si>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</si>
  <si>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</si>
  <si>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</si>
  <si>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</si>
  <si>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</si>
  <si>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</si>
  <si>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</si>
  <si>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</si>
  <si>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</si>
  <si>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</si>
  <si>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</si>
  <si>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</si>
  <si>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</si>
  <si>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</si>
  <si>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</si>
  <si>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</si>
  <si>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</si>
  <si>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</si>
  <si>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</si>
  <si>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</si>
  <si>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</si>
  <si>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</si>
  <si>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</si>
  <si>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</si>
  <si>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</si>
  <si>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</si>
  <si>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</si>
  <si>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</si>
  <si>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</si>
  <si>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</si>
  <si>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</si>
  <si>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</si>
  <si>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</si>
  <si>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</si>
  <si>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</si>
  <si>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</si>
  <si>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</si>
  <si>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</si>
  <si>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</si>
  <si>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</si>
  <si>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</si>
  <si>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</si>
  <si>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</si>
  <si>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</si>
  <si>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</si>
  <si>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</si>
  <si>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</si>
  <si>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</si>
  <si>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</si>
  <si>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</si>
  <si>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</si>
  <si>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</si>
  <si>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</si>
  <si>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</si>
  <si>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</si>
  <si>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</si>
  <si>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</si>
  <si>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</si>
  <si>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</si>
  <si>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</si>
  <si>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</si>
  <si>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</si>
  <si>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</si>
  <si>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</si>
  <si>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</si>
  <si>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</si>
  <si>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</si>
  <si>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</si>
  <si>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</si>
  <si>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</si>
  <si>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</si>
  <si>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</si>
  <si>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</si>
  <si>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</si>
  <si>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</si>
  <si>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</si>
  <si>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</si>
  <si>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</si>
  <si>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</si>
  <si>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</si>
  <si>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</si>
  <si>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</si>
  <si>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</si>
  <si>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</si>
  <si>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</si>
  <si>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</si>
  <si>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</si>
  <si>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</si>
  <si>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</si>
  <si>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</si>
  <si>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</si>
  <si>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</si>
  <si>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</si>
  <si>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</si>
  <si>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</si>
  <si>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</si>
  <si>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</si>
  <si>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</si>
  <si>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</si>
  <si>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</si>
  <si>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</si>
  <si>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</si>
  <si>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</si>
  <si>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</si>
  <si>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</si>
  <si>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</si>
  <si>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</si>
  <si>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</si>
  <si>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</si>
  <si>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</si>
  <si>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</si>
  <si>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</si>
  <si>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</si>
  <si>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</si>
  <si>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</si>
  <si>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</si>
  <si>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</si>
  <si>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</si>
  <si>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</si>
  <si>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</si>
  <si>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</si>
  <si>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</si>
  <si>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</si>
  <si>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</si>
  <si>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</si>
  <si>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</si>
  <si>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</si>
  <si>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</si>
  <si>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</si>
  <si>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</si>
  <si>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</si>
  <si>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</si>
  <si>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</si>
  <si>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</si>
  <si>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</si>
  <si>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</si>
  <si>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</si>
  <si>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</si>
  <si>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</si>
  <si>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</si>
  <si>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</si>
  <si>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</si>
  <si>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</si>
  <si>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</si>
  <si>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</si>
  <si>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</si>
  <si>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</si>
  <si>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</si>
  <si>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</si>
  <si>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</si>
  <si>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</si>
  <si>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</si>
  <si>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</si>
  <si>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</si>
  <si>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</si>
  <si>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</si>
  <si>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</si>
  <si>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</si>
  <si>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</si>
  <si>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</si>
  <si>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</si>
  <si>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</si>
  <si>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</si>
  <si>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</si>
  <si>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</si>
  <si>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</si>
  <si>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</si>
  <si>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</si>
  <si>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</si>
  <si>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</si>
  <si>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</si>
  <si>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</si>
  <si>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</si>
  <si>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</si>
  <si>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</si>
  <si>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</si>
  <si>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</si>
  <si>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</si>
  <si>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</si>
  <si>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</si>
  <si>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</si>
  <si>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</si>
  <si>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</si>
  <si>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</si>
  <si>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</si>
  <si>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</si>
  <si>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</si>
  <si>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</si>
  <si>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</si>
  <si>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</si>
  <si>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</si>
  <si>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</si>
  <si>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</si>
  <si>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</si>
  <si>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</si>
  <si>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</si>
  <si>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</si>
  <si>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</si>
  <si>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</si>
  <si>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</si>
  <si>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</si>
  <si>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</si>
  <si>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</si>
  <si>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</si>
  <si>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</si>
  <si>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</si>
  <si>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</si>
  <si>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</si>
  <si>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</si>
  <si>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</si>
  <si>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</si>
  <si>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</si>
  <si>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</si>
  <si>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</si>
  <si>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</si>
  <si>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</si>
  <si>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</si>
  <si>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</si>
  <si>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</si>
  <si>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</si>
  <si>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</si>
  <si>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</si>
  <si>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</si>
  <si>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</si>
  <si>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</si>
  <si>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</si>
  <si>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</si>
  <si>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</si>
  <si>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</si>
  <si>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</si>
  <si>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</si>
  <si>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</si>
  <si>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</si>
  <si>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</si>
  <si>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</si>
  <si>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</si>
  <si>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</si>
  <si>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</si>
  <si>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</si>
  <si>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</si>
  <si>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</si>
  <si>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</si>
  <si>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</si>
  <si>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</si>
  <si>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</si>
  <si>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</si>
  <si>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</si>
  <si>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</si>
  <si>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</si>
  <si>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</si>
  <si>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</si>
  <si>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</si>
  <si>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</si>
  <si>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</si>
  <si>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</si>
  <si>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</si>
  <si>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</si>
  <si>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</si>
  <si>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</si>
  <si>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</si>
  <si>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</si>
  <si>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</si>
  <si>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</si>
  <si>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</si>
  <si>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</si>
  <si>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</si>
  <si>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</si>
  <si>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</si>
  <si>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</si>
  <si>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</si>
  <si>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</si>
  <si>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</si>
  <si>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</si>
  <si>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</si>
  <si>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</si>
  <si>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</si>
  <si>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</si>
  <si>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</si>
  <si>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</si>
  <si>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</si>
  <si>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</si>
  <si>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</si>
  <si>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</si>
  <si>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</si>
  <si>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</si>
  <si>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</si>
  <si>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</si>
  <si>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</si>
  <si>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</si>
  <si>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</si>
  <si>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</si>
  <si>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</si>
  <si>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</si>
  <si>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</si>
  <si>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</si>
  <si>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</si>
  <si>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</si>
  <si>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</si>
  <si>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</si>
  <si>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</si>
  <si>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</si>
  <si>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</si>
  <si>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</si>
  <si>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</si>
  <si>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</si>
  <si>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</si>
  <si>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</si>
  <si>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</si>
  <si>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</si>
  <si>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</si>
  <si>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</si>
  <si>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</si>
  <si>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</si>
  <si>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</si>
  <si>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</si>
  <si>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</si>
  <si>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</si>
  <si>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</si>
  <si>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</si>
  <si>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</si>
  <si>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</si>
  <si>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</si>
  <si>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</si>
  <si>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</si>
  <si>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</si>
  <si>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</si>
  <si>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</si>
  <si>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</si>
  <si>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</si>
  <si>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</si>
  <si>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</si>
  <si>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</si>
  <si>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</si>
  <si>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</si>
  <si>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</si>
  <si>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</si>
  <si>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</si>
  <si>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</si>
  <si>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</si>
  <si>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</si>
  <si>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</si>
  <si>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</si>
  <si>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</si>
  <si>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</si>
  <si>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</si>
  <si>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</si>
  <si>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</si>
  <si>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</si>
  <si>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</si>
  <si>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</si>
  <si>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</si>
  <si>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</si>
  <si>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</si>
  <si>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</si>
  <si>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</si>
  <si>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</si>
  <si>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</si>
  <si>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</si>
  <si>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</si>
  <si>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</si>
  <si>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</si>
  <si>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</si>
  <si>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</si>
  <si>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</si>
  <si>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</si>
  <si>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</si>
  <si>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</si>
  <si>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</si>
  <si>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</si>
  <si>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</si>
  <si>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</si>
  <si>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</si>
  <si>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</si>
  <si>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</si>
  <si>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</si>
  <si>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</si>
  <si>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</si>
  <si>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</si>
  <si>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</si>
  <si>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</si>
  <si>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</si>
  <si>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</si>
  <si>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</si>
  <si>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</si>
  <si>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</si>
  <si>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</si>
  <si>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</si>
  <si>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</si>
  <si>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</si>
  <si>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</si>
  <si>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</si>
  <si>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</si>
  <si>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</si>
  <si>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</si>
  <si>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</si>
  <si>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</si>
  <si>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</si>
  <si>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</si>
  <si>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</si>
  <si>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</si>
  <si>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</si>
  <si>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</si>
  <si>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</si>
  <si>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</si>
  <si>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</si>
  <si>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</si>
  <si>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</si>
  <si>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</si>
  <si>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</si>
  <si>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</si>
  <si>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</si>
  <si>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</si>
  <si>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</si>
  <si>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</si>
  <si>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</si>
  <si>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</si>
  <si>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</si>
  <si>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</si>
  <si>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</si>
  <si>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</si>
  <si>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</si>
  <si>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</si>
  <si>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</si>
  <si>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</si>
  <si>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</si>
  <si>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</si>
  <si>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</si>
  <si>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</si>
  <si>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</si>
  <si>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</si>
  <si>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</si>
  <si>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</si>
  <si>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</si>
  <si>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</si>
  <si>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</si>
  <si>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</si>
  <si>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</si>
  <si>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</si>
  <si>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</si>
  <si>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</si>
  <si>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</si>
  <si>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</si>
  <si>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</si>
  <si>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</si>
  <si>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</si>
  <si>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</si>
  <si>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</si>
  <si>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</si>
  <si>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</si>
  <si>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</si>
  <si>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</si>
  <si>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</si>
  <si>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</si>
  <si>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</si>
  <si>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</si>
  <si>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</si>
  <si>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</si>
  <si>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</si>
  <si>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</si>
  <si>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</si>
  <si>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</si>
  <si>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</si>
  <si>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</si>
  <si>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</si>
  <si>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</si>
  <si>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</si>
  <si>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</si>
  <si>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</si>
  <si>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</si>
  <si>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</si>
  <si>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</si>
  <si>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</si>
  <si>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</si>
  <si>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</si>
  <si>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</si>
  <si>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</si>
  <si>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</si>
  <si>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</si>
  <si>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</si>
  <si>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</si>
  <si>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</si>
  <si>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</si>
  <si>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</si>
  <si>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</si>
  <si>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</si>
  <si>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</si>
  <si>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</si>
  <si>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</si>
  <si>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</si>
  <si>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</si>
  <si>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</si>
  <si>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</si>
  <si>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</si>
  <si>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</si>
  <si>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</si>
  <si>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</si>
  <si>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</si>
  <si>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</si>
  <si>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</si>
  <si>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</si>
  <si>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</si>
  <si>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</si>
  <si>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</si>
  <si>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</si>
  <si>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</si>
  <si>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</si>
  <si>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</si>
  <si>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</si>
  <si>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</si>
  <si>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</si>
  <si>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</si>
  <si>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</si>
  <si>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</si>
  <si>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</si>
  <si>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</si>
  <si>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</si>
  <si>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</si>
  <si>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</si>
  <si>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</si>
  <si>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</si>
  <si>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</si>
  <si>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</si>
  <si>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</si>
  <si>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</si>
  <si>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</si>
  <si>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</si>
  <si>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</si>
  <si>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</si>
  <si>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</si>
  <si>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</si>
  <si>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</si>
  <si>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</si>
  <si>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</si>
  <si>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</si>
  <si>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</si>
  <si>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</si>
  <si>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</si>
  <si>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</si>
  <si>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</si>
  <si>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</si>
  <si>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</si>
  <si>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</si>
  <si>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</si>
  <si>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</si>
  <si>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</si>
  <si>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</si>
  <si>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</si>
  <si>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</si>
  <si>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</si>
  <si>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</si>
  <si>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</si>
  <si>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</si>
  <si>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</si>
  <si>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</si>
  <si>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</si>
  <si>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</si>
  <si>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</si>
  <si>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</si>
  <si>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</si>
  <si>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</si>
  <si>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</si>
  <si>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</si>
  <si>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</si>
  <si>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</si>
  <si>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</si>
  <si>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</si>
  <si>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</si>
  <si>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</si>
  <si>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</si>
  <si>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</si>
  <si>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</si>
  <si>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</si>
  <si>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</si>
  <si>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</si>
  <si>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</si>
  <si>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</si>
  <si>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</si>
  <si>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</si>
  <si>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</si>
  <si>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</si>
  <si>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</si>
  <si>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</si>
  <si>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</si>
  <si>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</si>
  <si>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</si>
  <si>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</si>
  <si>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</si>
  <si>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</si>
  <si>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</si>
  <si>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</si>
  <si>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</si>
  <si>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</si>
  <si>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</si>
  <si>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</si>
  <si>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</si>
  <si>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</si>
  <si>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</si>
  <si>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</si>
  <si>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</si>
  <si>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</si>
  <si>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</si>
  <si>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</si>
  <si>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</si>
  <si>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</si>
  <si>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</si>
  <si>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</si>
  <si>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</si>
  <si>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</si>
  <si>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</si>
  <si>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</si>
  <si>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</si>
  <si>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</si>
  <si>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</si>
  <si>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</si>
  <si>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</si>
  <si>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</si>
  <si>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</si>
  <si>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</si>
  <si>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</si>
  <si>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</si>
  <si>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</si>
  <si>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</si>
  <si>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</si>
  <si>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</si>
  <si>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</si>
  <si>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</si>
  <si>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</si>
  <si>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</si>
  <si>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</si>
  <si>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</si>
  <si>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</si>
  <si>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</si>
  <si>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</si>
  <si>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</si>
  <si>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</si>
  <si>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</si>
  <si>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</si>
  <si>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</si>
  <si>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</si>
  <si>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</si>
  <si>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</si>
  <si>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</si>
  <si>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</si>
  <si>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</si>
  <si>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</si>
  <si>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</si>
  <si>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</si>
  <si>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</si>
  <si>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</si>
  <si>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</si>
  <si>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</si>
  <si>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</si>
  <si>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</si>
  <si>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</si>
  <si>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</si>
  <si>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</si>
  <si>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</si>
  <si>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</si>
  <si>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</si>
  <si>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</si>
  <si>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</si>
  <si>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</si>
  <si>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</si>
  <si>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</si>
  <si>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</si>
  <si>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</si>
  <si>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</si>
  <si>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</si>
  <si>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</si>
  <si>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</si>
  <si>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</si>
  <si>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</si>
  <si>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</si>
  <si>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</si>
  <si>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</si>
  <si>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</si>
  <si>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</si>
  <si>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</si>
  <si>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</si>
  <si>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</si>
  <si>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</si>
  <si>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</si>
  <si>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</si>
  <si>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</si>
  <si>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</si>
  <si>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</si>
  <si>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</si>
  <si>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</si>
  <si>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</si>
  <si>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</si>
  <si>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</si>
  <si>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</si>
  <si>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</si>
  <si>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</si>
  <si>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</si>
  <si>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</si>
  <si>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</si>
  <si>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</si>
  <si>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</si>
  <si>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</si>
  <si>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</si>
  <si>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</si>
  <si>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</si>
  <si>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</si>
  <si>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</si>
  <si>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</si>
  <si>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</si>
  <si>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</si>
  <si>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</si>
  <si>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</si>
  <si>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</si>
  <si>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</si>
  <si>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</si>
  <si>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</si>
  <si>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</si>
  <si>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</si>
  <si>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</si>
  <si>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</si>
  <si>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</si>
  <si>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</si>
  <si>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</si>
  <si>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</si>
  <si>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</si>
  <si>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</si>
  <si>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</si>
  <si>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</si>
  <si>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</si>
  <si>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</si>
  <si>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</si>
  <si>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</si>
  <si>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</si>
  <si>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</si>
  <si>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</si>
  <si>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</si>
  <si>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</si>
  <si>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</si>
  <si>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</si>
  <si>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</si>
  <si>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</si>
  <si>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</si>
  <si>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</si>
  <si>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</si>
  <si>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</si>
  <si>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</si>
  <si>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</si>
  <si>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</si>
  <si>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</si>
  <si>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</si>
  <si>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</si>
  <si>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</si>
  <si>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</si>
  <si>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</si>
  <si>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</si>
  <si>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</si>
  <si>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</si>
  <si>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</si>
  <si>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</si>
  <si>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</si>
  <si>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</si>
  <si>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</si>
  <si>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</si>
  <si>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</si>
  <si>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</si>
  <si>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</si>
  <si>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</si>
  <si>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</si>
  <si>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</si>
  <si>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</si>
  <si>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</si>
  <si>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</si>
  <si>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</si>
  <si>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</si>
  <si>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</si>
  <si>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</si>
  <si>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</si>
  <si>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</si>
  <si>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</si>
  <si>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</si>
  <si>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</si>
  <si>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</si>
  <si>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</si>
  <si>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</si>
  <si>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</si>
  <si>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</si>
  <si>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</si>
  <si>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</si>
  <si>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</si>
  <si>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</si>
  <si>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</si>
  <si>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</si>
  <si>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</si>
  <si>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</si>
  <si>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</si>
  <si>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</si>
  <si>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</si>
  <si>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</si>
  <si>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</si>
  <si>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</si>
  <si>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</si>
  <si>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</si>
  <si>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</si>
  <si>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</si>
  <si>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</si>
  <si>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</si>
  <si>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</si>
  <si>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</si>
  <si>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</si>
  <si>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</si>
  <si>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</si>
  <si>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</si>
  <si>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</si>
  <si>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</si>
  <si>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</si>
  <si>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</si>
  <si>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</si>
  <si>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</si>
  <si>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</si>
  <si>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</si>
  <si>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</si>
  <si>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</si>
  <si>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</si>
  <si>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</si>
  <si>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</si>
  <si>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</si>
  <si>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</si>
  <si>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</si>
  <si>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</si>
  <si>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</si>
  <si>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</si>
  <si>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</si>
  <si>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</si>
  <si>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</si>
  <si>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</si>
  <si>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</si>
  <si>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</si>
  <si>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</si>
  <si>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</si>
  <si>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</si>
  <si>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</si>
  <si>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</si>
  <si>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</si>
  <si>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</si>
  <si>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</si>
  <si>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</si>
  <si>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</si>
  <si>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</si>
  <si>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</si>
  <si>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</si>
  <si>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</si>
  <si>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</si>
  <si>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</si>
  <si>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</si>
  <si>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</si>
  <si>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</si>
  <si>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</si>
  <si>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</si>
  <si>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</si>
  <si>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</si>
  <si>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</si>
  <si>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</si>
  <si>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</si>
  <si>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</si>
  <si>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</si>
  <si>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</si>
  <si>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</si>
  <si>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</si>
  <si>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</si>
  <si>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</si>
  <si>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</si>
  <si>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</si>
  <si>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</si>
  <si>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</si>
  <si>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</si>
  <si>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</si>
  <si>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</si>
  <si>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</si>
  <si>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</si>
  <si>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</si>
  <si>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</si>
  <si>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</si>
  <si>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</si>
  <si>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</si>
  <si>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</si>
  <si>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</si>
  <si>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</si>
  <si>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</si>
  <si>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</si>
  <si>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</si>
  <si>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</si>
  <si>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</si>
  <si>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</si>
  <si>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</si>
  <si>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</si>
  <si>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</si>
  <si>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</si>
  <si>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</si>
  <si>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</si>
  <si>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</si>
  <si>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</si>
  <si>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</si>
  <si>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</si>
  <si>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</si>
  <si>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</si>
  <si>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</si>
  <si>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</si>
  <si>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</si>
  <si>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</si>
  <si>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</si>
  <si>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</si>
  <si>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</si>
  <si>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</si>
  <si>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</si>
  <si>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</si>
  <si>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</si>
  <si>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</si>
  <si>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</si>
  <si>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</si>
  <si>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</si>
  <si>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</si>
  <si>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</si>
  <si>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</si>
  <si>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</si>
  <si>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</si>
  <si>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</si>
  <si>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</si>
  <si>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</si>
  <si>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</si>
  <si>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</si>
  <si>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</si>
  <si>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</si>
  <si>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</si>
  <si>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</si>
  <si>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</si>
  <si>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</si>
  <si>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</si>
  <si>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</si>
  <si>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</si>
  <si>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</si>
  <si>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</si>
  <si>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</si>
  <si>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</si>
  <si>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</si>
  <si>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</si>
  <si>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</si>
  <si>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</si>
  <si>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</si>
  <si>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</si>
  <si>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</si>
  <si>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</si>
  <si>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</si>
  <si>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</si>
  <si>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</si>
  <si>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</si>
  <si>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</si>
  <si>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</si>
  <si>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</si>
  <si>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</si>
  <si>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</si>
  <si>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</si>
  <si>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</si>
  <si>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</si>
  <si>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</si>
  <si>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</si>
  <si>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</si>
  <si>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</si>
  <si>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</si>
  <si>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</si>
  <si>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</si>
  <si>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</si>
  <si>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</si>
  <si>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</si>
  <si>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</si>
  <si>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</si>
  <si>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</si>
  <si>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</si>
  <si>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</si>
  <si>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</si>
  <si>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</si>
  <si>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</si>
  <si>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</si>
  <si>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</si>
  <si>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</si>
  <si>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</si>
  <si>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</si>
  <si>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</si>
  <si>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</si>
  <si>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</si>
  <si>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</si>
  <si>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</si>
  <si>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</si>
  <si>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</si>
  <si>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</si>
  <si>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</si>
  <si>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</si>
  <si>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</si>
  <si>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</si>
  <si>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</si>
  <si>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</si>
  <si>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</si>
  <si>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</si>
  <si>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</si>
  <si>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</si>
  <si>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</si>
  <si>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</si>
  <si>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</si>
  <si>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</si>
  <si>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</si>
  <si>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</si>
  <si>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</si>
  <si>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</si>
  <si>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</si>
  <si>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</si>
  <si>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</si>
  <si>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</si>
  <si>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</si>
  <si>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</si>
  <si>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</si>
  <si>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</si>
  <si>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</si>
  <si>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</si>
  <si>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</si>
  <si>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</si>
  <si>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</si>
  <si>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</si>
  <si>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</si>
  <si>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</si>
  <si>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</si>
  <si>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</si>
  <si>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</si>
  <si>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</si>
  <si>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</si>
  <si>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</si>
  <si>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</si>
  <si>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</si>
  <si>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</si>
  <si>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</si>
  <si>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</si>
  <si>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</si>
  <si>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</si>
  <si>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</si>
  <si>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</si>
  <si>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</si>
  <si>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</si>
  <si>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</si>
  <si>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</si>
  <si>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</si>
  <si>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</si>
  <si>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</si>
  <si>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</si>
  <si>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</si>
  <si>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</si>
  <si>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</si>
  <si>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</si>
  <si>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</si>
  <si>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</si>
  <si>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</si>
  <si>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</si>
  <si>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</si>
  <si>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</si>
  <si>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</si>
  <si>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</si>
  <si>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</si>
  <si>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</si>
  <si>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</si>
  <si>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</si>
  <si>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</si>
  <si>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</si>
  <si>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</si>
  <si>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</si>
  <si>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</si>
  <si>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</si>
  <si>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</si>
  <si>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</si>
  <si>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</si>
  <si>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</si>
  <si>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</si>
  <si>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</si>
  <si>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</si>
  <si>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</si>
  <si>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</si>
  <si>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</si>
  <si>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</si>
  <si>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</si>
  <si>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</si>
  <si>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</si>
  <si>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</si>
  <si>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</si>
  <si>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</si>
  <si>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</si>
  <si>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</si>
  <si>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</si>
  <si>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</si>
  <si>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</si>
  <si>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</si>
  <si>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</si>
  <si>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</si>
  <si>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</si>
  <si>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</si>
  <si>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</si>
  <si>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</si>
  <si>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</si>
  <si>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</si>
  <si>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</si>
  <si>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</si>
  <si>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</si>
  <si>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</si>
  <si>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</si>
  <si>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</si>
  <si>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</si>
  <si>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</si>
  <si>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</si>
  <si>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</si>
  <si>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</si>
  <si>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</si>
  <si>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</si>
  <si>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</si>
  <si>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</si>
  <si>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</si>
  <si>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</si>
  <si>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</si>
  <si>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</si>
  <si>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</si>
  <si>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</si>
  <si>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</si>
  <si>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</si>
  <si>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</si>
  <si>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</si>
  <si>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</si>
  <si>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</si>
  <si>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</si>
  <si>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</si>
  <si>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</si>
  <si>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</si>
  <si>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</si>
  <si>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</si>
  <si>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</si>
  <si>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</si>
  <si>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</si>
  <si>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</si>
  <si>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</si>
  <si>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</si>
  <si>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</si>
  <si>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</si>
  <si>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</si>
  <si>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</si>
  <si>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</si>
  <si>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</si>
  <si>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</si>
  <si>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</si>
  <si>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</si>
  <si>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</si>
  <si>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</si>
  <si>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</si>
  <si>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</si>
  <si>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</si>
  <si>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</si>
  <si>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</si>
  <si>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</si>
  <si>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</si>
  <si>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</si>
  <si>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</si>
  <si>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</si>
  <si>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</si>
  <si>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</si>
  <si>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</si>
  <si>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</si>
  <si>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</si>
  <si>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</si>
  <si>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</si>
  <si>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</si>
  <si>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</si>
  <si>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</si>
  <si>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</si>
  <si>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</si>
  <si>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</si>
  <si>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</si>
  <si>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</si>
  <si>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</si>
  <si>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</si>
  <si>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</si>
  <si>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</si>
  <si>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</si>
  <si>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</si>
  <si>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</si>
  <si>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</si>
  <si>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</si>
  <si>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</si>
  <si>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</si>
  <si>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</si>
  <si>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</si>
  <si>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</si>
  <si>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</si>
  <si>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</si>
  <si>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</si>
  <si>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</si>
  <si>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</si>
  <si>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</si>
  <si>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</si>
  <si>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</si>
  <si>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</si>
  <si>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</si>
  <si>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</si>
  <si>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</si>
  <si>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</si>
  <si>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</si>
  <si>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</si>
  <si>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</si>
  <si>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</si>
  <si>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</si>
  <si>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</si>
  <si>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</si>
  <si>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</si>
  <si>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</si>
  <si>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</si>
  <si>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</si>
  <si>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</si>
  <si>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</si>
  <si>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</si>
  <si>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</si>
  <si>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</si>
  <si>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</si>
  <si>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</si>
  <si>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</si>
  <si>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</si>
  <si>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</si>
  <si>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</si>
  <si>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</si>
  <si>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</si>
  <si>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</si>
  <si>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</si>
  <si>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</si>
  <si>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</si>
  <si>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</si>
  <si>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</si>
  <si>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</si>
  <si>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</si>
  <si>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</si>
  <si>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</si>
  <si>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</si>
  <si>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</si>
  <si>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</si>
  <si>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</si>
  <si>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</si>
  <si>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</si>
  <si>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</si>
  <si>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</si>
  <si>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</si>
  <si>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</si>
  <si>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</si>
  <si>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</si>
  <si>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</si>
  <si>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</si>
  <si>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</si>
  <si>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</si>
  <si>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</si>
  <si>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</si>
  <si>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</si>
  <si>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</si>
  <si>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</si>
  <si>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</si>
  <si>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</si>
  <si>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</si>
  <si>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</si>
  <si>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</si>
  <si>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</si>
  <si>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</si>
  <si>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</si>
  <si>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</si>
  <si>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</si>
  <si>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</si>
  <si>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</si>
  <si>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</si>
  <si>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</si>
  <si>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</si>
  <si>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</si>
  <si>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</si>
  <si>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</si>
  <si>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</si>
  <si>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</si>
  <si>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</si>
  <si>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</si>
  <si>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</si>
  <si>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</si>
  <si>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</si>
  <si>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</si>
  <si>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</si>
  <si>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</si>
  <si>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</si>
  <si>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</si>
  <si>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</si>
  <si>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</si>
  <si>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</si>
  <si>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</si>
  <si>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</si>
  <si>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</si>
  <si>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</si>
  <si>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</si>
  <si>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</si>
  <si>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</si>
  <si>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</si>
  <si>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</si>
  <si>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</si>
  <si>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</si>
  <si>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</si>
  <si>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</si>
  <si>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</si>
  <si>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</si>
  <si>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</si>
  <si>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</si>
  <si>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</si>
  <si>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</si>
  <si>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</si>
  <si>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</si>
  <si>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</si>
  <si>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</si>
  <si>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</si>
  <si>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</si>
  <si>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</si>
  <si>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</si>
  <si>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</si>
  <si>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</si>
  <si>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</si>
  <si>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</si>
  <si>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</si>
  <si>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</si>
  <si>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</si>
  <si>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</si>
  <si>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</si>
  <si>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</si>
  <si>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</si>
  <si>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</si>
  <si>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</si>
  <si>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</si>
  <si>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</si>
  <si>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</si>
  <si>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</si>
  <si>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</si>
  <si>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</si>
  <si>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</si>
  <si>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</si>
  <si>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</si>
  <si>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</si>
  <si>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</si>
  <si>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</si>
  <si>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</si>
  <si>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</si>
  <si>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</si>
  <si>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</si>
  <si>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</si>
  <si>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</si>
  <si>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</si>
  <si>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</si>
  <si>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</si>
  <si>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</si>
  <si>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</si>
  <si>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</si>
  <si>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</si>
  <si>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</si>
  <si>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</si>
  <si>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</si>
  <si>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</si>
  <si>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</si>
  <si>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</si>
  <si>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</si>
  <si>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</si>
  <si>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</si>
  <si>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</si>
  <si>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</si>
  <si>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</si>
  <si>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</si>
  <si>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</si>
  <si>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</si>
  <si>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</si>
  <si>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</si>
  <si>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</si>
  <si>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</si>
  <si>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</si>
  <si>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</si>
  <si>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</si>
  <si>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</si>
  <si>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</si>
  <si>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</si>
  <si>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</si>
  <si>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</si>
  <si>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</si>
  <si>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</si>
  <si>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</si>
  <si>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</si>
  <si>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</si>
  <si>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</si>
  <si>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</si>
  <si>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</si>
  <si>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</si>
  <si>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</si>
  <si>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</si>
  <si>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</si>
  <si>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</si>
  <si>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</si>
  <si>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</si>
  <si>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</si>
  <si>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</si>
  <si>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</si>
  <si>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</si>
  <si>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</si>
  <si>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</si>
  <si>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</si>
  <si>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</si>
  <si>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</si>
  <si>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</si>
  <si>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</si>
  <si>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</si>
  <si>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</si>
  <si>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</si>
  <si>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</si>
  <si>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</si>
  <si>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</si>
  <si>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</si>
  <si>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</si>
  <si>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</si>
  <si>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</si>
  <si>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</si>
  <si>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</si>
  <si>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</si>
  <si>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</si>
  <si>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</si>
  <si>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</si>
  <si>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</si>
  <si>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</si>
  <si>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</si>
  <si>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</si>
  <si>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</si>
  <si>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</si>
  <si>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</si>
  <si>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</si>
  <si>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</si>
  <si>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</si>
  <si>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</si>
  <si>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</si>
  <si>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</si>
  <si>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</si>
  <si>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</si>
  <si>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</si>
  <si>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</si>
  <si>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</si>
  <si>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</si>
  <si>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</si>
  <si>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</si>
  <si>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</si>
  <si>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</si>
  <si>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</si>
  <si>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</si>
  <si>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</si>
  <si>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</si>
  <si>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</si>
  <si>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</si>
  <si>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</si>
  <si>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</si>
  <si>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</si>
  <si>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</si>
  <si>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</si>
  <si>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</si>
  <si>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</si>
  <si>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</si>
  <si>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</si>
  <si>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</si>
  <si>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</si>
  <si>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</si>
  <si>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</si>
  <si>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</si>
  <si>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</si>
  <si>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</si>
  <si>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</si>
  <si>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</si>
  <si>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</si>
  <si>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</si>
  <si>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</si>
  <si>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</si>
  <si>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</si>
  <si>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</si>
  <si>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</si>
  <si>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</si>
  <si>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</si>
  <si>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</si>
  <si>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</si>
  <si>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</si>
  <si>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</si>
  <si>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</si>
  <si>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</si>
  <si>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</si>
  <si>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</si>
  <si>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</si>
  <si>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</si>
  <si>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</si>
  <si>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</si>
  <si>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</si>
  <si>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</si>
  <si>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</si>
  <si>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</si>
  <si>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</si>
  <si>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</si>
  <si>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</si>
  <si>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</si>
  <si>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</si>
  <si>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</si>
  <si>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</si>
  <si>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</si>
  <si>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</si>
  <si>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</si>
  <si>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</si>
  <si>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</si>
  <si>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</si>
  <si>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</si>
  <si>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</si>
  <si>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</si>
  <si>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</si>
  <si>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</si>
  <si>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</si>
  <si>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</si>
  <si>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</si>
  <si>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</si>
  <si>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</si>
  <si>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</si>
  <si>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</si>
  <si>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</si>
  <si>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</si>
  <si>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</si>
  <si>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</si>
  <si>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</si>
  <si>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</si>
  <si>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</si>
  <si>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</si>
  <si>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</si>
  <si>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</si>
  <si>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</si>
  <si>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</si>
  <si>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</si>
  <si>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</si>
  <si>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</si>
  <si>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</si>
  <si>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</si>
  <si>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</si>
  <si>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</si>
  <si>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</si>
  <si>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</si>
  <si>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</si>
  <si>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</si>
  <si>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</si>
  <si>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</si>
  <si>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</si>
  <si>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</si>
  <si>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</si>
  <si>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</si>
  <si>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</si>
  <si>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</si>
  <si>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</si>
  <si>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</si>
  <si>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</si>
  <si>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</si>
  <si>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</si>
  <si>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</si>
  <si>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</si>
  <si>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</si>
  <si>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</si>
  <si>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</si>
  <si>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</si>
  <si>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</si>
  <si>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</si>
  <si>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</si>
  <si>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</si>
  <si>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</si>
  <si>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</si>
  <si>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</si>
  <si>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</si>
  <si>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</si>
  <si>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</si>
  <si>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</si>
  <si>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</si>
  <si>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</si>
  <si>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</si>
  <si>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</si>
  <si>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</si>
  <si>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</si>
  <si>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</si>
  <si>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</si>
  <si>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</si>
  <si>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</si>
  <si>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</si>
  <si>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</si>
  <si>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</si>
  <si>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</si>
  <si>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</si>
  <si>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</si>
  <si>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</si>
  <si>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</si>
  <si>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</si>
  <si>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</si>
  <si>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</si>
  <si>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</si>
  <si>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</si>
  <si>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</si>
  <si>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</si>
  <si>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</si>
  <si>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</si>
  <si>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</si>
  <si>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</si>
  <si>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</si>
  <si>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</si>
  <si>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</si>
  <si>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</si>
  <si>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</si>
  <si>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</si>
  <si>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</si>
  <si>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</si>
  <si>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</si>
  <si>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</si>
  <si>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</si>
  <si>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</si>
  <si>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</si>
  <si>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</si>
  <si>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</si>
  <si>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</si>
  <si>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</si>
  <si>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</si>
  <si>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</si>
  <si>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</si>
  <si>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</si>
  <si>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</si>
  <si>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</si>
  <si>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</si>
  <si>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</si>
  <si>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</si>
  <si>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</si>
  <si>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</si>
  <si>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</si>
  <si>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</si>
  <si>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</si>
  <si>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</si>
  <si>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</si>
  <si>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</si>
  <si>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</si>
  <si>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</si>
  <si>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</si>
  <si>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</si>
  <si>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</si>
  <si>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</si>
  <si>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</si>
  <si>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</si>
  <si>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</si>
  <si>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</si>
  <si>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</si>
  <si>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</si>
  <si>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</si>
  <si>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</si>
  <si>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</si>
  <si>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</si>
  <si>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</si>
  <si>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</si>
  <si>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</si>
  <si>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</si>
  <si>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</si>
  <si>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</si>
  <si>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</si>
  <si>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</si>
  <si>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</si>
  <si>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</si>
  <si>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</si>
  <si>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</si>
  <si>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</si>
  <si>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</si>
  <si>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</si>
  <si>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</si>
  <si>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</si>
  <si>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</si>
  <si>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</si>
  <si>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</si>
  <si>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</si>
  <si>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</si>
  <si>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</si>
  <si>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</si>
  <si>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</si>
  <si>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</si>
  <si>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</si>
  <si>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</si>
  <si>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</si>
  <si>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</si>
  <si>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</si>
  <si>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</si>
  <si>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</si>
  <si>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</si>
  <si>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</si>
  <si>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</si>
  <si>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</si>
  <si>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</si>
  <si>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</si>
  <si>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</si>
  <si>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</si>
  <si>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</si>
  <si>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</si>
  <si>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</si>
  <si>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</si>
  <si>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</si>
  <si>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</si>
  <si>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</si>
  <si>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</si>
  <si>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</si>
  <si>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</si>
  <si>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</si>
  <si>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</si>
  <si>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</si>
  <si>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</si>
  <si>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</si>
  <si>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</si>
  <si>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</si>
  <si>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</si>
  <si>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</si>
  <si>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</si>
  <si>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</si>
  <si>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</si>
  <si>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</si>
  <si>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</si>
  <si>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</si>
  <si>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</si>
  <si>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</si>
  <si>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</si>
  <si>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</si>
  <si>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</si>
  <si>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</si>
  <si>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</si>
  <si>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</si>
  <si>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</si>
  <si>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</si>
  <si>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</si>
  <si>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</si>
  <si>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</si>
  <si>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</si>
  <si>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</si>
  <si>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</si>
  <si>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</si>
  <si>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</si>
  <si>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</si>
  <si>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</si>
  <si>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</si>
  <si>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</si>
  <si>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</si>
  <si>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</si>
  <si>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</si>
  <si>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</si>
  <si>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</si>
  <si>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</si>
  <si>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</si>
  <si>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</si>
  <si>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</si>
  <si>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</si>
  <si>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</si>
  <si>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</si>
  <si>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</si>
  <si>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</si>
  <si>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</si>
  <si>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</si>
  <si>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</si>
  <si>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</si>
  <si>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</si>
  <si>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</si>
  <si>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</si>
  <si>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</si>
  <si>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</si>
  <si>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</si>
  <si>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</si>
  <si>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</si>
  <si>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</si>
  <si>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</si>
  <si>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</si>
  <si>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</si>
  <si>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</si>
  <si>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</si>
  <si>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</si>
  <si>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</si>
  <si>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</si>
  <si>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</si>
  <si>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</si>
  <si>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</si>
  <si>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</si>
  <si>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</si>
  <si>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</si>
  <si>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</si>
  <si>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</si>
  <si>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</si>
  <si>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</si>
  <si>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</si>
  <si>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</si>
  <si>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</si>
  <si>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</si>
  <si>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</si>
  <si>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</si>
  <si>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</si>
  <si>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</si>
  <si>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</si>
  <si>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</si>
  <si>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</si>
  <si>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</si>
  <si>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</si>
  <si>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</si>
  <si>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</si>
  <si>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</si>
  <si>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</si>
  <si>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</si>
  <si>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</si>
  <si>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</si>
  <si>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</si>
  <si>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</si>
  <si>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</si>
  <si>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</si>
  <si>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</si>
  <si>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</si>
  <si>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</si>
  <si>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</si>
  <si>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</si>
  <si>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</si>
  <si>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</si>
  <si>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</si>
  <si>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</si>
  <si>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</si>
  <si>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</si>
  <si>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</si>
  <si>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</si>
  <si>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</si>
  <si>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</si>
  <si>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</si>
  <si>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</si>
  <si>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</si>
  <si>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</si>
  <si>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</si>
  <si>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</si>
  <si>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</si>
  <si>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</si>
  <si>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</si>
  <si>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</si>
  <si>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</si>
  <si>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</si>
  <si>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</si>
  <si>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</si>
  <si>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</si>
  <si>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</si>
  <si>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</si>
  <si>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</si>
  <si>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</si>
  <si>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</si>
  <si>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r>
      <rPr>
        <sz val="11"/>
        <color theme="1"/>
        <rFont val="华文细黑"/>
        <family val="3"/>
        <charset val="134"/>
      </rPr>
      <t>地块号</t>
    </r>
    <phoneticPr fontId="224" type="noConversion"/>
  </si>
  <si>
    <r>
      <rPr>
        <sz val="11"/>
        <color theme="1"/>
        <rFont val="华文细黑"/>
        <family val="3"/>
        <charset val="134"/>
      </rPr>
      <t>楼号</t>
    </r>
    <phoneticPr fontId="224" type="noConversion"/>
  </si>
  <si>
    <t>其他商服</t>
    <phoneticPr fontId="224" type="noConversion"/>
  </si>
  <si>
    <t>物业</t>
    <phoneticPr fontId="224" type="noConversion"/>
  </si>
  <si>
    <t>配套</t>
    <phoneticPr fontId="224" type="noConversion"/>
  </si>
  <si>
    <t>车库</t>
    <phoneticPr fontId="224" type="noConversion"/>
  </si>
  <si>
    <t>机械车库</t>
    <phoneticPr fontId="224" type="noConversion"/>
  </si>
  <si>
    <t>非机动车库</t>
    <phoneticPr fontId="224" type="noConversion"/>
  </si>
  <si>
    <r>
      <rPr>
        <sz val="11"/>
        <color theme="1"/>
        <rFont val="华文细黑"/>
        <family val="3"/>
        <charset val="134"/>
      </rPr>
      <t>套数</t>
    </r>
    <phoneticPr fontId="224" type="noConversion"/>
  </si>
  <si>
    <r>
      <t>15</t>
    </r>
    <r>
      <rPr>
        <sz val="11"/>
        <color theme="1"/>
        <rFont val="华文细黑"/>
        <family val="3"/>
        <charset val="134"/>
      </rPr>
      <t>地块</t>
    </r>
    <phoneticPr fontId="224" type="noConversion"/>
  </si>
  <si>
    <r>
      <t>1</t>
    </r>
    <r>
      <rPr>
        <sz val="11"/>
        <color theme="1"/>
        <rFont val="华文细黑"/>
        <family val="3"/>
        <charset val="134"/>
      </rPr>
      <t>号楼</t>
    </r>
    <phoneticPr fontId="224" type="noConversion"/>
  </si>
  <si>
    <r>
      <t>2</t>
    </r>
    <r>
      <rPr>
        <sz val="11"/>
        <color theme="1"/>
        <rFont val="华文细黑"/>
        <family val="3"/>
        <charset val="134"/>
      </rPr>
      <t>号楼</t>
    </r>
  </si>
  <si>
    <r>
      <t>3</t>
    </r>
    <r>
      <rPr>
        <sz val="11"/>
        <color theme="1"/>
        <rFont val="华文细黑"/>
        <family val="3"/>
        <charset val="134"/>
      </rPr>
      <t>号楼</t>
    </r>
  </si>
  <si>
    <r>
      <t>4</t>
    </r>
    <r>
      <rPr>
        <sz val="11"/>
        <color theme="1"/>
        <rFont val="华文细黑"/>
        <family val="3"/>
        <charset val="134"/>
      </rPr>
      <t>号楼</t>
    </r>
  </si>
  <si>
    <r>
      <t>5</t>
    </r>
    <r>
      <rPr>
        <sz val="11"/>
        <color theme="1"/>
        <rFont val="华文细黑"/>
        <family val="3"/>
        <charset val="134"/>
      </rPr>
      <t>号楼</t>
    </r>
  </si>
  <si>
    <r>
      <t>6</t>
    </r>
    <r>
      <rPr>
        <sz val="11"/>
        <color theme="1"/>
        <rFont val="华文细黑"/>
        <family val="3"/>
        <charset val="134"/>
      </rPr>
      <t>号楼</t>
    </r>
  </si>
  <si>
    <r>
      <t>7</t>
    </r>
    <r>
      <rPr>
        <sz val="11"/>
        <color theme="1"/>
        <rFont val="华文细黑"/>
        <family val="3"/>
        <charset val="134"/>
      </rPr>
      <t>号楼</t>
    </r>
  </si>
  <si>
    <r>
      <t>8</t>
    </r>
    <r>
      <rPr>
        <sz val="11"/>
        <color theme="1"/>
        <rFont val="华文细黑"/>
        <family val="3"/>
        <charset val="134"/>
      </rPr>
      <t>号楼</t>
    </r>
  </si>
  <si>
    <r>
      <t>9</t>
    </r>
    <r>
      <rPr>
        <sz val="11"/>
        <color theme="1"/>
        <rFont val="华文细黑"/>
        <family val="3"/>
        <charset val="134"/>
      </rPr>
      <t>号楼</t>
    </r>
  </si>
  <si>
    <r>
      <t>10</t>
    </r>
    <r>
      <rPr>
        <sz val="11"/>
        <color theme="1"/>
        <rFont val="华文细黑"/>
        <family val="3"/>
        <charset val="134"/>
      </rPr>
      <t>号楼</t>
    </r>
  </si>
  <si>
    <r>
      <t>11</t>
    </r>
    <r>
      <rPr>
        <sz val="11"/>
        <color theme="1"/>
        <rFont val="华文细黑"/>
        <family val="3"/>
        <charset val="134"/>
      </rPr>
      <t>号楼</t>
    </r>
  </si>
  <si>
    <r>
      <rPr>
        <sz val="11"/>
        <color theme="1"/>
        <rFont val="宋体"/>
        <family val="3"/>
        <charset val="134"/>
      </rPr>
      <t>合计</t>
    </r>
    <phoneticPr fontId="224" type="noConversion"/>
  </si>
  <si>
    <r>
      <t>26</t>
    </r>
    <r>
      <rPr>
        <sz val="11"/>
        <color theme="1"/>
        <rFont val="华文细黑"/>
        <family val="3"/>
        <charset val="134"/>
      </rPr>
      <t>地块</t>
    </r>
    <phoneticPr fontId="224" type="noConversion"/>
  </si>
  <si>
    <r>
      <t>12</t>
    </r>
    <r>
      <rPr>
        <sz val="11"/>
        <color theme="1"/>
        <rFont val="华文细黑"/>
        <family val="3"/>
        <charset val="134"/>
      </rPr>
      <t>号楼</t>
    </r>
  </si>
  <si>
    <r>
      <t>26地块</t>
    </r>
    <r>
      <rPr>
        <sz val="11"/>
        <color theme="1"/>
        <rFont val="华文细黑"/>
        <family val="3"/>
        <charset val="134"/>
      </rPr>
      <t/>
    </r>
  </si>
  <si>
    <r>
      <t>13号楼</t>
    </r>
    <r>
      <rPr>
        <sz val="11"/>
        <color theme="1"/>
        <rFont val="华文细黑"/>
        <family val="3"/>
        <charset val="134"/>
      </rPr>
      <t/>
    </r>
  </si>
  <si>
    <t>人防</t>
    <phoneticPr fontId="224" type="noConversion"/>
  </si>
  <si>
    <t>吴薇</t>
  </si>
  <si>
    <t>抵押</t>
  </si>
  <si>
    <t>抵押价格</t>
  </si>
  <si>
    <t>地上</t>
  </si>
  <si>
    <t>地下</t>
  </si>
  <si>
    <t>15地块</t>
    <phoneticPr fontId="3" type="noConversion"/>
  </si>
  <si>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</si>
  <si>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</si>
  <si>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</si>
  <si>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</si>
  <si>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</si>
  <si>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</si>
  <si>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</si>
  <si>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</si>
  <si>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</si>
  <si>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</si>
  <si>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</si>
  <si>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</si>
  <si>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</si>
  <si>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</si>
  <si>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</si>
  <si>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</si>
  <si>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</si>
  <si>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</si>
  <si>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</si>
  <si>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</si>
  <si>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</si>
  <si>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</si>
  <si>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</si>
  <si>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</si>
  <si>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</si>
  <si>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</si>
  <si>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</si>
  <si>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</si>
  <si>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</si>
  <si>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</si>
  <si>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</si>
  <si>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</si>
  <si>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</si>
  <si>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</si>
  <si>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</si>
  <si>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</si>
  <si>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</si>
  <si>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</si>
  <si>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</si>
  <si>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</si>
  <si>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</si>
  <si>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</si>
  <si>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</si>
  <si>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</si>
  <si>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</si>
  <si>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</si>
  <si>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</si>
  <si>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</si>
  <si>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</si>
  <si>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</si>
  <si>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</si>
  <si>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</si>
  <si>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</si>
  <si>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</si>
  <si>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</si>
  <si>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</si>
  <si>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</si>
  <si>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</si>
  <si>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</si>
  <si>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</si>
  <si>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</si>
  <si>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</si>
  <si>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</si>
  <si>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</si>
  <si>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</si>
  <si>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</si>
  <si>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</si>
  <si>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</si>
  <si>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</si>
  <si>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</si>
  <si>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</si>
  <si>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</si>
  <si>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</si>
  <si>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</si>
  <si>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</si>
  <si>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</si>
  <si>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</si>
  <si>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</si>
  <si>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</si>
  <si>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</si>
  <si>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</si>
  <si>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</si>
  <si>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</si>
  <si>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</si>
  <si>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</si>
  <si>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</si>
  <si>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</si>
  <si>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</si>
  <si>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</si>
  <si>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</si>
  <si>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</si>
  <si>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</si>
  <si>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</si>
  <si>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</si>
  <si>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</si>
  <si>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</si>
  <si>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</si>
  <si>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</si>
  <si>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</si>
  <si>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</si>
  <si>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</si>
  <si>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</si>
  <si>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</si>
  <si>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</si>
  <si>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</si>
  <si>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</si>
  <si>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</si>
  <si>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</si>
  <si>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</si>
  <si>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</si>
  <si>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</si>
  <si>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</si>
  <si>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</si>
  <si>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</si>
  <si>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</si>
  <si>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</si>
  <si>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</si>
  <si>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</si>
  <si>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</si>
  <si>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</si>
  <si>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地铁俸伯</t>
  </si>
  <si>
    <t>较不规则</t>
  </si>
  <si>
    <t>较规则</t>
  </si>
  <si>
    <t>北京市顺义区顺义新城0201街区东风商场片区项目SY00-0201-093、096地块R2二类居住用地、SY00-0201-086地块A334托幼用地</t>
    <phoneticPr fontId="224" type="noConversion"/>
  </si>
  <si>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</si>
  <si>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</si>
  <si>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</si>
  <si>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</si>
  <si>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</si>
  <si>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</si>
  <si>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</si>
  <si>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</si>
  <si>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</si>
  <si>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</si>
  <si>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</si>
  <si>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</si>
  <si>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</si>
  <si>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</si>
  <si>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</si>
  <si>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</si>
  <si>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</si>
  <si>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</si>
  <si>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</si>
  <si>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</si>
  <si>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</si>
  <si>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</si>
  <si>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</si>
  <si>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</si>
  <si>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</si>
  <si>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</si>
  <si>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</si>
  <si>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</si>
  <si>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</si>
  <si>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</si>
  <si>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</si>
  <si>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</si>
  <si>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楼面地价</t>
  </si>
  <si>
    <t>项目局部</t>
  </si>
  <si>
    <t>土地</t>
  </si>
  <si>
    <t>15地块</t>
    <phoneticPr fontId="224" type="noConversion"/>
  </si>
  <si>
    <t>26地块</t>
    <phoneticPr fontId="224" type="noConversion"/>
  </si>
  <si>
    <t>企业</t>
  </si>
  <si>
    <t>机械车位</t>
    <phoneticPr fontId="7" type="noConversion"/>
  </si>
  <si>
    <t>托幼</t>
    <phoneticPr fontId="26"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</si>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</sst>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2" xfId="0" applyFont="1" applyBorder="1">
      <alignment vertical="center"/>
    </xf>
    <xf numFmtId="0" fontId="163" fillId="0" borderId="2" xfId="0" applyFont="1" applyBorder="1">
      <alignment vertical="center"/>
    </xf>
    <xf numFmtId="0" fontId="301" fillId="0" borderId="2" xfId="0" applyFont="1" applyBorder="1">
      <alignment vertical="center"/>
    </xf>
    <xf numFmtId="14" fontId="302"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303" fillId="0" borderId="12" xfId="0" applyFont="1" applyBorder="1" applyAlignment="1" applyProtection="1">
      <alignment horizontal="left" vertical="center" wrapText="1"/>
      <protection locked="0"/>
    </xf>
    <xf numFmtId="49" fontId="303" fillId="0" borderId="12" xfId="0" applyNumberFormat="1"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306"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4" fillId="0" borderId="9" xfId="0" applyFont="1" applyBorder="1" applyAlignment="1" applyProtection="1">
      <alignment horizontal="center" vertical="center" wrapText="1"/>
      <protection locked="0"/>
    </xf>
    <xf numFmtId="0" fontId="303" fillId="0" borderId="11" xfId="0" applyFont="1" applyBorder="1" applyAlignment="1" applyProtection="1">
      <alignment horizontal="center" vertical="center" wrapText="1"/>
      <protection locked="0"/>
    </xf>
    <xf numFmtId="0" fontId="303"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33299c3a-779e-44de-8af4-8ce8be5fd7e0\2025-1-0693-&#39034;&#20041;&#22478;&#24314;&#21335;&#23665;&#39033;&#30446;26&#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AppData\Local\Temp\MicrosoftEdgeDownloads\33299c3a-779e-44de-8af4-8ce8be5fd7e0\2024&#24180;\&#27979;&#31639;&#34920;-2024-1-0774-&#39034;&#20041;&#20161;&#21644;&#22303;&#22320;26&#22320;&#22359;120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47495.839999999997</v>
          </cell>
          <cell r="C14">
            <v>22926.39</v>
          </cell>
          <cell r="D14">
            <v>63123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25774.37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北京市出让国有建设用地使用权抵押价格预评估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吴薇、土地估价师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受贵公司委托，我公司对北京市出让国有建设用地使用权抵押价格进行了预评估。</v>
      </c>
      <c r="AM6" s="2202"/>
    </row>
    <row r="7" spans="1:55">
      <c r="A7" s="2182" t="s">
        <v>1939</v>
      </c>
      <c r="B7" s="2183" t="str">
        <f>'预评函-1'!A6</f>
        <v>估价对象为使用的、位于北京市出让国有建设用地使用权。根据《国有土地使用证》[]，估价对象（分摊）出让国有建设用地使用权面积为5431.65平方米。根据《建设工程规划许可证》[]、《出让合同》[]，估价对象规划建筑面积为11011.79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2025年9月8日（评估专业人员勘察现场之日）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根据《国有土地使用证》[]，估价对象（分摊）出让国有建设用地使用权面积为5431.65平方米。根据《建设工程规划许可证》[]、《出让合同》[]，估价对象规划建筑面积为11011.79平方米。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估价期日：2025年9月8日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5431.65</v>
      </c>
    </row>
    <row r="44" spans="1:2">
      <c r="A44" s="2182" t="s">
        <v>2022</v>
      </c>
      <c r="B44" s="2183" t="str">
        <f>'预评函-2'!O3</f>
        <v>规划建筑面积/㎡</v>
      </c>
    </row>
    <row r="45" spans="1:2">
      <c r="A45" s="2182" t="s">
        <v>2004</v>
      </c>
      <c r="B45" s="2183">
        <f>'预评函-2'!O5</f>
        <v>11011.79</v>
      </c>
    </row>
    <row r="46" spans="1:2">
      <c r="A46" s="2182" t="s">
        <v>2005</v>
      </c>
      <c r="B46" s="2183">
        <f ca="1">'预评函-2'!P5</f>
        <v>17665</v>
      </c>
    </row>
    <row r="47" spans="1:2">
      <c r="A47" s="2182" t="s">
        <v>2006</v>
      </c>
      <c r="B47" s="2183">
        <f ca="1">'预评函-2'!Q5</f>
        <v>8713</v>
      </c>
    </row>
    <row r="48" spans="1:2">
      <c r="A48" s="2182" t="s">
        <v>2007</v>
      </c>
      <c r="B48" s="2183">
        <f ca="1">'预评函-2'!R5</f>
        <v>9595</v>
      </c>
    </row>
    <row r="49" spans="1:2">
      <c r="A49" s="2182" t="s">
        <v>2023</v>
      </c>
      <c r="B49" s="2183" t="str">
        <f>'预评函-2'!A6</f>
        <v>抵押价格</v>
      </c>
    </row>
    <row r="50" spans="1:2">
      <c r="A50" s="2182" t="s">
        <v>2008</v>
      </c>
      <c r="B50" s="2183">
        <f ca="1">'预评函-2'!R6</f>
        <v>9595</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吴薇</v>
      </c>
    </row>
    <row r="70" spans="1:2">
      <c r="A70" s="2182" t="s">
        <v>1972</v>
      </c>
      <c r="B70" s="2183">
        <f ca="1">'预评函-3'!B20</f>
        <v>2002110125</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4"/>
    <col min="9" max="18" width="9.625" style="2694" customWidth="1"/>
    <col min="19" max="16384" width="15.25" style="2694"/>
  </cols>
  <sheetData>
    <row r="1" spans="1:18">
      <c r="A1" s="3029" t="s">
        <v>2662</v>
      </c>
      <c r="B1" s="3030"/>
      <c r="C1" s="3030"/>
      <c r="D1" s="3030"/>
      <c r="E1" s="3030"/>
      <c r="F1" s="3031"/>
      <c r="I1" s="3048" t="s">
        <v>3275</v>
      </c>
      <c r="J1" s="3061"/>
      <c r="K1" s="3061"/>
      <c r="L1" s="3061"/>
      <c r="M1" s="3061"/>
      <c r="N1" s="3194"/>
      <c r="O1" s="3194"/>
      <c r="P1" s="3194"/>
      <c r="Q1" s="3194"/>
      <c r="R1" s="3194"/>
    </row>
    <row r="2" spans="1:18">
      <c r="A2" s="3032"/>
      <c r="B2" s="3033"/>
      <c r="C2" s="3033"/>
      <c r="D2" s="3033"/>
      <c r="E2" s="3033"/>
      <c r="F2" s="3034"/>
      <c r="I2" s="3452" t="s">
        <v>3276</v>
      </c>
      <c r="J2" s="3452"/>
      <c r="K2" s="3452"/>
      <c r="L2" s="3452"/>
      <c r="M2" s="3452"/>
      <c r="N2" s="3452"/>
      <c r="O2" s="3452"/>
      <c r="P2" s="3452"/>
      <c r="Q2" s="3452"/>
      <c r="R2" s="3452"/>
    </row>
    <row r="3" spans="1:18">
      <c r="A3" s="2987" t="s">
        <v>2663</v>
      </c>
      <c r="B3" s="3035">
        <f>项目基本情况!D3</f>
        <v>45908</v>
      </c>
      <c r="C3" s="3036"/>
      <c r="D3" s="3036"/>
      <c r="E3" s="3036"/>
      <c r="F3" s="3034"/>
      <c r="I3" s="3052"/>
      <c r="J3" s="3052" t="s">
        <v>3277</v>
      </c>
      <c r="K3" s="3052" t="s">
        <v>3278</v>
      </c>
      <c r="L3" s="3052" t="s">
        <v>3279</v>
      </c>
      <c r="M3" s="3052" t="s">
        <v>3280</v>
      </c>
      <c r="N3" s="3391" t="s">
        <v>3281</v>
      </c>
      <c r="O3" s="3391" t="s">
        <v>3282</v>
      </c>
      <c r="P3" s="3391" t="s">
        <v>3283</v>
      </c>
      <c r="Q3" s="3391" t="s">
        <v>3284</v>
      </c>
      <c r="R3" s="3391" t="s">
        <v>3273</v>
      </c>
    </row>
    <row r="4" spans="1:18">
      <c r="A4" s="2987" t="s">
        <v>2664</v>
      </c>
      <c r="B4" s="3037" t="s">
        <v>2665</v>
      </c>
      <c r="C4" s="3037" t="s">
        <v>2666</v>
      </c>
      <c r="D4" s="3037" t="s">
        <v>2667</v>
      </c>
      <c r="E4" s="3037" t="s">
        <v>2668</v>
      </c>
      <c r="F4" s="3034"/>
      <c r="I4" s="3052" t="s">
        <v>3285</v>
      </c>
      <c r="J4" s="3052">
        <v>80</v>
      </c>
      <c r="K4" s="3052">
        <v>70</v>
      </c>
      <c r="L4" s="3052">
        <v>20</v>
      </c>
      <c r="M4" s="3052">
        <v>30</v>
      </c>
      <c r="N4" s="3037">
        <v>45</v>
      </c>
      <c r="O4" s="3037">
        <v>60</v>
      </c>
      <c r="P4" s="3037">
        <v>50</v>
      </c>
      <c r="Q4" s="3037">
        <v>20</v>
      </c>
      <c r="R4" s="3037">
        <v>375</v>
      </c>
    </row>
    <row r="5" spans="1:18">
      <c r="A5" s="3038"/>
      <c r="B5" s="3035"/>
      <c r="C5" s="3037">
        <f>ROUNDDOWN(MIN((B5-B3)/365,A5),2)</f>
        <v>-125.77</v>
      </c>
      <c r="D5" s="3039">
        <f>IF(ISERROR(ROUND(POWER(1+E5,A5-C5)*(POWER(1+E5,C5)-1)/(POWER(1+E5,A5)-1),3)),0,ROUND(POWER(1+E5,A5-C5)*(POWER(1+E5,C5)-1)/(POWER(1+E5,A5)-1),4))</f>
        <v>0</v>
      </c>
      <c r="E5" s="3040"/>
      <c r="F5" s="3034"/>
      <c r="I5" s="3052" t="s">
        <v>3286</v>
      </c>
      <c r="J5" s="3052">
        <v>70</v>
      </c>
      <c r="K5" s="3052">
        <v>60</v>
      </c>
      <c r="L5" s="3052">
        <v>15</v>
      </c>
      <c r="M5" s="3052">
        <v>25</v>
      </c>
      <c r="N5" s="3037">
        <v>40</v>
      </c>
      <c r="O5" s="3037">
        <v>50</v>
      </c>
      <c r="P5" s="3037">
        <v>40</v>
      </c>
      <c r="Q5" s="3037">
        <v>15</v>
      </c>
      <c r="R5" s="3037">
        <v>315</v>
      </c>
    </row>
    <row r="6" spans="1:18">
      <c r="A6" s="3038"/>
      <c r="B6" s="3035"/>
      <c r="C6" s="3037">
        <f>ROUNDDOWN(MIN((B6-B3)/365,A6),2)</f>
        <v>-125.77</v>
      </c>
      <c r="D6" s="3039">
        <f>IF(ISERROR(ROUND(POWER(1+E6,A6-C6)*(POWER(1+E6,C6)-1)/(POWER(1+E6,A6)-1),3)),0,ROUND(POWER(1+E6,A6-C6)*(POWER(1+E6,C6)-1)/(POWER(1+E6,A6)-1),4))</f>
        <v>0</v>
      </c>
      <c r="E6" s="3040"/>
      <c r="F6" s="3034"/>
      <c r="I6" s="3052" t="s">
        <v>3287</v>
      </c>
      <c r="J6" s="3052">
        <v>60</v>
      </c>
      <c r="K6" s="3052">
        <v>50</v>
      </c>
      <c r="L6" s="3052">
        <v>10</v>
      </c>
      <c r="M6" s="3052">
        <v>20</v>
      </c>
      <c r="N6" s="3037">
        <v>35</v>
      </c>
      <c r="O6" s="3037">
        <v>40</v>
      </c>
      <c r="P6" s="3037">
        <v>30</v>
      </c>
      <c r="Q6" s="3037">
        <v>10</v>
      </c>
      <c r="R6" s="3037">
        <v>255</v>
      </c>
    </row>
    <row r="7" spans="1:18">
      <c r="A7" s="3038"/>
      <c r="B7" s="3035"/>
      <c r="C7" s="3037">
        <f>ROUNDDOWN(MIN((B7-B3)/365,A7),2)</f>
        <v>-125.77</v>
      </c>
      <c r="D7" s="3039">
        <f>IF(ISERROR(ROUND(POWER(1+E7,A7-C7)*(POWER(1+E7,C7)-1)/(POWER(1+E7,A7)-1),3)),0,ROUND(POWER(1+E7,A7-C7)*(POWER(1+E7,C7)-1)/(POWER(1+E7,A7)-1),4))</f>
        <v>0</v>
      </c>
      <c r="E7" s="3040"/>
      <c r="F7" s="3034"/>
    </row>
    <row r="8" spans="1:18">
      <c r="A8" s="3032"/>
      <c r="B8" s="3033"/>
      <c r="C8" s="3033"/>
      <c r="D8" s="3033"/>
      <c r="E8" s="3033"/>
      <c r="F8" s="3034"/>
    </row>
    <row r="9" spans="1:18">
      <c r="A9" s="2987" t="s">
        <v>2669</v>
      </c>
      <c r="B9" s="3037"/>
      <c r="C9" s="3037"/>
      <c r="D9" s="3037"/>
      <c r="E9" s="3037"/>
      <c r="F9" s="3041"/>
    </row>
    <row r="10" spans="1:18">
      <c r="A10" s="2987" t="s">
        <v>2670</v>
      </c>
      <c r="B10" s="3037"/>
      <c r="C10" s="3037"/>
      <c r="D10" s="3037" t="s">
        <v>2668</v>
      </c>
      <c r="E10" s="3037"/>
      <c r="F10" s="3041" t="s">
        <v>2667</v>
      </c>
    </row>
    <row r="11" spans="1:18">
      <c r="A11" s="2987" t="s">
        <v>2671</v>
      </c>
      <c r="B11" s="3042"/>
      <c r="C11" s="3037" t="s">
        <v>2672</v>
      </c>
      <c r="D11" s="3042"/>
      <c r="E11" s="3037" t="s">
        <v>2673</v>
      </c>
      <c r="F11" s="3043">
        <f>ROUND(1-(1/(POWER(1+D11,B11))),4)</f>
        <v>0</v>
      </c>
    </row>
    <row r="12" spans="1:18">
      <c r="A12" s="2987" t="s">
        <v>2674</v>
      </c>
      <c r="B12" s="3042"/>
      <c r="C12" s="3037" t="s">
        <v>2675</v>
      </c>
      <c r="D12" s="3042"/>
      <c r="E12" s="3037" t="s">
        <v>2676</v>
      </c>
      <c r="F12" s="3043">
        <f>ROUND(1-(1/(POWER(1+D12,B12))),4)</f>
        <v>0</v>
      </c>
    </row>
    <row r="13" spans="1:18">
      <c r="A13" s="2987" t="s">
        <v>2677</v>
      </c>
      <c r="B13" s="3037"/>
      <c r="C13" s="3036"/>
      <c r="D13" s="3033"/>
      <c r="E13" s="3033"/>
      <c r="F13" s="3034"/>
    </row>
    <row r="14" spans="1:18">
      <c r="A14" s="2987" t="s">
        <v>2678</v>
      </c>
      <c r="B14" s="3042"/>
      <c r="C14" s="3036"/>
      <c r="D14" s="3033"/>
      <c r="E14" s="3033"/>
      <c r="F14" s="3034"/>
    </row>
    <row r="15" spans="1:18">
      <c r="A15" s="2987" t="s">
        <v>2679</v>
      </c>
      <c r="B15" s="3037" t="e">
        <f>ROUND(B14*F12/F11,2)</f>
        <v>#DIV/0!</v>
      </c>
      <c r="C15" s="3037" t="e">
        <f>ROUND(F12/F11,4)</f>
        <v>#DIV/0!</v>
      </c>
      <c r="D15" s="3033"/>
      <c r="E15" s="3033"/>
      <c r="F15" s="3034"/>
    </row>
    <row r="16" spans="1:18">
      <c r="A16" s="2987" t="s">
        <v>2680</v>
      </c>
      <c r="B16" s="3037"/>
      <c r="C16" s="3036"/>
      <c r="D16" s="3033"/>
      <c r="E16" s="3033"/>
      <c r="F16" s="3034"/>
    </row>
    <row r="17" spans="1:14">
      <c r="A17" s="2987" t="s">
        <v>2679</v>
      </c>
      <c r="B17" s="3042"/>
      <c r="C17" s="3036"/>
      <c r="D17" s="3033"/>
      <c r="E17" s="3033"/>
      <c r="F17" s="3034"/>
    </row>
    <row r="18" spans="1:14" ht="14.25" thickBot="1">
      <c r="A18" s="3044" t="s">
        <v>2678</v>
      </c>
      <c r="B18" s="3045" t="e">
        <f>ROUND(B17*F11/F12,2)</f>
        <v>#DIV/0!</v>
      </c>
      <c r="C18" s="3045" t="e">
        <f>ROUND(F11/F12,4)</f>
        <v>#DIV/0!</v>
      </c>
      <c r="D18" s="3046"/>
      <c r="E18" s="3046"/>
      <c r="F18" s="3047"/>
    </row>
    <row r="19" spans="1:14" ht="14.25" thickBot="1"/>
    <row r="20" spans="1:14" ht="14.25" thickTop="1">
      <c r="A20" s="3048" t="s">
        <v>2681</v>
      </c>
      <c r="B20" s="3049"/>
      <c r="C20" s="3049"/>
      <c r="D20" s="3049"/>
      <c r="E20" s="3049"/>
      <c r="F20" s="3049"/>
      <c r="G20" s="3050"/>
      <c r="I20" s="3394" t="s">
        <v>3288</v>
      </c>
      <c r="J20" s="3394" t="s">
        <v>3289</v>
      </c>
      <c r="K20" s="3394"/>
      <c r="L20" s="3394"/>
      <c r="M20" s="3394"/>
      <c r="N20" s="3395"/>
    </row>
    <row r="21" spans="1:14">
      <c r="A21" s="3051"/>
      <c r="B21" s="3052" t="s">
        <v>2682</v>
      </c>
      <c r="C21" s="3052" t="s">
        <v>2683</v>
      </c>
      <c r="D21" s="3052" t="s">
        <v>2684</v>
      </c>
      <c r="E21" s="3052" t="s">
        <v>2685</v>
      </c>
      <c r="F21" s="3052" t="s">
        <v>2686</v>
      </c>
      <c r="G21" s="3053" t="s">
        <v>2687</v>
      </c>
      <c r="I21" s="3396">
        <v>5</v>
      </c>
      <c r="J21" s="3396">
        <v>54.2</v>
      </c>
      <c r="K21" s="3396"/>
      <c r="L21" s="3396"/>
      <c r="M21" s="3396"/>
    </row>
    <row r="22" spans="1:14">
      <c r="A22" s="3051" t="s">
        <v>2688</v>
      </c>
      <c r="B22" s="3054">
        <v>50</v>
      </c>
      <c r="C22" s="3054">
        <v>32</v>
      </c>
      <c r="D22" s="3055">
        <v>0.05</v>
      </c>
      <c r="E22" s="3052">
        <f>ROUND(POWER(1+D22,B22-C22)*(POWER(1+D22,C22)-1)/(POWER(1+D22,B22)-1),3)</f>
        <v>0.86599999999999999</v>
      </c>
      <c r="F22" s="3055">
        <v>0.6</v>
      </c>
      <c r="G22" s="3053">
        <f>ROUND(100*(1-(1-E22)*F22),1)</f>
        <v>92</v>
      </c>
      <c r="I22" s="3396">
        <v>10</v>
      </c>
      <c r="J22" s="3396">
        <v>65.400000000000006</v>
      </c>
      <c r="K22" s="3396">
        <f>J22-J21</f>
        <v>11.200000000000003</v>
      </c>
      <c r="L22" s="3396"/>
      <c r="M22" s="3396"/>
    </row>
    <row r="23" spans="1:14">
      <c r="A23" s="3056" t="s">
        <v>2689</v>
      </c>
      <c r="B23" s="3054">
        <v>50</v>
      </c>
      <c r="C23" s="3054">
        <v>35</v>
      </c>
      <c r="D23" s="3055">
        <v>0.05</v>
      </c>
      <c r="E23" s="3052">
        <f>ROUND(POWER(1+D23,B23-C23)*(POWER(1+D23,C23)-1)/(POWER(1+D23,B23)-1),3)</f>
        <v>0.89700000000000002</v>
      </c>
      <c r="F23" s="3055">
        <f>F22</f>
        <v>0.6</v>
      </c>
      <c r="G23" s="3053">
        <f>ROUND(100*(1-(1-E23)*F23),1)</f>
        <v>93.8</v>
      </c>
      <c r="I23" s="3396">
        <v>15</v>
      </c>
      <c r="J23" s="3396">
        <v>74.099999999999994</v>
      </c>
      <c r="K23" s="3396">
        <f t="shared" ref="K23:K30" si="0">J23-J22</f>
        <v>8.6999999999999886</v>
      </c>
      <c r="L23" s="3396" t="s">
        <v>3290</v>
      </c>
      <c r="M23" s="3396"/>
      <c r="N23" s="3397" t="s">
        <v>3291</v>
      </c>
    </row>
    <row r="24" spans="1:14">
      <c r="A24" s="3056" t="s">
        <v>2690</v>
      </c>
      <c r="B24" s="3054">
        <v>50</v>
      </c>
      <c r="C24" s="3054">
        <v>25</v>
      </c>
      <c r="D24" s="3055">
        <v>0.05</v>
      </c>
      <c r="E24" s="3052">
        <f>ROUND(POWER(1+D24,B24-C24)*(POWER(1+D24,C24)-1)/(POWER(1+D24,B24)-1),3)</f>
        <v>0.77200000000000002</v>
      </c>
      <c r="F24" s="3055">
        <f>F23</f>
        <v>0.6</v>
      </c>
      <c r="G24" s="3053">
        <f>ROUND(100*(1-(1-E24)*F24),1)</f>
        <v>86.3</v>
      </c>
      <c r="I24" s="3396">
        <v>20</v>
      </c>
      <c r="J24" s="3396">
        <v>81</v>
      </c>
      <c r="K24" s="3396">
        <f t="shared" si="0"/>
        <v>6.9000000000000057</v>
      </c>
      <c r="L24" s="3396" t="s">
        <v>3292</v>
      </c>
      <c r="M24" s="3396"/>
      <c r="N24" s="3397">
        <v>10</v>
      </c>
    </row>
    <row r="25" spans="1:14">
      <c r="A25" s="3056" t="s">
        <v>2691</v>
      </c>
      <c r="B25" s="3054">
        <v>50</v>
      </c>
      <c r="C25" s="3054">
        <v>40</v>
      </c>
      <c r="D25" s="3055">
        <v>0.05</v>
      </c>
      <c r="E25" s="3052">
        <f>ROUND(POWER(1+D25,B25-C25)*(POWER(1+D25,C25)-1)/(POWER(1+D25,B25)-1),3)</f>
        <v>0.94</v>
      </c>
      <c r="F25" s="3055">
        <f>F24</f>
        <v>0.6</v>
      </c>
      <c r="G25" s="3053">
        <f>ROUND(100*(1-(1-E25)*F25),1)</f>
        <v>96.4</v>
      </c>
      <c r="I25" s="3396">
        <v>25</v>
      </c>
      <c r="J25" s="3396">
        <v>86.3</v>
      </c>
      <c r="K25" s="3396">
        <f t="shared" si="0"/>
        <v>5.2999999999999972</v>
      </c>
      <c r="L25" s="3396" t="s">
        <v>3293</v>
      </c>
      <c r="M25" s="3396"/>
      <c r="N25" s="3397">
        <v>8</v>
      </c>
    </row>
    <row r="26" spans="1:14">
      <c r="A26" s="3057"/>
      <c r="B26" s="3058"/>
      <c r="C26" s="3058"/>
      <c r="D26" s="3058"/>
      <c r="E26" s="3058"/>
      <c r="F26" s="3058"/>
      <c r="G26" s="3059"/>
      <c r="I26" s="3396">
        <v>30</v>
      </c>
      <c r="J26" s="3396">
        <v>90.5</v>
      </c>
      <c r="K26" s="3396">
        <f t="shared" si="0"/>
        <v>4.2000000000000028</v>
      </c>
      <c r="L26" s="3396" t="s">
        <v>3294</v>
      </c>
      <c r="M26" s="3396"/>
      <c r="N26" s="3397">
        <v>5</v>
      </c>
    </row>
    <row r="27" spans="1:14">
      <c r="A27" s="3060" t="s">
        <v>2692</v>
      </c>
      <c r="B27" s="3061"/>
      <c r="C27" s="3061"/>
      <c r="D27" s="3061"/>
      <c r="E27" s="3061"/>
      <c r="F27" s="3061"/>
      <c r="G27" s="3062"/>
      <c r="I27" s="3396">
        <v>35</v>
      </c>
      <c r="J27" s="3396">
        <v>93.8</v>
      </c>
      <c r="K27" s="3396">
        <f t="shared" si="0"/>
        <v>3.2999999999999972</v>
      </c>
      <c r="L27" s="3396" t="s">
        <v>3295</v>
      </c>
      <c r="M27" s="3396"/>
      <c r="N27" s="3397">
        <v>3</v>
      </c>
    </row>
    <row r="28" spans="1:14">
      <c r="A28" s="3060" t="s">
        <v>2693</v>
      </c>
      <c r="B28" s="3061"/>
      <c r="C28" s="3061"/>
      <c r="D28" s="3061"/>
      <c r="E28" s="3061"/>
      <c r="F28" s="3061"/>
      <c r="G28" s="3062"/>
      <c r="I28" s="3396">
        <v>40</v>
      </c>
      <c r="J28" s="3396">
        <v>96.4</v>
      </c>
      <c r="K28" s="3396">
        <f t="shared" si="0"/>
        <v>2.6000000000000085</v>
      </c>
      <c r="L28" s="3396" t="s">
        <v>3296</v>
      </c>
      <c r="M28" s="3396"/>
      <c r="N28" s="3397">
        <v>2</v>
      </c>
    </row>
    <row r="29" spans="1:14">
      <c r="A29" s="3060" t="s">
        <v>2694</v>
      </c>
      <c r="B29" s="3061"/>
      <c r="C29" s="3061"/>
      <c r="D29" s="3061"/>
      <c r="E29" s="3061"/>
      <c r="F29" s="3061"/>
      <c r="G29" s="3062"/>
      <c r="I29" s="3396">
        <v>45</v>
      </c>
      <c r="J29" s="3396">
        <v>98.4</v>
      </c>
      <c r="K29" s="3396">
        <f t="shared" si="0"/>
        <v>2</v>
      </c>
      <c r="L29" s="3396"/>
      <c r="M29" s="3396"/>
    </row>
    <row r="30" spans="1:14">
      <c r="A30" s="3060" t="s">
        <v>2695</v>
      </c>
      <c r="B30" s="3061"/>
      <c r="C30" s="3061"/>
      <c r="D30" s="3061"/>
      <c r="E30" s="3061"/>
      <c r="F30" s="3061"/>
      <c r="G30" s="3062"/>
      <c r="I30" s="3396">
        <v>50</v>
      </c>
      <c r="J30" s="3396">
        <v>100</v>
      </c>
      <c r="K30" s="3396">
        <f t="shared" si="0"/>
        <v>1.5999999999999943</v>
      </c>
      <c r="L30" s="3396"/>
      <c r="M30" s="3396"/>
    </row>
    <row r="31" spans="1:14">
      <c r="A31" s="3060" t="s">
        <v>2696</v>
      </c>
      <c r="B31" s="3061"/>
      <c r="C31" s="3061"/>
      <c r="D31" s="3061"/>
      <c r="E31" s="3061"/>
      <c r="F31" s="3061"/>
      <c r="G31" s="3062"/>
      <c r="I31" s="3396" t="s">
        <v>3297</v>
      </c>
      <c r="J31" s="3396"/>
      <c r="K31" s="3396"/>
      <c r="L31" s="3396"/>
      <c r="M31" s="3396"/>
    </row>
    <row r="32" spans="1:14">
      <c r="A32" s="3060" t="s">
        <v>2697</v>
      </c>
      <c r="B32" s="3061"/>
      <c r="C32" s="3061"/>
      <c r="D32" s="3061"/>
      <c r="E32" s="3061"/>
      <c r="F32" s="3061"/>
      <c r="G32" s="3062"/>
      <c r="I32" s="3396"/>
      <c r="J32" s="3396"/>
      <c r="K32" s="3396"/>
      <c r="L32" s="3396"/>
      <c r="M32" s="3396"/>
    </row>
    <row r="33" spans="1:14">
      <c r="A33" s="3060" t="s">
        <v>2698</v>
      </c>
      <c r="B33" s="3061"/>
      <c r="C33" s="3061"/>
      <c r="D33" s="3061"/>
      <c r="E33" s="3061"/>
      <c r="F33" s="3061"/>
      <c r="G33" s="3062"/>
      <c r="I33" s="3396" t="s">
        <v>3288</v>
      </c>
      <c r="J33" s="3396" t="s">
        <v>3298</v>
      </c>
      <c r="K33" s="3396"/>
      <c r="L33" s="3396"/>
      <c r="M33" s="3396"/>
    </row>
    <row r="34" spans="1:14">
      <c r="A34" s="3060" t="s">
        <v>2699</v>
      </c>
      <c r="B34" s="3061"/>
      <c r="C34" s="3061"/>
      <c r="D34" s="3061"/>
      <c r="E34" s="3061"/>
      <c r="F34" s="3061"/>
      <c r="G34" s="3062"/>
      <c r="I34" s="3396">
        <v>5</v>
      </c>
      <c r="J34" s="3396">
        <v>55.1</v>
      </c>
      <c r="K34" s="3396"/>
      <c r="L34" s="3396"/>
      <c r="M34" s="3396"/>
    </row>
    <row r="35" spans="1:14">
      <c r="A35" s="3060" t="s">
        <v>2700</v>
      </c>
      <c r="B35" s="3061"/>
      <c r="C35" s="3061"/>
      <c r="D35" s="3061"/>
      <c r="E35" s="3061"/>
      <c r="F35" s="3061"/>
      <c r="G35" s="3062"/>
      <c r="I35" s="3396">
        <v>10</v>
      </c>
      <c r="J35" s="3396">
        <v>67</v>
      </c>
      <c r="K35" s="3396">
        <f>J35-J34</f>
        <v>11.899999999999999</v>
      </c>
      <c r="L35" s="3396"/>
      <c r="M35" s="3396"/>
    </row>
    <row r="36" spans="1:14">
      <c r="A36" s="3060" t="s">
        <v>2701</v>
      </c>
      <c r="B36" s="3061"/>
      <c r="C36" s="3061"/>
      <c r="D36" s="3061"/>
      <c r="E36" s="3061"/>
      <c r="F36" s="3061"/>
      <c r="G36" s="3062"/>
      <c r="I36" s="3396">
        <v>15</v>
      </c>
      <c r="J36" s="3396">
        <v>76.3</v>
      </c>
      <c r="K36" s="3396">
        <f t="shared" ref="K36:K41" si="1">J36-J35</f>
        <v>9.2999999999999972</v>
      </c>
      <c r="L36" s="3396" t="s">
        <v>3290</v>
      </c>
      <c r="M36" s="3396"/>
      <c r="N36" s="3397" t="s">
        <v>3291</v>
      </c>
    </row>
    <row r="37" spans="1:14">
      <c r="A37" s="3060" t="s">
        <v>2702</v>
      </c>
      <c r="B37" s="3061"/>
      <c r="C37" s="3061"/>
      <c r="D37" s="3061"/>
      <c r="E37" s="3061"/>
      <c r="F37" s="3061"/>
      <c r="G37" s="3062"/>
      <c r="I37" s="3396">
        <v>20</v>
      </c>
      <c r="J37" s="3396">
        <v>83.6</v>
      </c>
      <c r="K37" s="3396">
        <f t="shared" si="1"/>
        <v>7.2999999999999972</v>
      </c>
      <c r="L37" s="3396" t="s">
        <v>3292</v>
      </c>
      <c r="M37" s="3396"/>
      <c r="N37" s="3397">
        <v>10</v>
      </c>
    </row>
    <row r="38" spans="1:14">
      <c r="A38" s="3060" t="s">
        <v>2703</v>
      </c>
      <c r="B38" s="3061"/>
      <c r="C38" s="3061"/>
      <c r="D38" s="3061"/>
      <c r="E38" s="3061"/>
      <c r="F38" s="3061"/>
      <c r="G38" s="3062"/>
      <c r="I38" s="3396">
        <v>25</v>
      </c>
      <c r="J38" s="3396">
        <v>89.3</v>
      </c>
      <c r="K38" s="3396">
        <f t="shared" si="1"/>
        <v>5.7000000000000028</v>
      </c>
      <c r="L38" s="3396" t="s">
        <v>3293</v>
      </c>
      <c r="M38" s="3396"/>
      <c r="N38" s="3397">
        <v>8</v>
      </c>
    </row>
    <row r="39" spans="1:14">
      <c r="A39" s="3060"/>
      <c r="B39" s="3061"/>
      <c r="C39" s="3061"/>
      <c r="D39" s="3061"/>
      <c r="E39" s="3061"/>
      <c r="F39" s="3061"/>
      <c r="G39" s="3062"/>
      <c r="I39" s="3396">
        <v>30</v>
      </c>
      <c r="J39" s="3396">
        <v>93.8</v>
      </c>
      <c r="K39" s="3396">
        <f t="shared" si="1"/>
        <v>4.5</v>
      </c>
      <c r="L39" s="3396" t="s">
        <v>3294</v>
      </c>
      <c r="M39" s="3396"/>
      <c r="N39" s="3397">
        <v>6</v>
      </c>
    </row>
    <row r="40" spans="1:14">
      <c r="A40" s="3063" t="s">
        <v>2704</v>
      </c>
      <c r="B40" s="3064"/>
      <c r="C40" s="3064"/>
      <c r="D40" s="3064"/>
      <c r="E40" s="3064"/>
      <c r="F40" s="3064"/>
      <c r="G40" s="3065"/>
      <c r="I40" s="3396">
        <v>35</v>
      </c>
      <c r="J40" s="3396">
        <v>97.2</v>
      </c>
      <c r="K40" s="3396">
        <f t="shared" si="1"/>
        <v>3.4000000000000057</v>
      </c>
      <c r="L40" s="3396" t="s">
        <v>3295</v>
      </c>
      <c r="M40" s="3396"/>
      <c r="N40" s="3397">
        <v>3</v>
      </c>
    </row>
    <row r="41" spans="1:14">
      <c r="A41" s="3066" t="s">
        <v>2705</v>
      </c>
      <c r="B41" s="3067" t="s">
        <v>2706</v>
      </c>
      <c r="C41" s="3068" t="s">
        <v>2707</v>
      </c>
      <c r="D41" s="3068" t="s">
        <v>2708</v>
      </c>
      <c r="E41" s="3069"/>
      <c r="F41" s="3070"/>
      <c r="G41" s="3071"/>
      <c r="I41" s="3396">
        <v>40</v>
      </c>
      <c r="J41" s="3396">
        <v>100</v>
      </c>
      <c r="K41" s="3396">
        <f t="shared" si="1"/>
        <v>2.7999999999999972</v>
      </c>
      <c r="L41" s="3396"/>
      <c r="M41" s="3396"/>
    </row>
    <row r="42" spans="1:14">
      <c r="A42" s="3066" t="s">
        <v>2709</v>
      </c>
      <c r="B42" s="3067" t="s">
        <v>2710</v>
      </c>
      <c r="C42" s="3068" t="s">
        <v>2710</v>
      </c>
      <c r="D42" s="3072" t="s">
        <v>2711</v>
      </c>
      <c r="E42" s="3064" t="s">
        <v>2712</v>
      </c>
      <c r="F42" s="3064"/>
      <c r="G42" s="3065"/>
      <c r="I42" s="3396"/>
      <c r="J42" s="3396"/>
      <c r="K42" s="3396"/>
      <c r="L42" s="3396"/>
      <c r="M42" s="3396"/>
    </row>
    <row r="43" spans="1:14">
      <c r="A43" s="3066" t="s">
        <v>2713</v>
      </c>
      <c r="B43" s="3067" t="s">
        <v>2714</v>
      </c>
      <c r="C43" s="3068" t="s">
        <v>2715</v>
      </c>
      <c r="D43" s="3068" t="s">
        <v>2716</v>
      </c>
      <c r="E43" s="3069" t="s">
        <v>2717</v>
      </c>
      <c r="F43" s="3070"/>
      <c r="G43" s="3071"/>
      <c r="I43" s="3396" t="s">
        <v>3288</v>
      </c>
      <c r="J43" s="3396" t="s">
        <v>3299</v>
      </c>
      <c r="K43" s="3396"/>
      <c r="L43" s="3396"/>
      <c r="M43" s="3396"/>
    </row>
    <row r="44" spans="1:14">
      <c r="A44" s="3066" t="s">
        <v>2718</v>
      </c>
      <c r="B44" s="3067" t="s">
        <v>2719</v>
      </c>
      <c r="C44" s="3068" t="s">
        <v>2720</v>
      </c>
      <c r="D44" s="3072">
        <v>0.5</v>
      </c>
      <c r="E44" s="3069" t="s">
        <v>2721</v>
      </c>
      <c r="F44" s="3070"/>
      <c r="G44" s="3071"/>
      <c r="I44" s="3396">
        <v>30</v>
      </c>
      <c r="J44" s="3396">
        <v>81.7</v>
      </c>
      <c r="K44" s="3396"/>
      <c r="L44" s="3396"/>
      <c r="M44" s="3396"/>
    </row>
    <row r="45" spans="1:14" ht="14.25" thickBot="1">
      <c r="A45" s="3073" t="s">
        <v>2722</v>
      </c>
      <c r="B45" s="3074" t="s">
        <v>2710</v>
      </c>
      <c r="C45" s="3075" t="s">
        <v>2710</v>
      </c>
      <c r="D45" s="3075" t="s">
        <v>2723</v>
      </c>
      <c r="E45" s="3076" t="s">
        <v>2724</v>
      </c>
      <c r="F45" s="3076"/>
      <c r="G45" s="3077"/>
      <c r="I45" s="3396">
        <v>40</v>
      </c>
      <c r="J45" s="3396">
        <v>89.2</v>
      </c>
      <c r="K45" s="3396">
        <f>J45-J44</f>
        <v>7.5</v>
      </c>
      <c r="L45" s="3396"/>
      <c r="M45" s="3396"/>
    </row>
    <row r="46" spans="1:14">
      <c r="I46" s="3396">
        <v>50</v>
      </c>
      <c r="J46" s="3396">
        <v>94.3</v>
      </c>
      <c r="K46" s="3396">
        <f t="shared" ref="K46:K47" si="2">J46-J45</f>
        <v>5.0999999999999943</v>
      </c>
      <c r="L46" s="3396"/>
      <c r="M46" s="3396"/>
    </row>
    <row r="47" spans="1:14">
      <c r="I47" s="3396">
        <v>60</v>
      </c>
      <c r="J47" s="3396">
        <v>97.7</v>
      </c>
      <c r="K47" s="3396">
        <f t="shared" si="2"/>
        <v>3.4000000000000057</v>
      </c>
      <c r="L47" s="3396"/>
      <c r="M47" s="3396"/>
    </row>
    <row r="48" spans="1:14" ht="14.25" thickBot="1"/>
    <row r="49" spans="1:4">
      <c r="A49" s="3048" t="s">
        <v>3274</v>
      </c>
    </row>
    <row r="50" spans="1:4">
      <c r="A50" s="3391" t="s">
        <v>3264</v>
      </c>
      <c r="B50" s="3391" t="s">
        <v>3261</v>
      </c>
      <c r="C50" s="3391" t="s">
        <v>3262</v>
      </c>
      <c r="D50" s="3391" t="s">
        <v>3263</v>
      </c>
    </row>
    <row r="51" spans="1:4">
      <c r="A51" s="3391" t="s">
        <v>3265</v>
      </c>
      <c r="B51" s="3037">
        <f>B52+B53</f>
        <v>15000</v>
      </c>
      <c r="C51" s="3392">
        <f>D51/B51</f>
        <v>2666.6666666666665</v>
      </c>
      <c r="D51" s="3037">
        <f>D52+D53</f>
        <v>40000000</v>
      </c>
    </row>
    <row r="52" spans="1:4">
      <c r="A52" s="2749" t="s">
        <v>3266</v>
      </c>
      <c r="B52" s="3388">
        <v>10000</v>
      </c>
      <c r="C52" s="3388">
        <v>1500</v>
      </c>
      <c r="D52" s="2356">
        <f>C52*B52</f>
        <v>15000000</v>
      </c>
    </row>
    <row r="53" spans="1:4">
      <c r="A53" s="2749" t="s">
        <v>3267</v>
      </c>
      <c r="B53" s="3388">
        <v>5000</v>
      </c>
      <c r="C53" s="3388">
        <v>5000</v>
      </c>
      <c r="D53" s="2356">
        <f>C53*B53</f>
        <v>25000000</v>
      </c>
    </row>
    <row r="54" spans="1:4">
      <c r="A54" s="3391" t="s">
        <v>3268</v>
      </c>
      <c r="B54" s="3037">
        <f>B51</f>
        <v>15000</v>
      </c>
      <c r="C54" s="3042">
        <v>700</v>
      </c>
      <c r="D54" s="3037">
        <f t="shared" ref="D54:D55" si="3">C54*B54</f>
        <v>10500000</v>
      </c>
    </row>
    <row r="55" spans="1:4">
      <c r="A55" s="3391" t="s">
        <v>3269</v>
      </c>
      <c r="B55" s="3037">
        <f>B51</f>
        <v>15000</v>
      </c>
      <c r="C55" s="3042">
        <v>1500</v>
      </c>
      <c r="D55" s="3037">
        <f t="shared" si="3"/>
        <v>22500000</v>
      </c>
    </row>
    <row r="56" spans="1:4">
      <c r="A56" s="3391" t="s">
        <v>3270</v>
      </c>
      <c r="B56" s="3037">
        <f>B51</f>
        <v>15000</v>
      </c>
      <c r="C56" s="3393">
        <f>C51+C54+C55</f>
        <v>4866.6666666666661</v>
      </c>
      <c r="D56" s="3037">
        <f>D51+D54+D55</f>
        <v>73000000</v>
      </c>
    </row>
    <row r="58" spans="1:4">
      <c r="A58" s="3391" t="s">
        <v>3271</v>
      </c>
      <c r="B58" s="3389">
        <v>0.05</v>
      </c>
      <c r="C58" s="3037">
        <f>C56*(1+B58)</f>
        <v>5110</v>
      </c>
      <c r="D58" s="3037">
        <f>D56*B58</f>
        <v>3650000</v>
      </c>
    </row>
    <row r="60" spans="1:4">
      <c r="A60" s="3391" t="s">
        <v>3272</v>
      </c>
      <c r="B60" s="3042">
        <v>3500</v>
      </c>
      <c r="C60" s="3042">
        <f>C53</f>
        <v>5000</v>
      </c>
      <c r="D60" s="3037">
        <f>C60*B60</f>
        <v>17500000</v>
      </c>
    </row>
    <row r="62" spans="1:4">
      <c r="A62" s="3391" t="s">
        <v>3273</v>
      </c>
      <c r="B62" s="3042">
        <f>B51</f>
        <v>15000</v>
      </c>
      <c r="C62" s="3390">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B13" sqref="B13:D13"/>
    </sheetView>
  </sheetViews>
  <sheetFormatPr defaultColWidth="10" defaultRowHeight="14.25"/>
  <cols>
    <col min="1" max="1" width="15.375" style="1401" customWidth="1"/>
    <col min="2" max="2" width="11.375" style="1401" customWidth="1"/>
    <col min="3" max="3" width="16.5" style="1401" customWidth="1"/>
    <col min="4"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68" t="str">
        <f>IF(B10="北京市","北京市",C10)&amp;F10&amp;A17&amp;"国有建设用地使用权"&amp;B9&amp;"预评估"</f>
        <v>北京市出让国有建设用地使用权抵押价格预评估</v>
      </c>
      <c r="C1" s="3469"/>
      <c r="D1" s="3469"/>
      <c r="E1" s="3469"/>
      <c r="F1" s="3469"/>
      <c r="G1" s="3469"/>
      <c r="H1" s="3469"/>
      <c r="I1" s="3470"/>
      <c r="J1" s="2603"/>
      <c r="K1" s="1971" t="str">
        <f>IF(B10="北京市","北京市",C10)&amp;F10&amp;A17&amp;"国有建设用地使用权"&amp;B9</f>
        <v>北京市出让国有建设用地使用权抵押价格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北京市出让国有建设用地使用权</v>
      </c>
      <c r="L2" s="2583"/>
      <c r="M2" s="2583"/>
      <c r="N2" s="2584"/>
      <c r="O2" s="2585"/>
      <c r="P2" s="2584"/>
      <c r="Q2" s="2584"/>
      <c r="R2" s="2584"/>
      <c r="S2" s="2584"/>
      <c r="T2" s="2584"/>
      <c r="U2" s="2584"/>
    </row>
    <row r="3" spans="1:21">
      <c r="A3" s="1378" t="s">
        <v>1459</v>
      </c>
      <c r="B3" s="1379">
        <v>45908</v>
      </c>
      <c r="C3" s="2532" t="s">
        <v>1513</v>
      </c>
      <c r="D3" s="1379">
        <f>B3</f>
        <v>45908</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3345</v>
      </c>
      <c r="C4" s="1534">
        <f ca="1">SUMIF(土地估价师,B4,估价师及机构信息!E3:E17)</f>
        <v>2002110125</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吴薇、土地估价师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3346</v>
      </c>
      <c r="C8" s="1388"/>
      <c r="D8" s="3474" t="s">
        <v>1464</v>
      </c>
      <c r="E8" s="1532" t="s">
        <v>3347</v>
      </c>
      <c r="F8" s="1389"/>
      <c r="G8" s="2603"/>
      <c r="H8" s="2603"/>
      <c r="I8" s="2604"/>
      <c r="J8" s="2603"/>
      <c r="K8" s="2587"/>
      <c r="L8" s="2583"/>
      <c r="M8" s="2583"/>
      <c r="N8" s="2584"/>
      <c r="O8" s="2585"/>
      <c r="P8" s="2584"/>
      <c r="Q8" s="2584"/>
      <c r="R8" s="2584"/>
      <c r="S8" s="2584"/>
      <c r="T8" s="2584"/>
      <c r="U8" s="2584"/>
    </row>
    <row r="9" spans="1:21" ht="15" thickBot="1">
      <c r="A9" s="2534" t="s">
        <v>1463</v>
      </c>
      <c r="B9" s="1390" t="s">
        <v>3347</v>
      </c>
      <c r="C9" s="1391"/>
      <c r="D9" s="3475"/>
      <c r="E9" s="1390"/>
      <c r="F9" s="1447"/>
      <c r="G9" s="2606"/>
      <c r="H9" s="2606"/>
      <c r="I9" s="2607"/>
      <c r="J9" s="2603"/>
      <c r="K9" s="2587"/>
      <c r="L9" s="2583"/>
      <c r="M9" s="2583"/>
      <c r="N9" s="2584"/>
      <c r="O9" s="2585"/>
      <c r="P9" s="2584"/>
      <c r="Q9" s="2584"/>
      <c r="R9" s="2584"/>
      <c r="S9" s="2584"/>
      <c r="T9" s="2584"/>
      <c r="U9" s="2584"/>
    </row>
    <row r="10" spans="1:21" ht="15" thickTop="1">
      <c r="A10" s="2535" t="s">
        <v>1517</v>
      </c>
      <c r="B10" s="1425" t="s">
        <v>1465</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3512</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71"/>
      <c r="C12" s="3472"/>
      <c r="D12" s="3473"/>
      <c r="E12" s="1407" t="s">
        <v>1579</v>
      </c>
      <c r="F12" s="3489" t="s">
        <v>2161</v>
      </c>
      <c r="G12" s="3490"/>
      <c r="H12" s="3490"/>
      <c r="I12" s="3491"/>
      <c r="J12" s="2603"/>
      <c r="K12" s="2587"/>
      <c r="L12" s="2583"/>
      <c r="M12" s="2583"/>
      <c r="N12" s="2584"/>
      <c r="O12" s="2585"/>
      <c r="P12" s="2584"/>
      <c r="Q12" s="2584"/>
      <c r="R12" s="2584"/>
      <c r="S12" s="2584"/>
      <c r="T12" s="2584"/>
      <c r="U12" s="2584"/>
    </row>
    <row r="13" spans="1:21">
      <c r="A13" s="1399" t="s">
        <v>1577</v>
      </c>
      <c r="B13" s="3471"/>
      <c r="C13" s="3472"/>
      <c r="D13" s="3473"/>
      <c r="E13" s="1407" t="s">
        <v>1579</v>
      </c>
      <c r="F13" s="3489" t="s">
        <v>2162</v>
      </c>
      <c r="G13" s="3490"/>
      <c r="H13" s="3490"/>
      <c r="I13" s="3491"/>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2726</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2727</v>
      </c>
      <c r="E16" s="1428" t="s">
        <v>1212</v>
      </c>
      <c r="F16" s="1428" t="s">
        <v>2728</v>
      </c>
      <c r="G16" s="1428" t="s">
        <v>2729</v>
      </c>
      <c r="H16" s="1398" t="s">
        <v>776</v>
      </c>
      <c r="I16" s="1398" t="s">
        <v>2726</v>
      </c>
      <c r="J16" s="2603"/>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ht="15">
      <c r="A17" s="3079" t="s">
        <v>2730</v>
      </c>
      <c r="B17" s="2538" t="s">
        <v>1473</v>
      </c>
      <c r="C17" s="3412">
        <v>71036</v>
      </c>
      <c r="D17" s="3412">
        <v>60079</v>
      </c>
      <c r="E17" s="3412">
        <v>63731</v>
      </c>
      <c r="F17" s="3412">
        <v>63731</v>
      </c>
      <c r="G17" s="3412">
        <v>63731</v>
      </c>
      <c r="H17" s="3078"/>
      <c r="I17" s="3078"/>
      <c r="J17" s="2603"/>
      <c r="K17" s="2582" t="str">
        <f>CONCATENATE(K16,L16,M16,N16,O16,P16,Q16,R16,S16,T16,,U16)</f>
        <v>商业2064年6月26日、办公2074年6月26日、车库2074年6月26日、仓储2074年6月26日</v>
      </c>
      <c r="L17" s="2583"/>
      <c r="M17" s="2583"/>
      <c r="N17" s="2584"/>
      <c r="O17" s="2585"/>
      <c r="P17" s="2584"/>
      <c r="Q17" s="2584"/>
      <c r="R17" s="2584"/>
      <c r="S17" s="2584"/>
      <c r="T17" s="2584"/>
      <c r="U17" s="2584"/>
    </row>
    <row r="18" spans="1:21">
      <c r="A18" s="1463"/>
      <c r="B18" s="2538" t="s">
        <v>1474</v>
      </c>
      <c r="C18" s="1396">
        <v>70</v>
      </c>
      <c r="D18" s="1396">
        <v>40</v>
      </c>
      <c r="E18" s="1396">
        <v>50</v>
      </c>
      <c r="F18" s="1396">
        <v>50</v>
      </c>
      <c r="G18" s="1396">
        <v>50</v>
      </c>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68.84</v>
      </c>
      <c r="D19" s="1458">
        <f>IF(A17="出让",IF(D17="","",ROUNDDOWN(MIN((D17-$D$3)/365,D18),2)),D18)</f>
        <v>38.82</v>
      </c>
      <c r="E19" s="1397">
        <f>IF(A17="出让",IF(E17="","",ROUNDDOWN(MIN((E17-$D$3)/365,E18),2)),E18)</f>
        <v>48.83</v>
      </c>
      <c r="F19" s="1397">
        <f>IF(A17="出让",IF(F17="","",ROUNDDOWN(MIN((F17-$D$3)/365,F18),2)),F18)</f>
        <v>48.83</v>
      </c>
      <c r="G19" s="1397">
        <f>IF(A17="出让",IF(G17="","",ROUNDDOWN(MIN((G17-$D$3)/365,G18),2)),G18)</f>
        <v>48.83</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86"/>
      <c r="E20" s="3487"/>
      <c r="F20" s="3487"/>
      <c r="G20" s="3487"/>
      <c r="H20" s="3487"/>
      <c r="I20" s="3488"/>
      <c r="J20" s="2603"/>
      <c r="K20" s="2587"/>
      <c r="L20" s="2583"/>
      <c r="M20" s="2583"/>
      <c r="N20" s="2584"/>
      <c r="O20" s="2585"/>
      <c r="P20" s="2584"/>
      <c r="Q20" s="2584"/>
      <c r="R20" s="2584"/>
      <c r="S20" s="2584"/>
      <c r="T20" s="2584"/>
      <c r="U20" s="2584"/>
    </row>
    <row r="21" spans="1:21">
      <c r="A21" s="1463" t="s">
        <v>1476</v>
      </c>
      <c r="B21" s="1464" t="s">
        <v>1477</v>
      </c>
      <c r="C21" s="1459">
        <f>'数据-汇总表'!E3</f>
        <v>11011.79</v>
      </c>
      <c r="D21" s="1460" t="s">
        <v>1478</v>
      </c>
      <c r="E21" s="3476" t="s">
        <v>1516</v>
      </c>
      <c r="F21" s="3477"/>
      <c r="G21" s="3477"/>
      <c r="H21" s="3477"/>
      <c r="I21" s="3478"/>
      <c r="J21" s="2603"/>
      <c r="K21" s="2587"/>
      <c r="L21" s="2583"/>
      <c r="M21" s="2583"/>
      <c r="N21" s="2584"/>
      <c r="O21" s="2585"/>
      <c r="P21" s="2584"/>
      <c r="Q21" s="2584"/>
      <c r="R21" s="2584"/>
      <c r="S21" s="2584"/>
      <c r="T21" s="2584"/>
      <c r="U21" s="2584"/>
    </row>
    <row r="22" spans="1:21">
      <c r="A22" s="2366" t="s">
        <v>877</v>
      </c>
      <c r="B22" s="1378" t="s">
        <v>1479</v>
      </c>
      <c r="C22" s="1398">
        <f>'数据-汇总表'!D3</f>
        <v>5431.65</v>
      </c>
      <c r="D22" s="1399" t="s">
        <v>1478</v>
      </c>
      <c r="E22" s="3476" t="s">
        <v>2163</v>
      </c>
      <c r="F22" s="3477"/>
      <c r="G22" s="3477"/>
      <c r="H22" s="3477"/>
      <c r="I22" s="3478"/>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79" t="s">
        <v>1484</v>
      </c>
      <c r="C24" s="3480"/>
      <c r="D24" s="3481" t="s">
        <v>1485</v>
      </c>
      <c r="E24" s="3482"/>
      <c r="F24" s="1414" t="s">
        <v>1486</v>
      </c>
      <c r="G24" s="2603"/>
      <c r="H24" s="2603"/>
      <c r="I24" s="2604"/>
      <c r="J24" s="2603"/>
      <c r="K24" s="3467"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67"/>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67"/>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53" t="s">
        <v>1519</v>
      </c>
      <c r="B31" s="1464" t="s">
        <v>1520</v>
      </c>
      <c r="C31" s="3492"/>
      <c r="D31" s="3493"/>
      <c r="E31" s="2603"/>
      <c r="F31" s="2603"/>
      <c r="G31" s="2603"/>
      <c r="H31" s="2603"/>
      <c r="I31" s="2604"/>
      <c r="J31" s="2603"/>
      <c r="K31" s="2590"/>
      <c r="L31" s="2584"/>
      <c r="M31" s="2584"/>
      <c r="N31" s="2584"/>
      <c r="O31" s="2584"/>
      <c r="P31" s="2584"/>
      <c r="Q31" s="2584"/>
      <c r="R31" s="2584"/>
      <c r="S31" s="2584"/>
      <c r="T31" s="2584"/>
      <c r="U31" s="2584"/>
    </row>
    <row r="32" spans="1:21">
      <c r="A32" s="3453"/>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53"/>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54"/>
      <c r="B34" s="1378" t="s">
        <v>1523</v>
      </c>
      <c r="C34" s="3455"/>
      <c r="D34" s="3456"/>
      <c r="E34" s="2603"/>
      <c r="F34" s="2603"/>
      <c r="G34" s="2603"/>
      <c r="H34" s="2603"/>
      <c r="I34" s="2604"/>
      <c r="J34" s="2603"/>
      <c r="K34" s="2590"/>
      <c r="L34" s="2584"/>
      <c r="M34" s="2584"/>
      <c r="N34" s="2584"/>
      <c r="O34" s="2584"/>
      <c r="P34" s="2584"/>
      <c r="Q34" s="2584"/>
      <c r="R34" s="2584"/>
      <c r="S34" s="2584"/>
      <c r="T34" s="2584"/>
      <c r="U34" s="2584"/>
    </row>
    <row r="35" spans="1:28">
      <c r="A35" s="3457" t="s">
        <v>785</v>
      </c>
      <c r="B35" s="1428"/>
      <c r="C35" s="1472" t="str">
        <f>IF(B35="场地平整","——","具体情况：")</f>
        <v>具体情况：</v>
      </c>
      <c r="D35" s="3459"/>
      <c r="E35" s="3460"/>
      <c r="F35" s="3460"/>
      <c r="G35" s="3460"/>
      <c r="H35" s="3460"/>
      <c r="I35" s="3461"/>
      <c r="J35" s="2603"/>
      <c r="K35" s="2591"/>
      <c r="L35" s="2583"/>
      <c r="M35" s="2583"/>
      <c r="N35" s="2584"/>
      <c r="O35" s="2585"/>
      <c r="P35" s="2584"/>
      <c r="Q35" s="2584"/>
      <c r="R35" s="2584"/>
      <c r="S35" s="2584"/>
      <c r="T35" s="2584"/>
      <c r="U35" s="2584"/>
    </row>
    <row r="36" spans="1:28">
      <c r="A36" s="3453"/>
      <c r="B36" s="3462" t="s">
        <v>1572</v>
      </c>
      <c r="C36" s="3463"/>
      <c r="D36" s="1487"/>
      <c r="E36" s="3464"/>
      <c r="F36" s="3464"/>
      <c r="G36" s="1399" t="str">
        <f>IF(B35="场地未平整","估价结果处理","")</f>
        <v/>
      </c>
      <c r="H36" s="3465"/>
      <c r="I36" s="3465"/>
      <c r="J36" s="2603"/>
      <c r="K36" s="2591"/>
      <c r="L36" s="2583"/>
      <c r="M36" s="2583"/>
      <c r="N36" s="2584"/>
      <c r="O36" s="2585"/>
      <c r="P36" s="2584"/>
      <c r="Q36" s="2584"/>
      <c r="R36" s="2584"/>
      <c r="S36" s="2584"/>
      <c r="T36" s="2584"/>
      <c r="U36" s="2584"/>
    </row>
    <row r="37" spans="1:28">
      <c r="A37" s="3453"/>
      <c r="B37" s="3483"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53"/>
      <c r="B38" s="3484"/>
      <c r="C38" s="1386" t="s">
        <v>788</v>
      </c>
      <c r="D38" s="1486">
        <f>ROUNDDOWN(MIN(('数据-取费表'!$B$2-D37)/365,D34),1)</f>
        <v>125.7</v>
      </c>
      <c r="E38" s="1433" t="s">
        <v>789</v>
      </c>
      <c r="F38" s="2603"/>
      <c r="G38" s="2603"/>
      <c r="H38" s="2603"/>
      <c r="I38" s="2604"/>
      <c r="J38" s="2603"/>
      <c r="K38" s="2591"/>
      <c r="L38" s="2584"/>
      <c r="M38" s="2584"/>
      <c r="N38" s="2584"/>
      <c r="O38" s="2584"/>
      <c r="P38" s="2584"/>
      <c r="Q38" s="2584"/>
      <c r="R38" s="2584"/>
      <c r="S38" s="2584"/>
      <c r="T38" s="2584"/>
      <c r="U38" s="2584"/>
    </row>
    <row r="39" spans="1:28">
      <c r="A39" s="3454"/>
      <c r="B39" s="3485"/>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66" t="s">
        <v>1503</v>
      </c>
      <c r="T40" s="1407" t="str">
        <f>NUMBERSTRING(7-K40,1)&amp;"通"</f>
        <v>七通</v>
      </c>
      <c r="U40" s="2584"/>
    </row>
    <row r="41" spans="1:28">
      <c r="A41" s="1380"/>
      <c r="B41" s="3458" t="s">
        <v>1250</v>
      </c>
      <c r="C41" s="3458"/>
      <c r="D41" s="3458"/>
      <c r="E41" s="3458"/>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66"/>
      <c r="T41" s="1438" t="str">
        <f>IF(T40="一通",L41,IF(T40="二通",M41,IF(T40="三通",N41,IF(T40="四通",O41,IF(T40="五通",P41,IF(T40="六通",Q41,R41))))))</f>
        <v>、、、、、、</v>
      </c>
      <c r="U41" s="2584"/>
    </row>
    <row r="42" spans="1:28">
      <c r="A42" s="1440"/>
      <c r="B42" s="1466" t="s">
        <v>1422</v>
      </c>
      <c r="C42" s="1466" t="s">
        <v>1423</v>
      </c>
      <c r="D42" s="1466" t="s">
        <v>1424</v>
      </c>
      <c r="E42" s="1466" t="s">
        <v>2731</v>
      </c>
      <c r="F42" s="1466" t="s">
        <v>2732</v>
      </c>
      <c r="G42" s="2603"/>
      <c r="H42" s="2603"/>
      <c r="I42" s="2604"/>
      <c r="J42" s="2603"/>
      <c r="K42" s="2587"/>
      <c r="L42" s="2583"/>
      <c r="M42" s="2583"/>
      <c r="N42" s="2584"/>
      <c r="O42" s="2585"/>
      <c r="P42" s="2584"/>
      <c r="Q42" s="2584"/>
      <c r="R42" s="2584"/>
      <c r="S42" s="2584"/>
      <c r="T42" s="2584"/>
      <c r="U42" s="2584"/>
    </row>
    <row r="43" spans="1:28">
      <c r="A43" s="2559" t="s">
        <v>1235</v>
      </c>
      <c r="B43" s="1442" t="s">
        <v>1154</v>
      </c>
      <c r="C43" s="1442" t="s">
        <v>1154</v>
      </c>
      <c r="D43" s="1442" t="s">
        <v>1154</v>
      </c>
      <c r="E43" s="1442"/>
      <c r="F43" s="1442" t="s">
        <v>1154</v>
      </c>
      <c r="G43" s="2603"/>
      <c r="H43" s="2603"/>
      <c r="I43" s="2604"/>
      <c r="J43" s="2603"/>
      <c r="K43" s="2587"/>
      <c r="L43" s="2583"/>
      <c r="M43" s="2583"/>
      <c r="N43" s="2584"/>
      <c r="O43" s="2585"/>
      <c r="P43" s="2584"/>
      <c r="Q43" s="2584"/>
      <c r="R43" s="2584"/>
      <c r="S43" s="2584"/>
      <c r="T43" s="2584"/>
      <c r="U43" s="2584"/>
    </row>
    <row r="44" spans="1:28">
      <c r="A44" s="2559" t="s">
        <v>1236</v>
      </c>
      <c r="B44" s="1442" t="s">
        <v>2889</v>
      </c>
      <c r="C44" s="1442" t="s">
        <v>2889</v>
      </c>
      <c r="D44" s="1442" t="s">
        <v>2889</v>
      </c>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2164</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B1" workbookViewId="0">
      <selection activeCell="S24" sqref="S24"/>
    </sheetView>
  </sheetViews>
  <sheetFormatPr defaultRowHeight="13.5"/>
  <cols>
    <col min="11" max="12" width="12.5" customWidth="1"/>
  </cols>
  <sheetData>
    <row r="1" spans="1:13" ht="15.75">
      <c r="A1" s="3409" t="s">
        <v>3318</v>
      </c>
      <c r="B1" s="3409" t="s">
        <v>3319</v>
      </c>
      <c r="C1" s="3410" t="s">
        <v>3273</v>
      </c>
      <c r="D1" s="3411" t="s">
        <v>2713</v>
      </c>
      <c r="E1" s="3411" t="s">
        <v>3320</v>
      </c>
      <c r="F1" s="3411" t="s">
        <v>3321</v>
      </c>
      <c r="G1" s="3411" t="s">
        <v>3322</v>
      </c>
      <c r="H1" s="3411" t="s">
        <v>3323</v>
      </c>
      <c r="I1" s="3411" t="s">
        <v>3324</v>
      </c>
      <c r="J1" s="3411" t="s">
        <v>3268</v>
      </c>
      <c r="K1" s="3411" t="s">
        <v>3325</v>
      </c>
      <c r="L1" s="3411" t="s">
        <v>3344</v>
      </c>
      <c r="M1" s="3409" t="s">
        <v>3326</v>
      </c>
    </row>
    <row r="2" spans="1:13" ht="15.75">
      <c r="A2" s="3409" t="s">
        <v>3327</v>
      </c>
      <c r="B2" s="3409" t="s">
        <v>3328</v>
      </c>
      <c r="C2" s="3409">
        <f>SUM(D2:L2)</f>
        <v>4102.01</v>
      </c>
      <c r="D2" s="3409">
        <v>3708.86</v>
      </c>
      <c r="E2" s="3409"/>
      <c r="F2" s="3409"/>
      <c r="G2" s="3409"/>
      <c r="H2" s="3409"/>
      <c r="I2" s="3409"/>
      <c r="J2" s="3409"/>
      <c r="K2" s="3409">
        <v>393.15</v>
      </c>
      <c r="L2" s="3409"/>
      <c r="M2" s="3409">
        <v>44</v>
      </c>
    </row>
    <row r="3" spans="1:13" ht="15.75">
      <c r="A3" s="3409" t="s">
        <v>3327</v>
      </c>
      <c r="B3" s="3409" t="s">
        <v>3329</v>
      </c>
      <c r="C3" s="3409">
        <f t="shared" ref="C3:C13" si="0">SUM(D3:L3)</f>
        <v>2714.92</v>
      </c>
      <c r="D3" s="3409">
        <v>2714.92</v>
      </c>
      <c r="E3" s="3409"/>
      <c r="F3" s="3409"/>
      <c r="G3" s="3409"/>
      <c r="H3" s="3409"/>
      <c r="I3" s="3409"/>
      <c r="J3" s="3409"/>
      <c r="K3" s="3409"/>
      <c r="L3" s="3409"/>
      <c r="M3" s="3409">
        <v>44</v>
      </c>
    </row>
    <row r="4" spans="1:13" ht="15.75">
      <c r="A4" s="3409" t="s">
        <v>3327</v>
      </c>
      <c r="B4" s="3409" t="s">
        <v>3330</v>
      </c>
      <c r="C4" s="3409">
        <f t="shared" si="0"/>
        <v>2717.6</v>
      </c>
      <c r="D4" s="3409">
        <v>2717.6</v>
      </c>
      <c r="E4" s="3409"/>
      <c r="F4" s="3409"/>
      <c r="G4" s="3409"/>
      <c r="H4" s="3409"/>
      <c r="I4" s="3409"/>
      <c r="J4" s="3409"/>
      <c r="K4" s="3409"/>
      <c r="L4" s="3409"/>
      <c r="M4" s="3409">
        <v>32</v>
      </c>
    </row>
    <row r="5" spans="1:13" ht="15.75">
      <c r="A5" s="3409" t="s">
        <v>3327</v>
      </c>
      <c r="B5" s="3409" t="s">
        <v>3331</v>
      </c>
      <c r="C5" s="3409">
        <f t="shared" si="0"/>
        <v>2725.73</v>
      </c>
      <c r="D5" s="3409">
        <v>2715.12</v>
      </c>
      <c r="E5" s="3409"/>
      <c r="F5" s="3409"/>
      <c r="G5" s="3409"/>
      <c r="H5" s="3409"/>
      <c r="I5" s="3409"/>
      <c r="J5" s="3409"/>
      <c r="K5" s="3409"/>
      <c r="L5" s="3409">
        <v>10.61</v>
      </c>
      <c r="M5" s="3409">
        <v>32</v>
      </c>
    </row>
    <row r="6" spans="1:13" ht="15.75">
      <c r="A6" s="3409" t="s">
        <v>3327</v>
      </c>
      <c r="B6" s="3409" t="s">
        <v>3332</v>
      </c>
      <c r="C6" s="3409">
        <f t="shared" si="0"/>
        <v>5784.9</v>
      </c>
      <c r="D6" s="3409">
        <v>5784.9</v>
      </c>
      <c r="E6" s="3409"/>
      <c r="F6" s="3409"/>
      <c r="G6" s="3409"/>
      <c r="H6" s="3409"/>
      <c r="I6" s="3409"/>
      <c r="J6" s="3409"/>
      <c r="K6" s="3409"/>
      <c r="L6" s="3409"/>
      <c r="M6" s="3409">
        <v>66</v>
      </c>
    </row>
    <row r="7" spans="1:13" ht="15.75">
      <c r="A7" s="3409" t="s">
        <v>3327</v>
      </c>
      <c r="B7" s="3409" t="s">
        <v>3333</v>
      </c>
      <c r="C7" s="3409">
        <f t="shared" si="0"/>
        <v>1932.66</v>
      </c>
      <c r="D7" s="3409">
        <v>1932.66</v>
      </c>
      <c r="E7" s="3409"/>
      <c r="F7" s="3409"/>
      <c r="G7" s="3409"/>
      <c r="H7" s="3409"/>
      <c r="I7" s="3409"/>
      <c r="J7" s="3409"/>
      <c r="K7" s="3409"/>
      <c r="L7" s="3409"/>
      <c r="M7" s="3409">
        <v>18</v>
      </c>
    </row>
    <row r="8" spans="1:13" ht="15.75">
      <c r="A8" s="3409" t="s">
        <v>3327</v>
      </c>
      <c r="B8" s="3409" t="s">
        <v>3334</v>
      </c>
      <c r="C8" s="3409">
        <f t="shared" si="0"/>
        <v>1933.74</v>
      </c>
      <c r="D8" s="3409">
        <v>1933.74</v>
      </c>
      <c r="E8" s="3409"/>
      <c r="F8" s="3409"/>
      <c r="G8" s="3409"/>
      <c r="H8" s="3409"/>
      <c r="I8" s="3409"/>
      <c r="J8" s="3409"/>
      <c r="K8" s="3409"/>
      <c r="L8" s="3409"/>
      <c r="M8" s="3409">
        <v>18</v>
      </c>
    </row>
    <row r="9" spans="1:13" ht="15.75">
      <c r="A9" s="3409" t="s">
        <v>3327</v>
      </c>
      <c r="B9" s="3409" t="s">
        <v>3335</v>
      </c>
      <c r="C9" s="3409">
        <f t="shared" si="0"/>
        <v>1933.02</v>
      </c>
      <c r="D9" s="3409">
        <v>1933.02</v>
      </c>
      <c r="E9" s="3409"/>
      <c r="F9" s="3409"/>
      <c r="G9" s="3409"/>
      <c r="H9" s="3409"/>
      <c r="I9" s="3409"/>
      <c r="J9" s="3409"/>
      <c r="K9" s="3409"/>
      <c r="L9" s="3409"/>
      <c r="M9" s="3409">
        <v>18</v>
      </c>
    </row>
    <row r="10" spans="1:13" ht="15.75">
      <c r="A10" s="3409" t="s">
        <v>3327</v>
      </c>
      <c r="B10" s="3409" t="s">
        <v>3336</v>
      </c>
      <c r="C10" s="3409">
        <f t="shared" si="0"/>
        <v>3978.32</v>
      </c>
      <c r="D10" s="3409">
        <v>3592.76</v>
      </c>
      <c r="E10" s="3409"/>
      <c r="F10" s="3409"/>
      <c r="G10" s="3409"/>
      <c r="H10" s="3409"/>
      <c r="I10" s="3409"/>
      <c r="J10" s="3409"/>
      <c r="K10" s="3409">
        <v>385.56</v>
      </c>
      <c r="L10" s="3409"/>
      <c r="M10" s="3409">
        <v>44</v>
      </c>
    </row>
    <row r="11" spans="1:13" ht="15.75">
      <c r="A11" s="3409" t="s">
        <v>3327</v>
      </c>
      <c r="B11" s="3409" t="s">
        <v>3337</v>
      </c>
      <c r="C11" s="3409">
        <f t="shared" si="0"/>
        <v>3610.42</v>
      </c>
      <c r="D11" s="3409">
        <v>3610.42</v>
      </c>
      <c r="E11" s="3409"/>
      <c r="F11" s="3409"/>
      <c r="G11" s="3409"/>
      <c r="H11" s="3409"/>
      <c r="I11" s="3409"/>
      <c r="J11" s="3409"/>
      <c r="K11" s="3409"/>
      <c r="L11" s="3409"/>
      <c r="M11" s="3409">
        <v>44</v>
      </c>
    </row>
    <row r="12" spans="1:13" ht="15.75">
      <c r="A12" s="3409" t="s">
        <v>3327</v>
      </c>
      <c r="B12" s="3409" t="s">
        <v>3338</v>
      </c>
      <c r="C12" s="3409">
        <f t="shared" si="0"/>
        <v>2305.38</v>
      </c>
      <c r="D12" s="3409">
        <v>2305.38</v>
      </c>
      <c r="E12" s="3409"/>
      <c r="F12" s="3409"/>
      <c r="G12" s="3409"/>
      <c r="H12" s="3409"/>
      <c r="I12" s="3409"/>
      <c r="J12" s="3409"/>
      <c r="K12" s="3409"/>
      <c r="L12" s="3409"/>
      <c r="M12" s="3409">
        <v>28</v>
      </c>
    </row>
    <row r="13" spans="1:13" ht="15.75">
      <c r="A13" s="3409" t="s">
        <v>3327</v>
      </c>
      <c r="B13" s="3410" t="s">
        <v>3267</v>
      </c>
      <c r="C13" s="3409">
        <f t="shared" si="0"/>
        <v>7542.87</v>
      </c>
      <c r="D13" s="3409"/>
      <c r="E13" s="3409"/>
      <c r="F13" s="3409"/>
      <c r="G13" s="3409"/>
      <c r="H13" s="3409">
        <v>3289.81</v>
      </c>
      <c r="I13" s="3409">
        <v>451.25</v>
      </c>
      <c r="J13" s="3409">
        <f>18.28+216.62+222.64+26.03+8.82</f>
        <v>492.38999999999993</v>
      </c>
      <c r="K13" s="3409"/>
      <c r="L13" s="3409">
        <v>3309.42</v>
      </c>
      <c r="M13" s="3409"/>
    </row>
    <row r="14" spans="1:13" ht="14.25">
      <c r="A14" s="3409"/>
      <c r="B14" s="3409" t="s">
        <v>3339</v>
      </c>
      <c r="C14" s="3409">
        <f t="shared" ref="C14:L14" si="1">SUM(C2:C13)</f>
        <v>41281.57</v>
      </c>
      <c r="D14" s="3409">
        <f t="shared" si="1"/>
        <v>32949.379999999997</v>
      </c>
      <c r="E14" s="3409">
        <f t="shared" si="1"/>
        <v>0</v>
      </c>
      <c r="F14" s="3409">
        <f t="shared" si="1"/>
        <v>0</v>
      </c>
      <c r="G14" s="3409">
        <f t="shared" si="1"/>
        <v>0</v>
      </c>
      <c r="H14" s="3409">
        <f t="shared" si="1"/>
        <v>3289.81</v>
      </c>
      <c r="I14" s="3409">
        <f t="shared" si="1"/>
        <v>451.25</v>
      </c>
      <c r="J14" s="3409">
        <f t="shared" si="1"/>
        <v>492.38999999999993</v>
      </c>
      <c r="K14" s="3409">
        <f t="shared" si="1"/>
        <v>778.71</v>
      </c>
      <c r="L14" s="3409">
        <f t="shared" si="1"/>
        <v>3320.03</v>
      </c>
      <c r="M14" s="3409"/>
    </row>
    <row r="15" spans="1:13" ht="14.25">
      <c r="A15" s="1008"/>
      <c r="B15" s="1008"/>
      <c r="C15" s="1008"/>
      <c r="D15" s="1008">
        <v>5999.63</v>
      </c>
      <c r="E15" s="1008"/>
      <c r="F15" s="1008"/>
      <c r="G15" s="1008"/>
      <c r="H15" s="1008">
        <v>242</v>
      </c>
      <c r="I15" s="1008">
        <v>18</v>
      </c>
      <c r="J15" s="1008"/>
      <c r="K15" s="1008"/>
      <c r="L15" s="1008"/>
      <c r="M15" s="1008"/>
    </row>
    <row r="16" spans="1:13">
      <c r="H16">
        <f>H14/H15</f>
        <v>13.594256198347107</v>
      </c>
    </row>
    <row r="17" spans="1:13" ht="15.75">
      <c r="A17" s="3409" t="s">
        <v>3318</v>
      </c>
      <c r="B17" s="3409" t="s">
        <v>3319</v>
      </c>
      <c r="C17" s="3410" t="s">
        <v>3273</v>
      </c>
      <c r="D17" s="3411" t="s">
        <v>2713</v>
      </c>
      <c r="E17" s="3411" t="s">
        <v>3320</v>
      </c>
      <c r="F17" s="3411" t="s">
        <v>3321</v>
      </c>
      <c r="G17" s="3411" t="s">
        <v>3322</v>
      </c>
      <c r="H17" s="3411" t="s">
        <v>3323</v>
      </c>
      <c r="I17" s="3411" t="s">
        <v>3324</v>
      </c>
      <c r="J17" s="3411" t="s">
        <v>3268</v>
      </c>
      <c r="K17" s="3411" t="s">
        <v>3325</v>
      </c>
      <c r="L17" s="3411" t="s">
        <v>3344</v>
      </c>
      <c r="M17" s="3409" t="s">
        <v>3326</v>
      </c>
    </row>
    <row r="18" spans="1:13" ht="15.75">
      <c r="A18" s="3409" t="s">
        <v>3340</v>
      </c>
      <c r="B18" s="3409" t="s">
        <v>3328</v>
      </c>
      <c r="C18" s="3409">
        <f>SUM(D18:L18)</f>
        <v>3572.72</v>
      </c>
      <c r="D18" s="3409">
        <v>3572.72</v>
      </c>
      <c r="E18" s="3409"/>
      <c r="F18" s="3409"/>
      <c r="G18" s="3409"/>
      <c r="H18" s="3409"/>
      <c r="I18" s="3409"/>
      <c r="J18" s="3409"/>
      <c r="K18" s="3409"/>
      <c r="L18" s="3409"/>
      <c r="M18" s="3409">
        <v>44</v>
      </c>
    </row>
    <row r="19" spans="1:13" ht="15.75">
      <c r="A19" s="3409" t="s">
        <v>3340</v>
      </c>
      <c r="B19" s="3409" t="s">
        <v>3329</v>
      </c>
      <c r="C19" s="3409">
        <f t="shared" ref="C19:C31" si="2">SUM(D19:L19)</f>
        <v>3621.2</v>
      </c>
      <c r="D19" s="3409">
        <v>3621.2</v>
      </c>
      <c r="E19" s="3409"/>
      <c r="F19" s="3409"/>
      <c r="G19" s="3409"/>
      <c r="H19" s="3409"/>
      <c r="I19" s="3409"/>
      <c r="J19" s="3409"/>
      <c r="K19" s="3409"/>
      <c r="L19" s="3409"/>
      <c r="M19" s="3409">
        <v>44</v>
      </c>
    </row>
    <row r="20" spans="1:13" ht="15.75">
      <c r="A20" s="3409" t="s">
        <v>3340</v>
      </c>
      <c r="B20" s="3409" t="s">
        <v>3330</v>
      </c>
      <c r="C20" s="3409">
        <f t="shared" si="2"/>
        <v>3055.68</v>
      </c>
      <c r="D20" s="3409">
        <v>3055.68</v>
      </c>
      <c r="E20" s="3409"/>
      <c r="F20" s="3409"/>
      <c r="G20" s="3409"/>
      <c r="H20" s="3409"/>
      <c r="I20" s="3409"/>
      <c r="J20" s="3409"/>
      <c r="K20" s="3409"/>
      <c r="L20" s="3409"/>
      <c r="M20" s="3409">
        <v>36</v>
      </c>
    </row>
    <row r="21" spans="1:13" ht="15.75">
      <c r="A21" s="3409" t="s">
        <v>3340</v>
      </c>
      <c r="B21" s="3409" t="s">
        <v>3331</v>
      </c>
      <c r="C21" s="3409">
        <f t="shared" si="2"/>
        <v>3145.79</v>
      </c>
      <c r="D21" s="3409">
        <v>2717.68</v>
      </c>
      <c r="E21" s="3409"/>
      <c r="F21" s="3409"/>
      <c r="G21" s="3409"/>
      <c r="H21" s="3409"/>
      <c r="I21" s="3409"/>
      <c r="J21" s="3409"/>
      <c r="K21" s="3409">
        <v>428.11</v>
      </c>
      <c r="L21" s="3409"/>
      <c r="M21" s="3409">
        <v>32</v>
      </c>
    </row>
    <row r="22" spans="1:13" ht="15.75">
      <c r="A22" s="3409" t="s">
        <v>3340</v>
      </c>
      <c r="B22" s="3409" t="s">
        <v>3332</v>
      </c>
      <c r="C22" s="3409">
        <f t="shared" si="2"/>
        <v>5731.8</v>
      </c>
      <c r="D22" s="3409">
        <v>5731.8</v>
      </c>
      <c r="E22" s="3409"/>
      <c r="F22" s="3409"/>
      <c r="G22" s="3409"/>
      <c r="H22" s="3409"/>
      <c r="I22" s="3409"/>
      <c r="J22" s="3409"/>
      <c r="K22" s="3409"/>
      <c r="L22" s="3409"/>
      <c r="M22" s="3409">
        <v>66</v>
      </c>
    </row>
    <row r="23" spans="1:13" ht="15.75">
      <c r="A23" s="3409" t="s">
        <v>3340</v>
      </c>
      <c r="B23" s="3409" t="s">
        <v>3333</v>
      </c>
      <c r="C23" s="3409">
        <f t="shared" si="2"/>
        <v>1933.02</v>
      </c>
      <c r="D23" s="3409">
        <v>1933.02</v>
      </c>
      <c r="E23" s="3409"/>
      <c r="F23" s="3409"/>
      <c r="G23" s="3409"/>
      <c r="H23" s="3409"/>
      <c r="I23" s="3409"/>
      <c r="J23" s="3409"/>
      <c r="K23" s="3409"/>
      <c r="L23" s="3409"/>
      <c r="M23" s="3409">
        <v>18</v>
      </c>
    </row>
    <row r="24" spans="1:13" ht="15.75">
      <c r="A24" s="3409" t="s">
        <v>3340</v>
      </c>
      <c r="B24" s="3409" t="s">
        <v>3334</v>
      </c>
      <c r="C24" s="3409">
        <f t="shared" si="2"/>
        <v>1933.02</v>
      </c>
      <c r="D24" s="3409">
        <v>1933.02</v>
      </c>
      <c r="E24" s="3409"/>
      <c r="F24" s="3409"/>
      <c r="G24" s="3409"/>
      <c r="H24" s="3409"/>
      <c r="I24" s="3409"/>
      <c r="J24" s="3409"/>
      <c r="K24" s="3409"/>
      <c r="L24" s="3409"/>
      <c r="M24" s="3409">
        <v>18</v>
      </c>
    </row>
    <row r="25" spans="1:13" ht="15.75">
      <c r="A25" s="3409" t="s">
        <v>3340</v>
      </c>
      <c r="B25" s="3409" t="s">
        <v>3335</v>
      </c>
      <c r="C25" s="3409">
        <f t="shared" si="2"/>
        <v>4721.9399999999996</v>
      </c>
      <c r="D25" s="3409">
        <v>4721.9399999999996</v>
      </c>
      <c r="E25" s="3409"/>
      <c r="F25" s="3409"/>
      <c r="G25" s="3409"/>
      <c r="H25" s="3409"/>
      <c r="I25" s="3409"/>
      <c r="J25" s="3409"/>
      <c r="K25" s="3409"/>
      <c r="L25" s="3409"/>
      <c r="M25" s="3409">
        <v>54</v>
      </c>
    </row>
    <row r="26" spans="1:13" ht="15.75">
      <c r="A26" s="3409" t="s">
        <v>3340</v>
      </c>
      <c r="B26" s="3409" t="s">
        <v>3336</v>
      </c>
      <c r="C26" s="3409">
        <f t="shared" si="2"/>
        <v>3590.6</v>
      </c>
      <c r="D26" s="3409">
        <v>3590.6</v>
      </c>
      <c r="E26" s="3409"/>
      <c r="F26" s="3409"/>
      <c r="G26" s="3409"/>
      <c r="H26" s="3409"/>
      <c r="I26" s="3409"/>
      <c r="J26" s="3409"/>
      <c r="K26" s="3409"/>
      <c r="L26" s="3409"/>
      <c r="M26" s="3409">
        <v>44</v>
      </c>
    </row>
    <row r="27" spans="1:13" ht="15.75">
      <c r="A27" s="3409" t="s">
        <v>3340</v>
      </c>
      <c r="B27" s="3409" t="s">
        <v>3337</v>
      </c>
      <c r="C27" s="3409">
        <f t="shared" si="2"/>
        <v>3621.2</v>
      </c>
      <c r="D27" s="3409">
        <v>3621.2</v>
      </c>
      <c r="E27" s="3409"/>
      <c r="F27" s="3409"/>
      <c r="G27" s="3409"/>
      <c r="H27" s="3409"/>
      <c r="I27" s="3409"/>
      <c r="J27" s="3409"/>
      <c r="K27" s="3409"/>
      <c r="L27" s="3409"/>
      <c r="M27" s="3409">
        <v>44</v>
      </c>
    </row>
    <row r="28" spans="1:13" ht="15.75">
      <c r="A28" s="3409" t="s">
        <v>3340</v>
      </c>
      <c r="B28" s="3409" t="s">
        <v>3338</v>
      </c>
      <c r="C28" s="3409">
        <f t="shared" si="2"/>
        <v>3621.2</v>
      </c>
      <c r="D28" s="3409">
        <v>3621.2</v>
      </c>
      <c r="E28" s="3409"/>
      <c r="F28" s="3409"/>
      <c r="G28" s="3409"/>
      <c r="H28" s="3409"/>
      <c r="I28" s="3409"/>
      <c r="J28" s="3409"/>
      <c r="K28" s="3409"/>
      <c r="L28" s="3409"/>
      <c r="M28" s="3409">
        <v>44</v>
      </c>
    </row>
    <row r="29" spans="1:13" ht="15.75">
      <c r="A29" s="3409" t="s">
        <v>3340</v>
      </c>
      <c r="B29" s="3409" t="s">
        <v>3341</v>
      </c>
      <c r="C29" s="3409">
        <f t="shared" si="2"/>
        <v>3996.2299999999996</v>
      </c>
      <c r="D29" s="3409">
        <v>3613.72</v>
      </c>
      <c r="E29" s="3409"/>
      <c r="F29" s="3409"/>
      <c r="G29" s="3409"/>
      <c r="H29" s="3409"/>
      <c r="I29" s="3409"/>
      <c r="J29" s="3409"/>
      <c r="K29" s="3409">
        <v>382.51</v>
      </c>
      <c r="L29" s="3409"/>
      <c r="M29" s="3409">
        <v>44</v>
      </c>
    </row>
    <row r="30" spans="1:13" ht="15.75">
      <c r="A30" s="3409" t="s">
        <v>3342</v>
      </c>
      <c r="B30" s="3409" t="s">
        <v>3343</v>
      </c>
      <c r="C30" s="3409">
        <f t="shared" si="2"/>
        <v>1726.25</v>
      </c>
      <c r="D30" s="3409"/>
      <c r="E30" s="3409">
        <v>1213.5</v>
      </c>
      <c r="F30" s="3409">
        <v>152.97</v>
      </c>
      <c r="G30" s="3409">
        <f>112.13+224.55+23.1</f>
        <v>359.78000000000003</v>
      </c>
      <c r="H30" s="3409"/>
      <c r="I30" s="3409"/>
      <c r="J30" s="3409"/>
      <c r="K30" s="3409"/>
      <c r="L30" s="3409"/>
      <c r="M30" s="3409"/>
    </row>
    <row r="31" spans="1:13" ht="15.75">
      <c r="A31" s="3409" t="s">
        <v>3342</v>
      </c>
      <c r="B31" s="3410" t="s">
        <v>3267</v>
      </c>
      <c r="C31" s="3409">
        <f t="shared" si="2"/>
        <v>9125.26</v>
      </c>
      <c r="D31" s="3409"/>
      <c r="E31" s="3409"/>
      <c r="F31" s="3409"/>
      <c r="G31" s="3409"/>
      <c r="H31" s="3409">
        <v>4148.92</v>
      </c>
      <c r="I31" s="3409">
        <v>786.61</v>
      </c>
      <c r="J31" s="3409">
        <f>21.33+220.34+197.23+20.07+10.75</f>
        <v>469.71999999999997</v>
      </c>
      <c r="K31" s="3409"/>
      <c r="L31" s="3409">
        <v>3720.01</v>
      </c>
      <c r="M31" s="3409"/>
    </row>
    <row r="32" spans="1:13" ht="14.25">
      <c r="A32" s="3409"/>
      <c r="B32" s="3409" t="s">
        <v>3339</v>
      </c>
      <c r="C32" s="3409">
        <f>SUM(C18:C31)</f>
        <v>53395.909999999996</v>
      </c>
      <c r="D32" s="3409">
        <f t="shared" ref="D32:K32" si="3">SUM(D18:D31)</f>
        <v>41733.78</v>
      </c>
      <c r="E32" s="3409">
        <f t="shared" si="3"/>
        <v>1213.5</v>
      </c>
      <c r="F32" s="3409">
        <f t="shared" si="3"/>
        <v>152.97</v>
      </c>
      <c r="G32" s="3409">
        <f t="shared" si="3"/>
        <v>359.78000000000003</v>
      </c>
      <c r="H32" s="3409">
        <f t="shared" si="3"/>
        <v>4148.92</v>
      </c>
      <c r="I32" s="3409">
        <f t="shared" si="3"/>
        <v>786.61</v>
      </c>
      <c r="J32" s="3409">
        <f t="shared" si="3"/>
        <v>469.71999999999997</v>
      </c>
      <c r="K32" s="3409">
        <f t="shared" si="3"/>
        <v>810.62</v>
      </c>
      <c r="L32" s="3409"/>
      <c r="M32" s="3409"/>
    </row>
    <row r="33" spans="1:13" ht="14.25">
      <c r="A33" s="1008"/>
      <c r="B33" s="1008"/>
      <c r="C33" s="1008"/>
      <c r="D33" s="1008">
        <v>39553.72</v>
      </c>
      <c r="E33" s="1008"/>
      <c r="F33" s="1008"/>
      <c r="G33" s="1008"/>
      <c r="H33" s="1008">
        <v>305</v>
      </c>
      <c r="I33" s="1008">
        <v>18</v>
      </c>
      <c r="J33" s="1008"/>
      <c r="K33" s="1008"/>
      <c r="L33" s="1008"/>
      <c r="M33" s="1008"/>
    </row>
    <row r="34" spans="1:13">
      <c r="H34">
        <f>H32/H33</f>
        <v>13.603016393442623</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4" sqref="O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11.7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20362.47</v>
      </c>
      <c r="B3" s="19">
        <f>IF(C3="否",G5-AT5,G5)</f>
        <v>41281.569999999992</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41281.569999999992</v>
      </c>
      <c r="H5" s="23">
        <f t="shared" ref="H5:AT5" si="0">SUM(H13:H641)</f>
        <v>36690.439999999995</v>
      </c>
      <c r="I5" s="23">
        <f t="shared" si="0"/>
        <v>32949.379999999997</v>
      </c>
      <c r="J5" s="23">
        <f t="shared" si="0"/>
        <v>26949.749999999996</v>
      </c>
      <c r="K5" s="23">
        <f t="shared" si="0"/>
        <v>0</v>
      </c>
      <c r="L5" s="23">
        <f t="shared" si="0"/>
        <v>0</v>
      </c>
      <c r="M5" s="23">
        <f t="shared" si="0"/>
        <v>3289.81</v>
      </c>
      <c r="N5" s="23">
        <f t="shared" si="0"/>
        <v>0</v>
      </c>
      <c r="O5" s="23">
        <f t="shared" si="0"/>
        <v>451.25</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1271.0999999999999</v>
      </c>
      <c r="AD5" s="23">
        <f t="shared" si="0"/>
        <v>0</v>
      </c>
      <c r="AE5" s="23">
        <f t="shared" si="0"/>
        <v>0</v>
      </c>
      <c r="AF5" s="23">
        <f t="shared" si="0"/>
        <v>778.71</v>
      </c>
      <c r="AG5" s="23">
        <f t="shared" si="0"/>
        <v>0</v>
      </c>
      <c r="AH5" s="23">
        <f t="shared" si="0"/>
        <v>0</v>
      </c>
      <c r="AI5" s="23">
        <f t="shared" si="0"/>
        <v>0</v>
      </c>
      <c r="AJ5" s="23">
        <f t="shared" si="0"/>
        <v>0</v>
      </c>
      <c r="AK5" s="23">
        <f t="shared" si="0"/>
        <v>0</v>
      </c>
      <c r="AL5" s="23">
        <f t="shared" si="0"/>
        <v>0</v>
      </c>
      <c r="AM5" s="23">
        <f t="shared" si="0"/>
        <v>0</v>
      </c>
      <c r="AN5" s="23">
        <f t="shared" si="0"/>
        <v>492.38999999999993</v>
      </c>
      <c r="AO5" s="23">
        <f t="shared" si="0"/>
        <v>0</v>
      </c>
      <c r="AP5" s="23">
        <f t="shared" si="0"/>
        <v>0</v>
      </c>
      <c r="AQ5" s="23">
        <f t="shared" si="0"/>
        <v>0</v>
      </c>
      <c r="AR5" s="23">
        <f t="shared" si="0"/>
        <v>0</v>
      </c>
      <c r="AS5" s="23">
        <f t="shared" si="0"/>
        <v>0</v>
      </c>
      <c r="AT5" s="23">
        <f t="shared" si="0"/>
        <v>3320.03</v>
      </c>
      <c r="AU5" s="903"/>
      <c r="AV5" s="22" t="s">
        <v>134</v>
      </c>
      <c r="AW5" s="904"/>
      <c r="AX5" s="904"/>
      <c r="AY5" s="24" t="s">
        <v>2</v>
      </c>
      <c r="AZ5" s="25">
        <f t="shared" ref="AZ5:BT5" si="1">SUM(AZ13:AZ641)</f>
        <v>11011.79</v>
      </c>
      <c r="BA5" s="25">
        <f t="shared" si="1"/>
        <v>9740.69</v>
      </c>
      <c r="BB5" s="25">
        <f t="shared" si="1"/>
        <v>5999.630000000001</v>
      </c>
      <c r="BC5" s="25">
        <f t="shared" si="1"/>
        <v>0</v>
      </c>
      <c r="BD5" s="25">
        <f t="shared" si="1"/>
        <v>3289.81</v>
      </c>
      <c r="BE5" s="25">
        <f t="shared" si="1"/>
        <v>451.25</v>
      </c>
      <c r="BF5" s="25">
        <f t="shared" si="1"/>
        <v>0</v>
      </c>
      <c r="BG5" s="25">
        <f t="shared" si="1"/>
        <v>0</v>
      </c>
      <c r="BH5" s="25">
        <f t="shared" si="1"/>
        <v>0</v>
      </c>
      <c r="BI5" s="25">
        <f t="shared" si="1"/>
        <v>0</v>
      </c>
      <c r="BJ5" s="25">
        <f t="shared" si="1"/>
        <v>0</v>
      </c>
      <c r="BK5" s="25">
        <f t="shared" si="1"/>
        <v>0</v>
      </c>
      <c r="BL5" s="25">
        <f t="shared" si="1"/>
        <v>1271.0999999999999</v>
      </c>
      <c r="BM5" s="25">
        <f t="shared" si="1"/>
        <v>0</v>
      </c>
      <c r="BN5" s="25">
        <f t="shared" si="1"/>
        <v>778.71</v>
      </c>
      <c r="BO5" s="25">
        <f t="shared" si="1"/>
        <v>0</v>
      </c>
      <c r="BP5" s="25">
        <f t="shared" si="1"/>
        <v>0</v>
      </c>
      <c r="BQ5" s="25">
        <f t="shared" si="1"/>
        <v>0</v>
      </c>
      <c r="BR5" s="25">
        <f t="shared" si="1"/>
        <v>492.38999999999993</v>
      </c>
      <c r="BS5" s="25">
        <f t="shared" si="1"/>
        <v>0</v>
      </c>
      <c r="BT5" s="26">
        <f t="shared" si="1"/>
        <v>0</v>
      </c>
    </row>
    <row r="6" spans="1:72" s="33" customFormat="1" ht="12.75">
      <c r="A6" s="22" t="s">
        <v>135</v>
      </c>
      <c r="B6" s="27"/>
      <c r="C6" s="27"/>
      <c r="D6" s="28"/>
      <c r="E6" s="23">
        <f>H6+AC6+AT6</f>
        <v>18724.850000000002</v>
      </c>
      <c r="F6" s="23" t="s">
        <v>0</v>
      </c>
      <c r="G6" s="23" t="s">
        <v>1</v>
      </c>
      <c r="H6" s="29">
        <f>SUMIF(I$12:AB$12,"总值",I6:AB6)</f>
        <v>18097.86</v>
      </c>
      <c r="I6" s="23">
        <f t="shared" ref="I6:AB6" si="2">ROUND($A$3*I5/$B$3,2)</f>
        <v>16252.55</v>
      </c>
      <c r="J6" s="23">
        <f t="shared" si="2"/>
        <v>13293.18</v>
      </c>
      <c r="K6" s="23">
        <f t="shared" si="2"/>
        <v>0</v>
      </c>
      <c r="L6" s="23">
        <f t="shared" si="2"/>
        <v>0</v>
      </c>
      <c r="M6" s="23">
        <f t="shared" si="2"/>
        <v>1622.73</v>
      </c>
      <c r="N6" s="23">
        <f t="shared" si="2"/>
        <v>0</v>
      </c>
      <c r="O6" s="23">
        <f t="shared" si="2"/>
        <v>222.58</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626.99</v>
      </c>
      <c r="AD6" s="23">
        <f t="shared" ref="AD6:AS6" si="3">ROUND($A$3*AD5/$B$3,2)</f>
        <v>0</v>
      </c>
      <c r="AE6" s="23">
        <f t="shared" si="3"/>
        <v>0</v>
      </c>
      <c r="AF6" s="23">
        <f t="shared" si="3"/>
        <v>384.11</v>
      </c>
      <c r="AG6" s="23">
        <f t="shared" si="3"/>
        <v>0</v>
      </c>
      <c r="AH6" s="23">
        <f t="shared" si="3"/>
        <v>0</v>
      </c>
      <c r="AI6" s="23">
        <f t="shared" si="3"/>
        <v>0</v>
      </c>
      <c r="AJ6" s="23">
        <f t="shared" si="3"/>
        <v>0</v>
      </c>
      <c r="AK6" s="23">
        <f t="shared" si="3"/>
        <v>0</v>
      </c>
      <c r="AL6" s="23">
        <f t="shared" si="3"/>
        <v>0</v>
      </c>
      <c r="AM6" s="23">
        <f t="shared" si="3"/>
        <v>0</v>
      </c>
      <c r="AN6" s="23">
        <f t="shared" si="3"/>
        <v>242.88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5431.65</v>
      </c>
      <c r="AZ6" s="23" t="s">
        <v>2</v>
      </c>
      <c r="BA6" s="23">
        <f>ROUND($AY$6*BA5/$AZ$5,2)</f>
        <v>4804.67</v>
      </c>
      <c r="BB6" s="23">
        <f>ROUND($AY$6*BB5/$AZ$5,2)</f>
        <v>2959.36</v>
      </c>
      <c r="BC6" s="23">
        <f t="shared" ref="BC6:BH6" si="4">ROUND($AY$6*BC5/$AZ$5,2)</f>
        <v>0</v>
      </c>
      <c r="BD6" s="23">
        <f t="shared" si="4"/>
        <v>1622.72</v>
      </c>
      <c r="BE6" s="23">
        <f t="shared" si="4"/>
        <v>222.58</v>
      </c>
      <c r="BF6" s="23">
        <f t="shared" si="4"/>
        <v>0</v>
      </c>
      <c r="BG6" s="23">
        <f t="shared" si="4"/>
        <v>0</v>
      </c>
      <c r="BH6" s="23">
        <f t="shared" si="4"/>
        <v>0</v>
      </c>
      <c r="BI6" s="23">
        <f t="shared" ref="BI6:BT6" si="5">ROUND($AY$6*BI5/$AZ$5,2)</f>
        <v>0</v>
      </c>
      <c r="BJ6" s="23">
        <f t="shared" si="5"/>
        <v>0</v>
      </c>
      <c r="BK6" s="23">
        <f t="shared" si="5"/>
        <v>0</v>
      </c>
      <c r="BL6" s="23">
        <f t="shared" si="5"/>
        <v>626.98</v>
      </c>
      <c r="BM6" s="23">
        <f t="shared" si="5"/>
        <v>0</v>
      </c>
      <c r="BN6" s="23">
        <f t="shared" si="5"/>
        <v>384.1</v>
      </c>
      <c r="BO6" s="23">
        <f t="shared" si="5"/>
        <v>0</v>
      </c>
      <c r="BP6" s="23">
        <f t="shared" si="5"/>
        <v>0</v>
      </c>
      <c r="BQ6" s="23">
        <f t="shared" si="5"/>
        <v>0</v>
      </c>
      <c r="BR6" s="23">
        <f t="shared" si="5"/>
        <v>242.88</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4" t="s">
        <v>3348</v>
      </c>
      <c r="J9" s="47"/>
      <c r="K9" s="2304" t="s">
        <v>3348</v>
      </c>
      <c r="L9" s="47"/>
      <c r="M9" s="2304" t="s">
        <v>3349</v>
      </c>
      <c r="N9" s="47"/>
      <c r="O9" s="2304" t="s">
        <v>3349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4" t="s">
        <v>851</v>
      </c>
      <c r="J10" s="47"/>
      <c r="K10" s="2306" t="s">
        <v>2727</v>
      </c>
      <c r="L10" s="47"/>
      <c r="M10" s="2306" t="s">
        <v>2728</v>
      </c>
      <c r="N10" s="47"/>
      <c r="O10" s="2306" t="s">
        <v>2728</v>
      </c>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t="str">
        <f>O10</f>
        <v>车库</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0" t="s">
        <v>3350</v>
      </c>
      <c r="B13" s="2300"/>
      <c r="C13" s="2300"/>
      <c r="D13" s="2301" t="s">
        <v>3354</v>
      </c>
      <c r="E13" s="23">
        <f t="shared" ref="E13:E20" si="6">IF($C$3="是",ROUND($A$3*G13/$B$3,2),ROUND($A$3*(G13-AT13)/$B$3,2))</f>
        <v>18724.84</v>
      </c>
      <c r="F13" s="76"/>
      <c r="G13" s="77">
        <f t="shared" ref="G13:G20" si="7">H13+AC13+AT13</f>
        <v>41281.569999999992</v>
      </c>
      <c r="H13" s="29">
        <f t="shared" ref="H13:H20" si="8">SUMIF(I$12:AB$12,"总值",I13:AB13)</f>
        <v>36690.439999999995</v>
      </c>
      <c r="I13" s="2303">
        <f>测绘!D14</f>
        <v>32949.379999999997</v>
      </c>
      <c r="J13" s="2303">
        <f>测绘!D14-测绘!D15</f>
        <v>26949.749999999996</v>
      </c>
      <c r="K13" s="2303">
        <f>测绘!E14</f>
        <v>0</v>
      </c>
      <c r="L13" s="2303"/>
      <c r="M13" s="2303">
        <f>测绘!H14</f>
        <v>3289.81</v>
      </c>
      <c r="N13" s="78"/>
      <c r="O13" s="78">
        <f>测绘!I14</f>
        <v>451.25</v>
      </c>
      <c r="P13" s="78"/>
      <c r="Q13" s="78"/>
      <c r="R13" s="78"/>
      <c r="S13" s="78"/>
      <c r="T13" s="78"/>
      <c r="U13" s="78"/>
      <c r="V13" s="78"/>
      <c r="W13" s="78"/>
      <c r="X13" s="78"/>
      <c r="Y13" s="78"/>
      <c r="Z13" s="78"/>
      <c r="AA13" s="78"/>
      <c r="AB13" s="78"/>
      <c r="AC13" s="23">
        <f t="shared" ref="AC13:AC20" si="9">SUMIF(AD$12:AS$12,"总值",AD13:AS13)</f>
        <v>1271.0999999999999</v>
      </c>
      <c r="AD13" s="2307"/>
      <c r="AE13" s="2307"/>
      <c r="AF13" s="2307">
        <f>测绘!K14</f>
        <v>778.71</v>
      </c>
      <c r="AG13" s="2307"/>
      <c r="AH13" s="2307"/>
      <c r="AI13" s="2307"/>
      <c r="AJ13" s="2307"/>
      <c r="AK13" s="2307"/>
      <c r="AL13" s="2307"/>
      <c r="AM13" s="2307"/>
      <c r="AN13" s="2307">
        <f>测绘!J14</f>
        <v>492.38999999999993</v>
      </c>
      <c r="AO13" s="2307"/>
      <c r="AP13" s="2307"/>
      <c r="AQ13" s="2307"/>
      <c r="AR13" s="2307"/>
      <c r="AS13" s="2307"/>
      <c r="AT13" s="2308">
        <f>测绘!L14</f>
        <v>3320.03</v>
      </c>
      <c r="AU13" s="2309"/>
      <c r="AV13" s="14" t="str">
        <f t="shared" ref="AV13:AX20" si="10">A13</f>
        <v>15地块</v>
      </c>
      <c r="AW13" s="14">
        <f t="shared" si="10"/>
        <v>0</v>
      </c>
      <c r="AX13" s="14">
        <f t="shared" si="10"/>
        <v>0</v>
      </c>
      <c r="AY13" s="910">
        <f t="shared" ref="AY13:AY20" si="11">ROUND($AY$6*AZ13/$AZ$5,2)</f>
        <v>5431.65</v>
      </c>
      <c r="AZ13" s="23">
        <f t="shared" ref="AZ13:AZ20" si="12">BA13+BL13</f>
        <v>11011.79</v>
      </c>
      <c r="BA13" s="23">
        <f t="shared" ref="BA13:BA20" si="13">SUM(BB13:BK13)</f>
        <v>9740.69</v>
      </c>
      <c r="BB13" s="23">
        <f t="shared" ref="BB13:BB20" si="14">IF($D13="是",I13-J13,0)</f>
        <v>5999.630000000001</v>
      </c>
      <c r="BC13" s="23">
        <f t="shared" ref="BC13:BC20" si="15">IF($D13="是",K13-L13,0)</f>
        <v>0</v>
      </c>
      <c r="BD13" s="23">
        <f t="shared" ref="BD13:BD20" si="16">IF($D13="是",M13-N13,0)</f>
        <v>3289.81</v>
      </c>
      <c r="BE13" s="23">
        <f t="shared" ref="BE13:BE20" si="17">IF($D13="是",O13-P13,0)</f>
        <v>451.25</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1271.0999999999999</v>
      </c>
      <c r="BM13" s="23">
        <f t="shared" ref="BM13:BM20" si="25">IF($D13="是",AD13-AE13,0)</f>
        <v>0</v>
      </c>
      <c r="BN13" s="23">
        <f t="shared" ref="BN13:BN20" si="26">IF($D13="是",AF13-AG13,0)</f>
        <v>778.71</v>
      </c>
      <c r="BO13" s="23">
        <f t="shared" ref="BO13:BO20" si="27">IF($D13="是",AH13-AI13,0)</f>
        <v>0</v>
      </c>
      <c r="BP13" s="23">
        <f t="shared" ref="BP13:BP20" si="28">IF($D13="是",AJ13-AK13,0)</f>
        <v>0</v>
      </c>
      <c r="BQ13" s="23">
        <f t="shared" ref="BQ13:BQ20" si="29">IF($D13="是",AL13-AM13,0)</f>
        <v>0</v>
      </c>
      <c r="BR13" s="23">
        <f t="shared" ref="BR13:BR20" si="30">IF($D13="是",AN13-AO13,0)</f>
        <v>492.38999999999993</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03" t="s">
        <v>169</v>
      </c>
      <c r="B2" s="3503"/>
      <c r="C2" s="3503"/>
      <c r="D2" s="1631" t="s">
        <v>170</v>
      </c>
      <c r="E2" s="97" t="s">
        <v>171</v>
      </c>
      <c r="F2" s="2610"/>
      <c r="G2" s="1042"/>
      <c r="H2" s="1043"/>
      <c r="I2" s="1044" t="s">
        <v>795</v>
      </c>
      <c r="J2" s="2610"/>
      <c r="K2" s="2610"/>
      <c r="L2" s="2610"/>
      <c r="M2" s="2610"/>
      <c r="N2" s="2610"/>
      <c r="O2" s="2610"/>
      <c r="P2" s="2610"/>
    </row>
    <row r="3" spans="1:16" ht="15.75" thickBot="1">
      <c r="A3" s="3504" t="s">
        <v>172</v>
      </c>
      <c r="B3" s="3504"/>
      <c r="C3" s="3504"/>
      <c r="D3" s="98">
        <f>'数据-基础表'!AY6</f>
        <v>5431.65</v>
      </c>
      <c r="E3" s="98">
        <f>'数据-基础表'!AZ5</f>
        <v>11011.79</v>
      </c>
      <c r="F3" s="2610"/>
      <c r="G3" s="106" t="s">
        <v>796</v>
      </c>
      <c r="H3" s="102" t="s">
        <v>797</v>
      </c>
      <c r="I3" s="997">
        <f>ROUND('数据-基础表'!B3/'数据-基础表'!A3,2)</f>
        <v>2.0299999999999998</v>
      </c>
      <c r="J3" s="2610"/>
      <c r="K3" s="2610"/>
      <c r="L3" s="2610"/>
      <c r="M3" s="2610"/>
      <c r="N3" s="2610"/>
      <c r="O3" s="2610"/>
      <c r="P3" s="2610"/>
    </row>
    <row r="4" spans="1:16" ht="15">
      <c r="A4" s="3505"/>
      <c r="B4" s="3506"/>
      <c r="C4" s="3507"/>
      <c r="D4" s="99" t="s">
        <v>170</v>
      </c>
      <c r="E4" s="100" t="s">
        <v>171</v>
      </c>
      <c r="F4" s="2610"/>
      <c r="G4" s="119"/>
      <c r="H4" s="102" t="s">
        <v>798</v>
      </c>
      <c r="I4" s="997">
        <f>ROUND(SUMIF('数据-基础表'!I9:AS9,"地上",'数据-基础表'!I5:AS5)/'数据-基础表'!A3,2)</f>
        <v>1.62</v>
      </c>
      <c r="J4" s="2610"/>
      <c r="K4" s="2610"/>
      <c r="L4" s="2610"/>
      <c r="M4" s="2610"/>
      <c r="N4" s="2610"/>
      <c r="O4" s="2610"/>
      <c r="P4" s="2610"/>
    </row>
    <row r="5" spans="1:16">
      <c r="A5" s="101" t="s">
        <v>173</v>
      </c>
      <c r="B5" s="3508" t="s">
        <v>196</v>
      </c>
      <c r="C5" s="3508"/>
      <c r="D5" s="102">
        <f>ROUND($D$3*E5/$E$3,2)</f>
        <v>2959.36</v>
      </c>
      <c r="E5" s="103">
        <f>SUMIF('数据-基础表'!$11:$11,"住宅",'数据-基础表'!$5:$5)</f>
        <v>5999.630000000001</v>
      </c>
      <c r="F5" s="2610"/>
      <c r="G5" s="106" t="s">
        <v>799</v>
      </c>
      <c r="H5" s="102" t="s">
        <v>797</v>
      </c>
      <c r="I5" s="997">
        <f>ROUND(E31/D31,2)</f>
        <v>2.0299999999999998</v>
      </c>
      <c r="J5" s="2610"/>
      <c r="K5" s="2610"/>
      <c r="L5" s="2610"/>
      <c r="M5" s="2610"/>
      <c r="N5" s="2610"/>
      <c r="O5" s="2610"/>
      <c r="P5" s="2610"/>
    </row>
    <row r="6" spans="1:16" ht="15" thickBot="1">
      <c r="A6" s="104"/>
      <c r="B6" s="3508" t="s">
        <v>174</v>
      </c>
      <c r="C6" s="3508"/>
      <c r="D6" s="102">
        <f>ROUND($D$3*E6/$E$3,2)</f>
        <v>2472.29</v>
      </c>
      <c r="E6" s="103">
        <f>E3-E5</f>
        <v>5012.16</v>
      </c>
      <c r="F6" s="2610"/>
      <c r="G6" s="119"/>
      <c r="H6" s="102" t="s">
        <v>798</v>
      </c>
      <c r="I6" s="997">
        <f>ROUND(F31/D31,2)</f>
        <v>1.1000000000000001</v>
      </c>
      <c r="J6" s="2610"/>
      <c r="K6" s="2610"/>
      <c r="L6" s="2610"/>
      <c r="M6" s="2610"/>
      <c r="N6" s="2610"/>
      <c r="O6" s="2610"/>
      <c r="P6" s="2610"/>
    </row>
    <row r="7" spans="1:16" ht="15">
      <c r="A7" s="3500"/>
      <c r="B7" s="3501"/>
      <c r="C7" s="3502"/>
      <c r="D7" s="99" t="s">
        <v>170</v>
      </c>
      <c r="E7" s="105" t="s">
        <v>197</v>
      </c>
      <c r="F7" s="2610"/>
      <c r="G7" s="1002" t="s">
        <v>1180</v>
      </c>
      <c r="H7" s="1003"/>
      <c r="I7" s="127"/>
      <c r="J7" s="2610"/>
      <c r="K7" s="2610"/>
      <c r="L7" s="2610"/>
      <c r="M7" s="2610"/>
      <c r="N7" s="2610"/>
      <c r="O7" s="2610"/>
      <c r="P7" s="2610"/>
    </row>
    <row r="8" spans="1:16">
      <c r="A8" s="101" t="s">
        <v>175</v>
      </c>
      <c r="B8" s="106" t="s">
        <v>176</v>
      </c>
      <c r="C8" s="102" t="s">
        <v>177</v>
      </c>
      <c r="D8" s="102">
        <f t="shared" ref="D8:D15" si="0">ROUND($D$3*E8/$E$3,2)</f>
        <v>2959.36</v>
      </c>
      <c r="E8" s="107">
        <f>SUMIF('数据-基础表'!BB10:BK10,"地上",'数据-基础表'!BB5:BK5)</f>
        <v>5999.630000000001</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1845.31</v>
      </c>
      <c r="E13" s="107">
        <f>SUMPRODUCT(('数据-基础表'!BB10:BK10="地下")*('数据-基础表'!BB11:BK11="车库")*('数据-基础表'!BB5:BK5))</f>
        <v>3741.06</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4804.67</v>
      </c>
      <c r="E16" s="111">
        <f>SUM(E8:E15)</f>
        <v>9740.69</v>
      </c>
      <c r="F16" s="2610"/>
      <c r="G16" s="2610"/>
      <c r="H16" s="883" t="s">
        <v>185</v>
      </c>
      <c r="I16" s="884"/>
      <c r="J16" s="1633"/>
      <c r="K16" s="3494" t="s">
        <v>1849</v>
      </c>
      <c r="L16" s="3495"/>
      <c r="M16" s="3495"/>
      <c r="N16" s="3495"/>
      <c r="O16" s="3495"/>
      <c r="P16" s="3496"/>
    </row>
    <row r="17" spans="1:19" ht="15">
      <c r="A17" s="112" t="s">
        <v>182</v>
      </c>
      <c r="B17" s="113" t="s">
        <v>183</v>
      </c>
      <c r="C17" s="1886" t="s">
        <v>1670</v>
      </c>
      <c r="D17" s="99" t="s">
        <v>170</v>
      </c>
      <c r="E17" s="115" t="s">
        <v>171</v>
      </c>
      <c r="F17" s="116"/>
      <c r="G17" s="1159"/>
      <c r="H17" s="885" t="s">
        <v>184</v>
      </c>
      <c r="I17" s="886" t="s">
        <v>1669</v>
      </c>
      <c r="J17" s="1633"/>
      <c r="K17" s="3497" t="s">
        <v>1850</v>
      </c>
      <c r="L17" s="3498"/>
      <c r="M17" s="3499"/>
      <c r="N17" s="3497" t="s">
        <v>1851</v>
      </c>
      <c r="O17" s="3498"/>
      <c r="P17" s="3499"/>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3351</v>
      </c>
      <c r="D19" s="102">
        <f t="shared" ref="D19:D26" si="1">ROUND($D$3*E19/$E$3,2)</f>
        <v>2959.36</v>
      </c>
      <c r="E19" s="124">
        <f t="shared" ref="E19:E26" si="2">SUM(F19:G19)</f>
        <v>5999.630000000001</v>
      </c>
      <c r="F19" s="2611">
        <f>'数据-基础表'!I5-'数据-基础表'!J5</f>
        <v>5999.630000000001</v>
      </c>
      <c r="G19" s="2612"/>
      <c r="H19" s="889">
        <f>ROUND($D$3*I19/$E$3,2)</f>
        <v>533.70000000000005</v>
      </c>
      <c r="I19" s="107">
        <f>IF($I$17="自定义",P19,M19)</f>
        <v>1081.99</v>
      </c>
      <c r="J19" s="1633"/>
      <c r="K19" s="889">
        <f t="shared" ref="K19:K26" si="3">ROUND(E$28*E19/E$27,2)</f>
        <v>303.27999999999997</v>
      </c>
      <c r="L19" s="102">
        <f t="shared" ref="L19:L26" si="4">ROUND(IF(COUNTIF(C19,"*住宅*")&gt;0,E$29*E19/E$32,0),2)</f>
        <v>778.71</v>
      </c>
      <c r="M19" s="107">
        <f>K19+L19</f>
        <v>1081.99</v>
      </c>
      <c r="N19" s="2066"/>
      <c r="O19" s="2067"/>
      <c r="P19" s="2068">
        <f>N19+O19</f>
        <v>0</v>
      </c>
      <c r="R19" s="102">
        <f t="shared" ref="R19:S26" si="5">D19+H19</f>
        <v>3493.0600000000004</v>
      </c>
      <c r="S19" s="124">
        <f t="shared" si="5"/>
        <v>7081.6200000000008</v>
      </c>
    </row>
    <row r="20" spans="1:19">
      <c r="A20" s="123"/>
      <c r="B20" s="106" t="s">
        <v>192</v>
      </c>
      <c r="C20" s="2310" t="s">
        <v>3353</v>
      </c>
      <c r="D20" s="102">
        <f t="shared" si="1"/>
        <v>1622.72</v>
      </c>
      <c r="E20" s="124">
        <f t="shared" si="2"/>
        <v>3289.81</v>
      </c>
      <c r="F20" s="2611"/>
      <c r="G20" s="2612">
        <f>'数据-基础表'!M5</f>
        <v>3289.81</v>
      </c>
      <c r="H20" s="889">
        <f t="shared" ref="H20:H26" si="6">ROUND($D$3*I20/$E$3,2)</f>
        <v>82.03</v>
      </c>
      <c r="I20" s="107">
        <f t="shared" ref="I20:I26" si="7">IF($I$17="自定义",P20,M20)</f>
        <v>166.3</v>
      </c>
      <c r="J20" s="1633"/>
      <c r="K20" s="889">
        <f t="shared" si="3"/>
        <v>166.3</v>
      </c>
      <c r="L20" s="102">
        <f t="shared" si="4"/>
        <v>0</v>
      </c>
      <c r="M20" s="107">
        <f t="shared" ref="M20:M26" si="8">K20+L20</f>
        <v>166.3</v>
      </c>
      <c r="N20" s="2066"/>
      <c r="O20" s="2067"/>
      <c r="P20" s="2068">
        <f t="shared" ref="P20:P26" si="9">N20+O20</f>
        <v>0</v>
      </c>
      <c r="R20" s="102">
        <f t="shared" si="5"/>
        <v>1704.75</v>
      </c>
      <c r="S20" s="124">
        <f t="shared" si="5"/>
        <v>3456.11</v>
      </c>
    </row>
    <row r="21" spans="1:19">
      <c r="A21" s="123"/>
      <c r="B21" s="106" t="s">
        <v>192</v>
      </c>
      <c r="C21" s="2310" t="s">
        <v>3352</v>
      </c>
      <c r="D21" s="102">
        <f t="shared" si="1"/>
        <v>0</v>
      </c>
      <c r="E21" s="124">
        <f t="shared" si="2"/>
        <v>0</v>
      </c>
      <c r="F21" s="2611">
        <f>'数据-基础表'!K5</f>
        <v>0</v>
      </c>
      <c r="G21" s="2612"/>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1" t="s">
        <v>3513</v>
      </c>
      <c r="D22" s="102">
        <f t="shared" si="1"/>
        <v>222.58</v>
      </c>
      <c r="E22" s="124">
        <f t="shared" si="2"/>
        <v>451.25</v>
      </c>
      <c r="F22" s="2613"/>
      <c r="G22" s="2614">
        <f>'数据-基础表'!O13</f>
        <v>451.25</v>
      </c>
      <c r="H22" s="889">
        <f t="shared" si="6"/>
        <v>11.25</v>
      </c>
      <c r="I22" s="107">
        <f t="shared" si="7"/>
        <v>22.81</v>
      </c>
      <c r="J22" s="1633"/>
      <c r="K22" s="889">
        <f t="shared" si="3"/>
        <v>22.81</v>
      </c>
      <c r="L22" s="102">
        <f t="shared" si="4"/>
        <v>0</v>
      </c>
      <c r="M22" s="107">
        <f t="shared" si="8"/>
        <v>22.81</v>
      </c>
      <c r="N22" s="2066"/>
      <c r="O22" s="2067"/>
      <c r="P22" s="2068">
        <f t="shared" si="9"/>
        <v>0</v>
      </c>
      <c r="R22" s="102">
        <f t="shared" si="5"/>
        <v>233.83</v>
      </c>
      <c r="S22" s="124">
        <f t="shared" si="5"/>
        <v>474.06</v>
      </c>
    </row>
    <row r="23" spans="1:19">
      <c r="A23" s="123"/>
      <c r="B23" s="106" t="s">
        <v>192</v>
      </c>
      <c r="C23" s="3081"/>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1"/>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4804.66</v>
      </c>
      <c r="E27" s="129">
        <f>IF(SUM(E19:E26)='数据-基础表'!BA5,SUM(E19:E26),IF(F27="地上面积有误","面积有误","地下面积有误"))</f>
        <v>9740.69</v>
      </c>
      <c r="F27" s="124">
        <f>IF(SUM(F19:F26)=E8,SUM(F19:F26),"地上面积有误")</f>
        <v>5999.630000000001</v>
      </c>
      <c r="G27" s="103">
        <f>SUM(G19:G26)</f>
        <v>3741.06</v>
      </c>
      <c r="H27" s="890">
        <f>SUM(H19:H26)</f>
        <v>626.98</v>
      </c>
      <c r="I27" s="891">
        <f>SUM(I19:I26)</f>
        <v>1271.0999999999999</v>
      </c>
      <c r="J27" s="1633"/>
      <c r="K27" s="2072">
        <f t="shared" ref="K27:P27" si="10">SUM(K19:K26)</f>
        <v>492.39</v>
      </c>
      <c r="L27" s="2073">
        <f t="shared" si="10"/>
        <v>778.71</v>
      </c>
      <c r="M27" s="2074">
        <f t="shared" si="10"/>
        <v>1271.0999999999999</v>
      </c>
      <c r="N27" s="2072">
        <f t="shared" si="10"/>
        <v>0</v>
      </c>
      <c r="O27" s="2073">
        <f t="shared" si="10"/>
        <v>0</v>
      </c>
      <c r="P27" s="194">
        <f t="shared" si="10"/>
        <v>0</v>
      </c>
      <c r="R27" s="1892" t="str">
        <f>IF(SUM(R19:R26)=$D$3,SUM(R19:R26),SUM(R19:R26)&amp;"误差"&amp;ROUND(SUM(R19:R26)-$D$3,2))</f>
        <v>5431.64误差-0.01</v>
      </c>
      <c r="S27" s="102">
        <f>IF(SUM(S19:S26)=$E$3,SUM(S19:S26),SUM(S19:S26)&amp;"误差"&amp;ROUND(SUM(S19:S26)-E3,2))</f>
        <v>11011.79</v>
      </c>
    </row>
    <row r="28" spans="1:19">
      <c r="A28" s="123"/>
      <c r="B28" s="106" t="s">
        <v>193</v>
      </c>
      <c r="C28" s="125" t="s">
        <v>194</v>
      </c>
      <c r="D28" s="102">
        <f>ROUND($D$3*E28/$E$3,2)</f>
        <v>242.88</v>
      </c>
      <c r="E28" s="124">
        <f>SUM(F28:G28)</f>
        <v>492.38999999999993</v>
      </c>
      <c r="F28" s="125">
        <f>'数据-基础表'!BQ5+'数据-基础表'!BS5</f>
        <v>0</v>
      </c>
      <c r="G28" s="130">
        <f>'数据-基础表'!BR5+'数据-基础表'!BT5</f>
        <v>492.38999999999993</v>
      </c>
      <c r="H28" s="2610"/>
      <c r="I28" s="2610"/>
      <c r="J28" s="2610"/>
      <c r="K28" s="2610"/>
      <c r="L28" s="2610"/>
      <c r="M28" s="2610"/>
      <c r="N28" s="2610"/>
      <c r="O28" s="2610"/>
      <c r="P28" s="2610"/>
    </row>
    <row r="29" spans="1:19">
      <c r="A29" s="123"/>
      <c r="B29" s="106" t="s">
        <v>193</v>
      </c>
      <c r="C29" s="1900" t="s">
        <v>1677</v>
      </c>
      <c r="D29" s="102">
        <f>ROUND($D$3*E29/$E$3,2)</f>
        <v>384.1</v>
      </c>
      <c r="E29" s="124">
        <f>SUM(F29:G29)</f>
        <v>778.71</v>
      </c>
      <c r="F29" s="125">
        <f>'数据-基础表'!BM5+'数据-基础表'!BO5</f>
        <v>0</v>
      </c>
      <c r="G29" s="111">
        <f>'数据-基础表'!BN5+'数据-基础表'!BP5</f>
        <v>778.71</v>
      </c>
      <c r="H29" s="2610"/>
      <c r="I29" s="2610"/>
      <c r="J29" s="2610"/>
      <c r="K29" s="2610"/>
      <c r="L29" s="2610"/>
      <c r="M29" s="2610"/>
      <c r="N29" s="2610"/>
      <c r="O29" s="2610"/>
      <c r="P29" s="2610"/>
    </row>
    <row r="30" spans="1:19">
      <c r="A30" s="123"/>
      <c r="B30" s="102"/>
      <c r="C30" s="131" t="s">
        <v>181</v>
      </c>
      <c r="D30" s="124">
        <f>SUM(D28:D29)</f>
        <v>626.98</v>
      </c>
      <c r="E30" s="124">
        <f>SUM(E28:E29)</f>
        <v>1271.0999999999999</v>
      </c>
      <c r="F30" s="124">
        <f>SUM(F28:F29)</f>
        <v>0</v>
      </c>
      <c r="G30" s="103">
        <f>SUM(G28:G29)</f>
        <v>1271.0999999999999</v>
      </c>
      <c r="H30" s="2610"/>
      <c r="I30" s="2610"/>
      <c r="J30" s="2610"/>
      <c r="K30" s="2610"/>
      <c r="L30" s="2610"/>
      <c r="M30" s="2610"/>
      <c r="N30" s="2610"/>
      <c r="O30" s="2610"/>
      <c r="P30" s="2610"/>
    </row>
    <row r="31" spans="1:19" ht="32.25" customHeight="1" thickBot="1">
      <c r="A31" s="1161"/>
      <c r="B31" s="1162" t="s">
        <v>195</v>
      </c>
      <c r="C31" s="1917" t="s">
        <v>1679</v>
      </c>
      <c r="D31" s="1163">
        <f>D27+D30</f>
        <v>5431.6399999999994</v>
      </c>
      <c r="E31" s="1163">
        <f>E27+E30</f>
        <v>11011.79</v>
      </c>
      <c r="F31" s="1164">
        <f>F27+F30</f>
        <v>5999.630000000001</v>
      </c>
      <c r="G31" s="1165">
        <f>G27+G30</f>
        <v>5012.16</v>
      </c>
      <c r="H31" s="2610"/>
      <c r="I31" s="2610"/>
      <c r="J31" s="2610"/>
      <c r="K31" s="2610"/>
      <c r="L31" s="2610"/>
      <c r="M31" s="2610"/>
      <c r="N31" s="2610"/>
      <c r="O31" s="2610"/>
      <c r="P31" s="2610"/>
    </row>
    <row r="32" spans="1:19">
      <c r="A32" s="1633"/>
      <c r="B32" s="1929" t="s">
        <v>1678</v>
      </c>
      <c r="C32" s="2087"/>
      <c r="D32" s="119"/>
      <c r="E32" s="119">
        <f>SUMIF(C19:C26,"*住宅*",E19:E26)</f>
        <v>5999.630000000001</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L29" sqref="L29"/>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75" thickBot="1">
      <c r="A2" s="133" t="s">
        <v>201</v>
      </c>
      <c r="B2" s="1925">
        <f>项目基本情况!D3</f>
        <v>45908</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40.5">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3231</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2253</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68.84</v>
      </c>
      <c r="G6" s="159">
        <f t="shared" ref="G6:G13" si="0">IF(ISERROR(ROUND(POWER(1+H6,D6-F6)*(POWER(1+H6,F6)-1)/(POWER(1+H6,D6)-1),3)),0,ROUND(POWER(1+H6,D6-F6)*(POWER(1+H6,F6)-1)/(POWER(1+H6,D6)-1),3))</f>
        <v>0.997</v>
      </c>
      <c r="H6" s="2311">
        <v>0.04</v>
      </c>
      <c r="I6" s="2311">
        <v>4.4999999999999998E-2</v>
      </c>
      <c r="J6" s="160">
        <v>7.0000000000000007E-2</v>
      </c>
      <c r="K6" s="163">
        <f>SUMIF('数据-汇总表'!C$19:C$33,'数据-取费表'!A6,'数据-汇总表'!E$19:E$33)</f>
        <v>5999.630000000001</v>
      </c>
      <c r="L6" s="2312">
        <v>6500</v>
      </c>
      <c r="M6" s="161">
        <f t="shared" ref="M6:M14" si="1">ROUND(K6*L6/10000,0)</f>
        <v>3900</v>
      </c>
      <c r="N6" s="2313">
        <v>0</v>
      </c>
      <c r="O6" s="161">
        <f>IF($N$5="成新度","——",ROUND(M6*N6,0))</f>
        <v>0</v>
      </c>
      <c r="P6" s="162">
        <f>IF($N$5="成新度","——",M6-O6)</f>
        <v>3900</v>
      </c>
      <c r="Q6" s="2314">
        <v>0.2</v>
      </c>
      <c r="R6" s="163">
        <f>SUMIF('数据-汇总表'!C$19:C$33,A6,'数据-汇总表'!R$19:R$33)</f>
        <v>3493.0600000000004</v>
      </c>
      <c r="S6" s="122">
        <f>IF('数据-汇总表'!$I$17="按面积比例",SUMIF('数据-汇总表'!C$19:C$33,A6,'数据-汇总表'!K$19:K$33),SUMIF('数据-汇总表'!C$19:C$33,A6,'数据-汇总表'!N$19:N$33))</f>
        <v>303.27999999999997</v>
      </c>
      <c r="T6" s="1827">
        <f>IF($T$4="按面积比例",IF(ISERROR(ROUND($M$14*S6/S$16,0)),"0",ROUND($M$14*S6/S$16,0)),"需自行计算录入")</f>
        <v>137</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2"/>
      <c r="AN6" s="1125"/>
      <c r="AO6" s="2610"/>
      <c r="AP6" s="96">
        <f>ROUND(1-1/(1+H6)^F6,3)</f>
        <v>0.93300000000000005</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t="str">
        <f>'数据-汇总表'!C20</f>
        <v>车库</v>
      </c>
      <c r="B7" s="1924" t="str">
        <f t="shared" ref="B7:B13" si="2">IF(A7=0,"","经营性")</f>
        <v>经营性</v>
      </c>
      <c r="C7" s="157" t="s">
        <v>2728</v>
      </c>
      <c r="D7" s="1895">
        <f>SUMIF(项目基本情况!C$15:I$15,C7,项目基本情况!C$18:I$18)</f>
        <v>50</v>
      </c>
      <c r="E7" s="1896">
        <f>IF(B7="","",SUMIF(项目基本情况!C$15:I$15,C7,项目基本情况!C$17:I$17))</f>
        <v>63731</v>
      </c>
      <c r="F7" s="158">
        <f>SUMIF(项目基本情况!C$15:I$15,C7,项目基本情况!C$19:I$19)</f>
        <v>48.83</v>
      </c>
      <c r="G7" s="159">
        <f t="shared" si="0"/>
        <v>0.99299999999999999</v>
      </c>
      <c r="H7" s="2311">
        <v>4.4999999999999998E-2</v>
      </c>
      <c r="I7" s="2311">
        <v>0.05</v>
      </c>
      <c r="J7" s="160">
        <v>7.0000000000000007E-2</v>
      </c>
      <c r="K7" s="163">
        <f>SUMIF('数据-汇总表'!C$19:C$33,'数据-取费表'!A7,'数据-汇总表'!E$19:E$33)</f>
        <v>3289.81</v>
      </c>
      <c r="L7" s="2312">
        <v>4500</v>
      </c>
      <c r="M7" s="161">
        <f t="shared" si="1"/>
        <v>1480</v>
      </c>
      <c r="N7" s="2313">
        <v>0</v>
      </c>
      <c r="O7" s="161">
        <f t="shared" ref="O7:O14" si="3">IF($N$5="成新度","——",ROUND(M7*N7,0))</f>
        <v>0</v>
      </c>
      <c r="P7" s="162">
        <f t="shared" ref="P7:P14" si="4">IF($N$5="成新度","——",M7-O7)</f>
        <v>1480</v>
      </c>
      <c r="Q7" s="2314">
        <v>0.1</v>
      </c>
      <c r="R7" s="163">
        <f>SUMIF('数据-汇总表'!C$19:C$33,A7,'数据-汇总表'!R$19:R$33)</f>
        <v>1704.75</v>
      </c>
      <c r="S7" s="122">
        <f>IF('数据-汇总表'!$I$17="按面积比例",SUMIF('数据-汇总表'!C$19:C$33,A7,'数据-汇总表'!K$19:K$33),SUMIF('数据-汇总表'!C$19:C$33,A7,'数据-汇总表'!N$19:N$33))</f>
        <v>166.3</v>
      </c>
      <c r="T7" s="1827">
        <f t="shared" ref="T7:T13" si="5">IF($T$4="按面积比例",IF(ISERROR(ROUND($M$14*S7/S$16,0)),"0",ROUND($M$14*S7/S$16,0)),"需自行计算录入")</f>
        <v>75</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测绘!H15</f>
        <v>242</v>
      </c>
      <c r="AI7" s="171"/>
      <c r="AJ7" s="127"/>
      <c r="AK7" s="172"/>
      <c r="AL7" s="173"/>
      <c r="AM7" s="2322"/>
      <c r="AN7" s="1125"/>
      <c r="AO7" s="2610"/>
      <c r="AP7" s="96">
        <f t="shared" ref="AP7:AP13" si="8">ROUND(1-1/(1+H7)^F7,3)</f>
        <v>0.88300000000000001</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t="str">
        <f>'数据-汇总表'!C21</f>
        <v>商业</v>
      </c>
      <c r="B8" s="1924" t="str">
        <f t="shared" si="2"/>
        <v>经营性</v>
      </c>
      <c r="C8" s="157" t="s">
        <v>2727</v>
      </c>
      <c r="D8" s="1895">
        <f>SUMIF(项目基本情况!C$15:I$15,C8,项目基本情况!C$18:I$18)</f>
        <v>40</v>
      </c>
      <c r="E8" s="1896">
        <f>IF(B8="","",SUMIF(项目基本情况!C$15:I$15,C8,项目基本情况!C$17:I$17))</f>
        <v>60079</v>
      </c>
      <c r="F8" s="158">
        <f>SUMIF(项目基本情况!C$15:I$15,C8,项目基本情况!C$19:I$19)</f>
        <v>38.82</v>
      </c>
      <c r="G8" s="159">
        <f t="shared" si="0"/>
        <v>0.99</v>
      </c>
      <c r="H8" s="2311">
        <v>0.05</v>
      </c>
      <c r="I8" s="2311">
        <v>5.5E-2</v>
      </c>
      <c r="J8" s="160">
        <v>7.0000000000000007E-2</v>
      </c>
      <c r="K8" s="163">
        <f>SUMIF('数据-汇总表'!C$19:C$33,'数据-取费表'!A8,'数据-汇总表'!E$19:E$33)</f>
        <v>0</v>
      </c>
      <c r="L8" s="2312">
        <v>4500</v>
      </c>
      <c r="M8" s="161">
        <f>ROUND(K8*L8/10000,0)</f>
        <v>0</v>
      </c>
      <c r="N8" s="2313">
        <v>0</v>
      </c>
      <c r="O8" s="161">
        <f t="shared" si="3"/>
        <v>0</v>
      </c>
      <c r="P8" s="162">
        <f t="shared" si="4"/>
        <v>0</v>
      </c>
      <c r="Q8" s="2314">
        <v>0.15</v>
      </c>
      <c r="R8" s="163">
        <f>SUMIF('数据-汇总表'!C$19:C$33,A8,'数据-汇总表'!R$19:R$33)</f>
        <v>0</v>
      </c>
      <c r="S8" s="122">
        <f>IF('数据-汇总表'!$I$17="按面积比例",SUMIF('数据-汇总表'!C$19:C$33,A8,'数据-汇总表'!K$19:K$33),SUMIF('数据-汇总表'!C$19:C$33,A8,'数据-汇总表'!N$19:N$33))</f>
        <v>0</v>
      </c>
      <c r="T8" s="1827">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0.85</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t="str">
        <f>'数据-汇总表'!C22</f>
        <v>机械车位</v>
      </c>
      <c r="B9" s="1924" t="str">
        <f t="shared" si="2"/>
        <v>经营性</v>
      </c>
      <c r="C9" s="157" t="s">
        <v>2728</v>
      </c>
      <c r="D9" s="1895">
        <f>SUMIF(项目基本情况!C$15:I$15,C9,项目基本情况!C$18:I$18)</f>
        <v>50</v>
      </c>
      <c r="E9" s="1896">
        <f>IF(B9="","",SUMIF(项目基本情况!C$15:I$15,C9,项目基本情况!C$17:I$17))</f>
        <v>63731</v>
      </c>
      <c r="F9" s="158">
        <f>SUMIF(项目基本情况!C$15:I$15,C9,项目基本情况!C$19:I$19)</f>
        <v>48.83</v>
      </c>
      <c r="G9" s="159">
        <f t="shared" si="0"/>
        <v>0.99299999999999999</v>
      </c>
      <c r="H9" s="2311">
        <v>4.4999999999999998E-2</v>
      </c>
      <c r="I9" s="2311">
        <v>0.05</v>
      </c>
      <c r="J9" s="160">
        <v>7.0000000000000007E-2</v>
      </c>
      <c r="K9" s="163">
        <f>SUMIF('数据-汇总表'!C$19:C$33,'数据-取费表'!A9,'数据-汇总表'!E$19:E$33)</f>
        <v>451.25</v>
      </c>
      <c r="L9" s="2312">
        <f>L7</f>
        <v>4500</v>
      </c>
      <c r="M9" s="161">
        <f t="shared" si="1"/>
        <v>203</v>
      </c>
      <c r="N9" s="2313">
        <f>N8</f>
        <v>0</v>
      </c>
      <c r="O9" s="161">
        <f t="shared" si="3"/>
        <v>0</v>
      </c>
      <c r="P9" s="162">
        <f t="shared" si="4"/>
        <v>203</v>
      </c>
      <c r="Q9" s="175">
        <f>Q7</f>
        <v>0.1</v>
      </c>
      <c r="R9" s="163">
        <f>SUMIF('数据-汇总表'!C$19:C$33,A9,'数据-汇总表'!R$19:R$33)</f>
        <v>233.83</v>
      </c>
      <c r="S9" s="122">
        <f>IF('数据-汇总表'!$I$17="按面积比例",SUMIF('数据-汇总表'!C$19:C$33,A9,'数据-汇总表'!K$19:K$33),SUMIF('数据-汇总表'!C$19:C$33,A9,'数据-汇总表'!N$19:N$33))</f>
        <v>22.81</v>
      </c>
      <c r="T9" s="1827">
        <f t="shared" si="5"/>
        <v>10</v>
      </c>
      <c r="U9" s="164"/>
      <c r="V9" s="165"/>
      <c r="W9" s="165"/>
      <c r="X9" s="1908"/>
      <c r="Y9" s="166"/>
      <c r="Z9" s="167"/>
      <c r="AA9" s="160"/>
      <c r="AB9" s="160"/>
      <c r="AC9" s="1911"/>
      <c r="AD9" s="168"/>
      <c r="AE9" s="887">
        <f t="shared" ca="1" si="6"/>
        <v>0</v>
      </c>
      <c r="AF9" s="127"/>
      <c r="AG9" s="1054">
        <f t="shared" si="7"/>
        <v>0</v>
      </c>
      <c r="AH9" s="127"/>
      <c r="AI9" s="171"/>
      <c r="AJ9" s="127"/>
      <c r="AK9" s="172"/>
      <c r="AL9" s="173"/>
      <c r="AM9" s="2322"/>
      <c r="AN9" s="1125"/>
      <c r="AO9" s="2610"/>
      <c r="AP9" s="96">
        <f t="shared" si="8"/>
        <v>0.88300000000000001</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492.38999999999993</v>
      </c>
      <c r="L14" s="176">
        <v>4500</v>
      </c>
      <c r="M14" s="161">
        <f t="shared" si="1"/>
        <v>222</v>
      </c>
      <c r="N14" s="177">
        <v>0</v>
      </c>
      <c r="O14" s="161">
        <f t="shared" si="3"/>
        <v>0</v>
      </c>
      <c r="P14" s="162">
        <f t="shared" si="4"/>
        <v>222</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778.71</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0.995</v>
      </c>
      <c r="H16" s="184">
        <f>ROUND(SUMPRODUCT(H6:H13,K6:K13)/SUMPRODUCT((H6:H13&gt;0)*(K6:K13)),3)</f>
        <v>4.2000000000000003E-2</v>
      </c>
      <c r="I16" s="185"/>
      <c r="J16" s="185"/>
      <c r="K16" s="186">
        <f>SUM(K6:K15)</f>
        <v>11011.79</v>
      </c>
      <c r="L16" s="187">
        <f>ROUND(M16*10000/SUM(K6:K14),0)</f>
        <v>5673</v>
      </c>
      <c r="M16" s="187">
        <f>SUM(M6:M14)</f>
        <v>5805</v>
      </c>
      <c r="N16" s="188">
        <f>ROUND(SUMPRODUCT(M6:M14,N6:N14)/M16,3)</f>
        <v>0</v>
      </c>
      <c r="O16" s="187">
        <f>SUM(O6:O14)</f>
        <v>0</v>
      </c>
      <c r="P16" s="187">
        <f>SUM(P6:P14)</f>
        <v>5805</v>
      </c>
      <c r="Q16" s="189">
        <f>ROUND(SUMPRODUCT(Q6:Q13,K6:K13)/SUMPRODUCT((Q6:Q13&gt;0)*(K6:K13)),2)</f>
        <v>0.16</v>
      </c>
      <c r="R16" s="1898">
        <f>SUM(R6:R13)</f>
        <v>5431.64</v>
      </c>
      <c r="S16" s="190">
        <f>SUM(S6:S13)</f>
        <v>492.39</v>
      </c>
      <c r="T16" s="191">
        <f>IF(SUMIF(T6:T13,"&lt;9E307")=M14,SUMIF(T6:T13,"&lt;9E307"),"有误，请检查")</f>
        <v>222</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0.91400000000000003</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2261</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2.5</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2.5</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2.5</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v>160</v>
      </c>
      <c r="C27" s="2630" t="s">
        <v>2262</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v>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7.0000000000000007E-2</v>
      </c>
      <c r="C33" s="2632" t="s">
        <v>3257</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0.05</v>
      </c>
      <c r="C34" s="2632" t="s">
        <v>2254</v>
      </c>
      <c r="D34" s="2633" t="s">
        <v>2259</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2255</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3300</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3258</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2.5000000000000001E-2</v>
      </c>
      <c r="C38" s="2632" t="s">
        <v>3259</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7" t="s">
        <v>2276</v>
      </c>
      <c r="B40" s="1991">
        <f ca="1">IF(A40="利息：取LPR",存贷款利率!E2,存贷款利率!E2+C40)</f>
        <v>3.1899999999999998E-2</v>
      </c>
      <c r="C40" s="2778"/>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3260</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2256</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2257</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v>0</v>
      </c>
      <c r="C47" s="2630" t="s">
        <v>2263</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2256</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2258</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1153</v>
      </c>
      <c r="C53" s="2626" t="s">
        <v>2165</v>
      </c>
      <c r="D53" s="2636" t="s">
        <v>2260</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2166</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2167</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2168</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2169</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2170</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2171</v>
      </c>
      <c r="B59" s="170">
        <f>C59</f>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2172</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2173</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2174</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2175</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45" customWidth="1"/>
    <col min="2" max="2" width="23.5" style="2664" customWidth="1"/>
    <col min="3" max="3" width="32.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75" style="2664" customWidth="1"/>
    <col min="10" max="10" width="2.625" style="2664" customWidth="1"/>
    <col min="11" max="11" width="11.875" style="2664" customWidth="1"/>
    <col min="12" max="12" width="16.75" style="2664" customWidth="1"/>
    <col min="13" max="13" width="2.625" style="2664" customWidth="1"/>
    <col min="14" max="14" width="11.875" style="2664" customWidth="1"/>
    <col min="15" max="15" width="16.75" style="2664" customWidth="1"/>
    <col min="16" max="16" width="2.625" style="2664" customWidth="1"/>
    <col min="17" max="17" width="11.875" style="2664" customWidth="1"/>
    <col min="18" max="18" width="16.75" style="2645" customWidth="1"/>
    <col min="19" max="16384" width="9" style="2645"/>
  </cols>
  <sheetData>
    <row r="1" spans="1:18" s="2639" customFormat="1" ht="19.5" thickBot="1">
      <c r="A1" s="3509" t="s">
        <v>1198</v>
      </c>
      <c r="B1" s="3510"/>
      <c r="C1" s="3510"/>
      <c r="D1" s="3510"/>
      <c r="E1" s="3510"/>
      <c r="F1" s="3510"/>
      <c r="G1" s="3510"/>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27">
      <c r="A3" s="2646" t="s">
        <v>1201</v>
      </c>
      <c r="B3" s="2647" t="s">
        <v>1188</v>
      </c>
      <c r="C3" s="3415" t="s">
        <v>3459</v>
      </c>
      <c r="D3" s="2648"/>
      <c r="E3" s="2649" t="s">
        <v>1201</v>
      </c>
      <c r="F3" s="2650" t="s">
        <v>1189</v>
      </c>
      <c r="G3" s="2651"/>
      <c r="H3" s="2645"/>
      <c r="I3" s="2645"/>
      <c r="J3" s="2645"/>
      <c r="K3" s="2645"/>
      <c r="L3" s="2645"/>
      <c r="M3" s="2645"/>
      <c r="N3" s="2645"/>
      <c r="O3" s="2645"/>
      <c r="P3" s="2645"/>
      <c r="Q3" s="2645"/>
    </row>
    <row r="4" spans="1:18" ht="14.25">
      <c r="A4" s="2649"/>
      <c r="B4" s="2652" t="s">
        <v>1202</v>
      </c>
      <c r="C4" s="2653"/>
      <c r="D4" s="2648"/>
      <c r="E4" s="2654"/>
      <c r="F4" s="2655" t="s">
        <v>1203</v>
      </c>
      <c r="G4" s="2656"/>
      <c r="H4" s="2645"/>
      <c r="I4" s="2645"/>
      <c r="J4" s="2645"/>
      <c r="K4" s="2645"/>
      <c r="L4" s="2645"/>
      <c r="M4" s="2645"/>
      <c r="N4" s="2645"/>
      <c r="O4" s="2645"/>
      <c r="P4" s="2645"/>
      <c r="Q4" s="2645"/>
    </row>
    <row r="5" spans="1:18" ht="14.25">
      <c r="A5" s="2649"/>
      <c r="B5" s="2652" t="s">
        <v>1204</v>
      </c>
      <c r="C5" s="2653"/>
      <c r="D5" s="2648"/>
      <c r="E5" s="2654"/>
      <c r="F5" s="2652" t="s">
        <v>1829</v>
      </c>
      <c r="G5" s="2656"/>
      <c r="H5" s="2645"/>
      <c r="I5" s="2645"/>
      <c r="J5" s="2645"/>
      <c r="K5" s="2645"/>
      <c r="L5" s="2645"/>
      <c r="M5" s="2645"/>
      <c r="N5" s="2645"/>
      <c r="O5" s="2645"/>
      <c r="P5" s="2645"/>
      <c r="Q5" s="2645"/>
    </row>
    <row r="6" spans="1:18" ht="14.25">
      <c r="A6" s="2649"/>
      <c r="B6" s="2652" t="s">
        <v>1190</v>
      </c>
      <c r="C6" s="3415" t="s">
        <v>3459</v>
      </c>
      <c r="D6" s="2648"/>
      <c r="E6" s="2654"/>
      <c r="F6" s="2652" t="s">
        <v>1830</v>
      </c>
      <c r="G6" s="2656"/>
      <c r="H6" s="2645"/>
      <c r="I6" s="2645"/>
      <c r="J6" s="2645"/>
      <c r="K6" s="2645"/>
      <c r="L6" s="2645"/>
      <c r="M6" s="2645"/>
      <c r="N6" s="2645"/>
      <c r="O6" s="2645"/>
      <c r="P6" s="2645"/>
      <c r="Q6" s="2645"/>
    </row>
    <row r="7" spans="1:18" ht="15" thickBot="1">
      <c r="A7" s="2649"/>
      <c r="B7" s="2652" t="s">
        <v>1829</v>
      </c>
      <c r="C7" s="3415" t="s">
        <v>3459</v>
      </c>
      <c r="D7" s="2657"/>
      <c r="E7" s="2658"/>
      <c r="F7" s="2659" t="s">
        <v>1205</v>
      </c>
      <c r="G7" s="2660"/>
      <c r="H7" s="2645"/>
      <c r="I7" s="2645"/>
      <c r="J7" s="2645"/>
      <c r="K7" s="2645"/>
      <c r="L7" s="2645"/>
      <c r="M7" s="2645"/>
      <c r="N7" s="2645"/>
      <c r="O7" s="2645"/>
      <c r="P7" s="2645"/>
      <c r="Q7" s="2645"/>
    </row>
    <row r="8" spans="1:18">
      <c r="A8" s="2649"/>
      <c r="B8" s="2652" t="s">
        <v>1830</v>
      </c>
      <c r="C8" s="3415" t="s">
        <v>1502</v>
      </c>
      <c r="D8" s="2657"/>
      <c r="E8" s="2657"/>
      <c r="F8" s="2661"/>
      <c r="G8" s="2661"/>
      <c r="H8" s="2645"/>
      <c r="I8" s="2645"/>
      <c r="J8" s="2645"/>
      <c r="K8" s="2645"/>
      <c r="L8" s="2645"/>
      <c r="M8" s="2645"/>
      <c r="N8" s="2645"/>
      <c r="O8" s="2645"/>
      <c r="P8" s="2645"/>
      <c r="Q8" s="2645"/>
    </row>
    <row r="9" spans="1:18">
      <c r="A9" s="2649"/>
      <c r="B9" s="2652" t="s">
        <v>1191</v>
      </c>
      <c r="C9" s="3416" t="s">
        <v>3459</v>
      </c>
      <c r="D9" s="2648"/>
      <c r="E9" s="2657"/>
      <c r="F9" s="2661"/>
      <c r="G9" s="2661"/>
      <c r="H9" s="2645"/>
      <c r="I9" s="2645"/>
      <c r="J9" s="2645"/>
      <c r="K9" s="2645"/>
      <c r="L9" s="2645"/>
      <c r="M9" s="2645"/>
      <c r="N9" s="2645"/>
      <c r="O9" s="2645"/>
      <c r="P9" s="2645"/>
      <c r="Q9" s="2645"/>
    </row>
    <row r="10" spans="1:18" ht="15" thickBot="1">
      <c r="A10" s="2662"/>
      <c r="B10" s="2663" t="s">
        <v>1206</v>
      </c>
      <c r="C10" s="3417" t="s">
        <v>3460</v>
      </c>
      <c r="D10" s="2648"/>
      <c r="E10" s="2648"/>
      <c r="F10" s="2661"/>
      <c r="G10" s="2661"/>
      <c r="J10" s="2665"/>
      <c r="M10" s="2665"/>
      <c r="P10" s="2665"/>
      <c r="R10" s="2664"/>
    </row>
    <row r="11" spans="1:18">
      <c r="A11" s="2666"/>
      <c r="B11" s="2657"/>
      <c r="C11" s="2648"/>
      <c r="D11" s="2648"/>
      <c r="E11" s="2648"/>
      <c r="F11" s="2657"/>
      <c r="G11" s="2657"/>
      <c r="J11" s="2665"/>
      <c r="M11" s="2665"/>
      <c r="P11" s="2665"/>
      <c r="R11" s="2664"/>
    </row>
    <row r="12" spans="1:18" s="2639" customFormat="1" ht="18.75">
      <c r="A12" s="2666"/>
      <c r="B12" s="2657"/>
      <c r="C12" s="2648"/>
      <c r="D12" s="2667"/>
      <c r="E12" s="2648"/>
      <c r="F12" s="2657"/>
      <c r="G12" s="2657"/>
      <c r="H12" s="2668"/>
      <c r="I12" s="2668"/>
      <c r="J12" s="2668"/>
      <c r="K12" s="2668"/>
      <c r="L12" s="2669"/>
      <c r="M12" s="2668"/>
      <c r="N12" s="2670"/>
      <c r="O12" s="2670"/>
      <c r="P12" s="2670"/>
      <c r="Q12" s="2670"/>
    </row>
    <row r="13" spans="1:18" ht="19.5" thickBot="1">
      <c r="A13" s="2671" t="s">
        <v>1207</v>
      </c>
      <c r="B13" s="2667"/>
      <c r="C13" s="2667"/>
      <c r="D13" s="2643"/>
      <c r="E13" s="2667"/>
      <c r="F13" s="2667"/>
      <c r="G13" s="2667"/>
    </row>
    <row r="14" spans="1:18" ht="14.25" thickBot="1">
      <c r="A14" s="2672"/>
      <c r="B14" s="2672"/>
      <c r="C14" s="2673" t="s">
        <v>1199</v>
      </c>
      <c r="D14" s="2648"/>
      <c r="E14" s="2674"/>
      <c r="F14" s="2674"/>
      <c r="G14" s="2642" t="s">
        <v>1200</v>
      </c>
    </row>
    <row r="15" spans="1:18" ht="27">
      <c r="A15" s="2675" t="s">
        <v>1192</v>
      </c>
      <c r="B15" s="2676" t="s">
        <v>1188</v>
      </c>
      <c r="C15" s="2677" t="str">
        <f>C3</f>
        <v>一般</v>
      </c>
      <c r="D15" s="2648"/>
      <c r="E15" s="2678" t="s">
        <v>1193</v>
      </c>
      <c r="F15" s="2676" t="s">
        <v>1208</v>
      </c>
      <c r="G15" s="2679">
        <f>G3</f>
        <v>0</v>
      </c>
    </row>
    <row r="16" spans="1:18">
      <c r="A16" s="2680"/>
      <c r="B16" s="2681" t="s">
        <v>1202</v>
      </c>
      <c r="C16" s="2682">
        <f>C4</f>
        <v>0</v>
      </c>
      <c r="D16" s="2648"/>
      <c r="E16" s="2683"/>
      <c r="F16" s="2684" t="s">
        <v>1203</v>
      </c>
      <c r="G16" s="2685">
        <f>G4</f>
        <v>0</v>
      </c>
    </row>
    <row r="17" spans="1:7" ht="14.25">
      <c r="A17" s="2680"/>
      <c r="B17" s="2681" t="s">
        <v>1204</v>
      </c>
      <c r="C17" s="2682">
        <f>C5</f>
        <v>0</v>
      </c>
      <c r="D17" s="2657"/>
      <c r="E17" s="2683"/>
      <c r="F17" s="2684" t="s">
        <v>1209</v>
      </c>
      <c r="G17" s="2686"/>
    </row>
    <row r="18" spans="1:7">
      <c r="A18" s="2680"/>
      <c r="B18" s="2684" t="s">
        <v>1190</v>
      </c>
      <c r="C18" s="2685" t="str">
        <f>C6</f>
        <v>一般</v>
      </c>
      <c r="D18" s="2657"/>
      <c r="E18" s="2683"/>
      <c r="F18" s="2684" t="s">
        <v>1205</v>
      </c>
      <c r="G18" s="2685">
        <f>G7</f>
        <v>0</v>
      </c>
    </row>
    <row r="19" spans="1:7" ht="14.25">
      <c r="A19" s="2680"/>
      <c r="B19" s="2684" t="s">
        <v>1194</v>
      </c>
      <c r="C19" s="2686"/>
      <c r="D19" s="2648"/>
      <c r="E19" s="2683"/>
      <c r="F19" s="2652" t="s">
        <v>1829</v>
      </c>
      <c r="G19" s="2685">
        <f>G5</f>
        <v>0</v>
      </c>
    </row>
    <row r="20" spans="1:7">
      <c r="A20" s="2680"/>
      <c r="B20" s="2684" t="s">
        <v>1195</v>
      </c>
      <c r="C20" s="2682" t="str">
        <f>C9</f>
        <v>一般</v>
      </c>
      <c r="D20" s="2657"/>
      <c r="E20" s="2683"/>
      <c r="F20" s="2652" t="s">
        <v>1830</v>
      </c>
      <c r="G20" s="2685">
        <f>G6</f>
        <v>0</v>
      </c>
    </row>
    <row r="21" spans="1:7" ht="14.25">
      <c r="A21" s="2680"/>
      <c r="B21" s="2652" t="s">
        <v>1829</v>
      </c>
      <c r="C21" s="2685" t="str">
        <f>C7</f>
        <v>一般</v>
      </c>
      <c r="D21" s="2648"/>
      <c r="E21" s="2683"/>
      <c r="F21" s="2684" t="s">
        <v>1196</v>
      </c>
      <c r="G21" s="2687"/>
    </row>
    <row r="22" spans="1:7" ht="14.25">
      <c r="A22" s="2680"/>
      <c r="B22" s="2652" t="s">
        <v>1830</v>
      </c>
      <c r="C22" s="2685" t="str">
        <f>C8</f>
        <v>七通</v>
      </c>
      <c r="D22" s="2648"/>
      <c r="E22" s="2683"/>
      <c r="F22" s="2684" t="s">
        <v>1206</v>
      </c>
      <c r="G22" s="2686"/>
    </row>
    <row r="23" spans="1:7" ht="15" thickBot="1">
      <c r="A23" s="2680"/>
      <c r="B23" s="2684" t="s">
        <v>1196</v>
      </c>
      <c r="C23" s="2687"/>
      <c r="E23" s="2688"/>
      <c r="F23" s="2689" t="s">
        <v>1210</v>
      </c>
      <c r="G23" s="2690"/>
    </row>
    <row r="24" spans="1:7" ht="14.25" thickBot="1">
      <c r="A24" s="2691"/>
      <c r="B24" s="2689" t="s">
        <v>1197</v>
      </c>
      <c r="C24" s="2692" t="str">
        <f>C10</f>
        <v>次干道-林河南大街</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M20" sqref="M20"/>
    </sheetView>
  </sheetViews>
  <sheetFormatPr defaultColWidth="14.625" defaultRowHeight="13.5"/>
  <cols>
    <col min="1" max="1" width="24.375" style="2694" customWidth="1"/>
    <col min="2" max="16384" width="14.625" style="2694"/>
  </cols>
  <sheetData>
    <row r="1" spans="1:10" ht="16.5">
      <c r="A1" s="2693" t="s">
        <v>2118</v>
      </c>
      <c r="B1" s="2693">
        <f>SUM(B14:B23)</f>
        <v>58507.63</v>
      </c>
      <c r="C1" s="2701"/>
      <c r="D1" s="2701"/>
      <c r="E1" s="2701"/>
      <c r="F1" s="2701"/>
      <c r="G1" s="2702"/>
      <c r="H1" s="2702"/>
      <c r="I1" s="2702"/>
      <c r="J1" s="2702"/>
    </row>
    <row r="2" spans="1:10" ht="16.5">
      <c r="A2" s="2693" t="s">
        <v>2119</v>
      </c>
      <c r="B2" s="2693">
        <f>SUM(C14:C23)</f>
        <v>28358.04</v>
      </c>
      <c r="C2" s="2701"/>
      <c r="D2" s="2701"/>
      <c r="E2" s="2701"/>
      <c r="F2" s="2701"/>
      <c r="G2" s="2702"/>
      <c r="H2" s="2702"/>
      <c r="I2" s="2702"/>
      <c r="J2" s="2702"/>
    </row>
    <row r="3" spans="1:10" ht="16.5">
      <c r="A3" s="2693" t="s">
        <v>2120</v>
      </c>
      <c r="B3" s="2695">
        <f>项目基本情况!D3</f>
        <v>45908</v>
      </c>
      <c r="C3" s="2701"/>
      <c r="D3" s="2701"/>
      <c r="E3" s="2701"/>
      <c r="F3" s="2701"/>
      <c r="G3" s="2702"/>
      <c r="H3" s="2702"/>
      <c r="I3" s="2702"/>
      <c r="J3" s="2702"/>
    </row>
    <row r="4" spans="1:10" ht="33">
      <c r="A4" s="2693" t="s">
        <v>2121</v>
      </c>
      <c r="B4" s="2693" t="s">
        <v>2122</v>
      </c>
      <c r="C4" s="2693" t="s">
        <v>2123</v>
      </c>
      <c r="D4" s="2693" t="s">
        <v>2124</v>
      </c>
      <c r="E4" s="2701"/>
      <c r="F4" s="2701"/>
      <c r="G4" s="2702"/>
      <c r="H4" s="2702"/>
      <c r="I4" s="2702"/>
      <c r="J4" s="2702"/>
    </row>
    <row r="5" spans="1:10" ht="16.5">
      <c r="A5" s="2693" t="s">
        <v>2125</v>
      </c>
      <c r="B5" s="2693">
        <f ca="1">SUM(D14:D23)</f>
        <v>72718</v>
      </c>
      <c r="C5" s="2693">
        <f ca="1">ROUND(B5*10000/$B$1,0)</f>
        <v>12429</v>
      </c>
      <c r="D5" s="2693">
        <f ca="1">ROUND(B5*10000/$B$2,0)</f>
        <v>25643</v>
      </c>
      <c r="E5" s="2701"/>
      <c r="F5" s="2701"/>
      <c r="G5" s="2702"/>
      <c r="H5" s="2702"/>
      <c r="I5" s="2702"/>
      <c r="J5" s="2702"/>
    </row>
    <row r="6" spans="1:10" ht="16.5">
      <c r="A6" s="2693" t="s">
        <v>2126</v>
      </c>
      <c r="B6" s="2693">
        <f ca="1">SUM(G14:G23)</f>
        <v>72718</v>
      </c>
      <c r="C6" s="2693">
        <f ca="1">ROUND(B6*10000/$B$1,0)</f>
        <v>12429</v>
      </c>
      <c r="D6" s="2693">
        <f ca="1">ROUND(B6*10000/$B$2,0)</f>
        <v>25643</v>
      </c>
      <c r="E6" s="2701"/>
      <c r="F6" s="2701"/>
      <c r="G6" s="2702"/>
      <c r="H6" s="2702"/>
      <c r="I6" s="2702"/>
      <c r="J6" s="2702"/>
    </row>
    <row r="7" spans="1:10" ht="16.5">
      <c r="A7" s="2693" t="s">
        <v>2127</v>
      </c>
      <c r="B7" s="2693">
        <f>SUM(H14:H23)</f>
        <v>0</v>
      </c>
      <c r="C7" s="2693">
        <f>ROUND(B7*10000/$B$1,0)</f>
        <v>0</v>
      </c>
      <c r="D7" s="2693">
        <f>ROUND(B7*10000/$B$2,0)</f>
        <v>0</v>
      </c>
      <c r="E7" s="2701"/>
      <c r="F7" s="2701"/>
      <c r="G7" s="2702"/>
      <c r="H7" s="2702"/>
      <c r="I7" s="2702"/>
      <c r="J7" s="2702"/>
    </row>
    <row r="8" spans="1:10" ht="16.5">
      <c r="A8" s="2693" t="s">
        <v>2128</v>
      </c>
      <c r="B8" s="2693">
        <f>SUM(I14:I23)</f>
        <v>0</v>
      </c>
      <c r="C8" s="2693">
        <f>ROUND(B8*10000/$B$1,0)</f>
        <v>0</v>
      </c>
      <c r="D8" s="2693">
        <f>ROUND(B8*10000/$B$2,0)</f>
        <v>0</v>
      </c>
      <c r="E8" s="2701"/>
      <c r="F8" s="2701"/>
      <c r="G8" s="2702"/>
      <c r="H8" s="2702"/>
      <c r="I8" s="2702"/>
      <c r="J8" s="2702"/>
    </row>
    <row r="9" spans="1:10" ht="16.5">
      <c r="A9" s="2693" t="s">
        <v>2129</v>
      </c>
      <c r="B9" s="2326"/>
      <c r="C9" s="2701"/>
      <c r="D9" s="2701"/>
      <c r="E9" s="2701"/>
      <c r="F9" s="2701"/>
      <c r="G9" s="2702"/>
      <c r="H9" s="2702"/>
      <c r="I9" s="2702"/>
      <c r="J9" s="2702"/>
    </row>
    <row r="10" spans="1:10" ht="16.5">
      <c r="A10" s="2693" t="s">
        <v>2130</v>
      </c>
      <c r="B10" s="2326"/>
      <c r="C10" s="2701"/>
      <c r="D10" s="2701"/>
      <c r="E10" s="2701"/>
      <c r="F10" s="2701"/>
      <c r="G10" s="2702"/>
      <c r="H10" s="2702"/>
      <c r="I10" s="2702"/>
      <c r="J10" s="2702"/>
    </row>
    <row r="11" spans="1:10" ht="16.5">
      <c r="A11" s="2693" t="s">
        <v>2145</v>
      </c>
      <c r="B11" s="2326"/>
      <c r="C11" s="2701"/>
      <c r="D11" s="2701"/>
      <c r="E11" s="2701"/>
      <c r="F11" s="2701"/>
      <c r="G11" s="2702"/>
      <c r="H11" s="2702"/>
      <c r="I11" s="2702"/>
      <c r="J11" s="2702"/>
    </row>
    <row r="12" spans="1:10" ht="16.5">
      <c r="A12" s="2701"/>
      <c r="B12" s="2701"/>
      <c r="C12" s="2701"/>
      <c r="D12" s="2701"/>
      <c r="E12" s="2701"/>
      <c r="F12" s="2701"/>
      <c r="G12" s="2702"/>
      <c r="H12" s="2702"/>
      <c r="I12" s="2702"/>
      <c r="J12" s="2702"/>
    </row>
    <row r="13" spans="1:10" ht="33">
      <c r="A13" s="2696" t="s">
        <v>2144</v>
      </c>
      <c r="B13" s="2697" t="s">
        <v>2118</v>
      </c>
      <c r="C13" s="2697" t="s">
        <v>2119</v>
      </c>
      <c r="D13" s="2697" t="s">
        <v>2131</v>
      </c>
      <c r="E13" s="2693" t="s">
        <v>2143</v>
      </c>
      <c r="F13" s="2693" t="s">
        <v>2124</v>
      </c>
      <c r="G13" s="2697" t="s">
        <v>2132</v>
      </c>
      <c r="H13" s="2697" t="s">
        <v>2133</v>
      </c>
      <c r="I13" s="2697" t="s">
        <v>2134</v>
      </c>
      <c r="J13" s="2702"/>
    </row>
    <row r="14" spans="1:10" ht="16.5">
      <c r="A14" s="2698" t="s">
        <v>3510</v>
      </c>
      <c r="B14" s="2699">
        <f>结果表!L38</f>
        <v>11011.79</v>
      </c>
      <c r="C14" s="2699">
        <f>结果表!K38</f>
        <v>5431.65</v>
      </c>
      <c r="D14" s="2699">
        <f ca="1">结果表!O38</f>
        <v>9595</v>
      </c>
      <c r="E14" s="2699">
        <f ca="1">ROUND(D14*10000/B14,0)</f>
        <v>8713</v>
      </c>
      <c r="F14" s="2699">
        <f ca="1">ROUND(D14*10000/C14,0)</f>
        <v>17665</v>
      </c>
      <c r="G14" s="2699">
        <f ca="1">D14</f>
        <v>9595</v>
      </c>
      <c r="H14" s="2699"/>
      <c r="I14" s="2699"/>
      <c r="J14" s="2702"/>
    </row>
    <row r="15" spans="1:10" ht="16.5">
      <c r="A15" s="2698" t="s">
        <v>3511</v>
      </c>
      <c r="B15" s="2699">
        <f>[2]系统读取表!$B$14</f>
        <v>47495.839999999997</v>
      </c>
      <c r="C15" s="2699">
        <f>[2]系统读取表!$C$14</f>
        <v>22926.39</v>
      </c>
      <c r="D15" s="2699">
        <f>[2]系统读取表!$D$14</f>
        <v>63123</v>
      </c>
      <c r="E15" s="2699">
        <f t="shared" ref="E15:E23" si="0">ROUND(D15*10000/B15,0)</f>
        <v>13290</v>
      </c>
      <c r="F15" s="2699">
        <f t="shared" ref="F15:F23" si="1">ROUND(D15*10000/C15,0)</f>
        <v>27533</v>
      </c>
      <c r="G15" s="2326">
        <f>D15</f>
        <v>63123</v>
      </c>
      <c r="H15" s="2326"/>
      <c r="I15" s="2700"/>
      <c r="J15" s="2702"/>
    </row>
    <row r="16" spans="1:10" ht="16.5">
      <c r="A16" s="2698" t="s">
        <v>2135</v>
      </c>
      <c r="B16" s="2700"/>
      <c r="C16" s="2700"/>
      <c r="D16" s="2700"/>
      <c r="E16" s="2699" t="e">
        <f t="shared" si="0"/>
        <v>#DIV/0!</v>
      </c>
      <c r="F16" s="2699" t="e">
        <f t="shared" si="1"/>
        <v>#DIV/0!</v>
      </c>
      <c r="G16" s="2326"/>
      <c r="H16" s="2326"/>
      <c r="I16" s="2700"/>
      <c r="J16" s="2702"/>
    </row>
    <row r="17" spans="1:10" ht="16.5">
      <c r="A17" s="2698" t="s">
        <v>2136</v>
      </c>
      <c r="B17" s="2700"/>
      <c r="C17" s="2700"/>
      <c r="D17" s="2700"/>
      <c r="E17" s="2699" t="e">
        <f t="shared" si="0"/>
        <v>#DIV/0!</v>
      </c>
      <c r="F17" s="2699" t="e">
        <f t="shared" si="1"/>
        <v>#DIV/0!</v>
      </c>
      <c r="G17" s="2326"/>
      <c r="H17" s="2326"/>
      <c r="I17" s="2700"/>
      <c r="J17" s="2702"/>
    </row>
    <row r="18" spans="1:10" ht="16.5">
      <c r="A18" s="2698" t="s">
        <v>2137</v>
      </c>
      <c r="B18" s="2700"/>
      <c r="C18" s="2700"/>
      <c r="D18" s="2700"/>
      <c r="E18" s="2699" t="e">
        <f t="shared" si="0"/>
        <v>#DIV/0!</v>
      </c>
      <c r="F18" s="2699" t="e">
        <f t="shared" si="1"/>
        <v>#DIV/0!</v>
      </c>
      <c r="G18" s="2700"/>
      <c r="H18" s="2700"/>
      <c r="I18" s="2700"/>
      <c r="J18" s="2702"/>
    </row>
    <row r="19" spans="1:10" ht="16.5">
      <c r="A19" s="2698" t="s">
        <v>2138</v>
      </c>
      <c r="B19" s="2700"/>
      <c r="C19" s="2700"/>
      <c r="D19" s="2700"/>
      <c r="E19" s="2699" t="e">
        <f t="shared" si="0"/>
        <v>#DIV/0!</v>
      </c>
      <c r="F19" s="2699" t="e">
        <f t="shared" si="1"/>
        <v>#DIV/0!</v>
      </c>
      <c r="G19" s="2700"/>
      <c r="H19" s="2700"/>
      <c r="I19" s="2700"/>
      <c r="J19" s="2702"/>
    </row>
    <row r="20" spans="1:10" ht="16.5">
      <c r="A20" s="2698" t="s">
        <v>2139</v>
      </c>
      <c r="B20" s="2700"/>
      <c r="C20" s="2700"/>
      <c r="D20" s="2700"/>
      <c r="E20" s="2699" t="e">
        <f t="shared" si="0"/>
        <v>#DIV/0!</v>
      </c>
      <c r="F20" s="2699" t="e">
        <f t="shared" si="1"/>
        <v>#DIV/0!</v>
      </c>
      <c r="G20" s="2700"/>
      <c r="H20" s="2700"/>
      <c r="I20" s="2700"/>
      <c r="J20" s="2702"/>
    </row>
    <row r="21" spans="1:10" ht="16.5">
      <c r="A21" s="2698" t="s">
        <v>2140</v>
      </c>
      <c r="B21" s="2700"/>
      <c r="C21" s="2700"/>
      <c r="D21" s="2700"/>
      <c r="E21" s="2699" t="e">
        <f t="shared" si="0"/>
        <v>#DIV/0!</v>
      </c>
      <c r="F21" s="2699" t="e">
        <f t="shared" si="1"/>
        <v>#DIV/0!</v>
      </c>
      <c r="G21" s="2700"/>
      <c r="H21" s="2700"/>
      <c r="I21" s="2700"/>
      <c r="J21" s="2702"/>
    </row>
    <row r="22" spans="1:10" ht="16.5">
      <c r="A22" s="2698" t="s">
        <v>2141</v>
      </c>
      <c r="B22" s="2700"/>
      <c r="C22" s="2700"/>
      <c r="D22" s="2700"/>
      <c r="E22" s="2699" t="e">
        <f t="shared" si="0"/>
        <v>#DIV/0!</v>
      </c>
      <c r="F22" s="2699" t="e">
        <f t="shared" si="1"/>
        <v>#DIV/0!</v>
      </c>
      <c r="G22" s="2700"/>
      <c r="H22" s="2700"/>
      <c r="I22" s="2700"/>
      <c r="J22" s="2702"/>
    </row>
    <row r="23" spans="1:10" ht="16.5">
      <c r="A23" s="2698" t="s">
        <v>2142</v>
      </c>
      <c r="B23" s="2700"/>
      <c r="C23" s="2700"/>
      <c r="D23" s="2700"/>
      <c r="E23" s="2326" t="e">
        <f t="shared" si="0"/>
        <v>#DIV/0!</v>
      </c>
      <c r="F23" s="2326"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A31" sqref="A31:I31"/>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t="s">
        <v>3508</v>
      </c>
      <c r="E1" s="1499" t="s">
        <v>1575</v>
      </c>
      <c r="F1" s="1501" t="s">
        <v>3509</v>
      </c>
      <c r="G1" s="287"/>
      <c r="H1" s="287"/>
      <c r="I1" s="287"/>
      <c r="J1" s="1636"/>
      <c r="K1" s="1636"/>
      <c r="L1" s="1636"/>
      <c r="M1" s="1636"/>
      <c r="N1" s="1636"/>
      <c r="O1" s="1636"/>
      <c r="P1" s="1636"/>
      <c r="Q1" s="1636"/>
      <c r="R1" s="1636"/>
      <c r="S1" s="1636"/>
      <c r="T1" s="1636"/>
      <c r="U1" s="1636"/>
      <c r="V1" s="1636"/>
    </row>
    <row r="2" spans="1:22" ht="21.75" customHeight="1" thickBot="1">
      <c r="A2" s="3555" t="str">
        <f>项目基本情况!K2</f>
        <v>北京市出让国有建设用地使用权</v>
      </c>
      <c r="B2" s="3556"/>
      <c r="C2" s="3557"/>
      <c r="D2" s="3557"/>
      <c r="E2" s="3557"/>
      <c r="F2" s="3557"/>
      <c r="G2" s="3556"/>
      <c r="H2" s="3556"/>
      <c r="I2" s="3558"/>
      <c r="J2" s="1643"/>
      <c r="K2" s="1636"/>
      <c r="L2" s="1636"/>
      <c r="M2" s="1636"/>
      <c r="N2" s="1636"/>
      <c r="O2" s="1636"/>
      <c r="P2" s="1636"/>
      <c r="Q2" s="1636"/>
      <c r="R2" s="1636"/>
      <c r="S2" s="1636"/>
      <c r="T2" s="1636"/>
      <c r="U2" s="1636"/>
      <c r="V2" s="1636"/>
    </row>
    <row r="3" spans="1:22" ht="14.25">
      <c r="A3" s="3548" t="s">
        <v>264</v>
      </c>
      <c r="B3" s="3549"/>
      <c r="C3" s="3549"/>
      <c r="D3" s="3549"/>
      <c r="E3" s="3549"/>
      <c r="F3" s="3549"/>
      <c r="G3" s="3549"/>
      <c r="H3" s="3549"/>
      <c r="I3" s="3549"/>
      <c r="J3" s="1643"/>
      <c r="K3" s="1636"/>
      <c r="L3" s="1636"/>
      <c r="M3" s="1636"/>
      <c r="N3" s="1636"/>
      <c r="O3" s="1636"/>
      <c r="P3" s="1636"/>
      <c r="Q3" s="1636"/>
      <c r="R3" s="1636"/>
      <c r="S3" s="1636"/>
      <c r="T3" s="1636"/>
      <c r="U3" s="1636"/>
      <c r="V3" s="1636"/>
    </row>
    <row r="4" spans="1:22" ht="14.25">
      <c r="A4" s="238" t="s">
        <v>265</v>
      </c>
      <c r="B4" s="239" t="s">
        <v>266</v>
      </c>
      <c r="C4" s="240" t="s">
        <v>3505</v>
      </c>
      <c r="D4" s="240" t="s">
        <v>3506</v>
      </c>
      <c r="E4" s="3514" t="s">
        <v>267</v>
      </c>
      <c r="F4" s="3515"/>
      <c r="G4" s="3515"/>
      <c r="H4" s="3515"/>
      <c r="I4" s="3550"/>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13" t="s">
        <v>268</v>
      </c>
      <c r="B5" s="3542">
        <v>25</v>
      </c>
      <c r="C5" s="3540"/>
      <c r="D5" s="3544"/>
      <c r="E5" s="241" t="s">
        <v>269</v>
      </c>
      <c r="F5" s="242"/>
      <c r="G5" s="242"/>
      <c r="H5" s="242"/>
      <c r="I5" s="243"/>
      <c r="J5" s="1643"/>
      <c r="K5" s="1636"/>
      <c r="L5" s="1636"/>
      <c r="M5" s="1636"/>
      <c r="N5" s="1636"/>
      <c r="O5" s="1636"/>
      <c r="P5" s="1636"/>
      <c r="Q5" s="1636"/>
      <c r="R5" s="1636"/>
      <c r="S5" s="1636"/>
      <c r="T5" s="1636"/>
      <c r="U5" s="1636"/>
      <c r="V5" s="1636"/>
    </row>
    <row r="6" spans="1:22" ht="14.25">
      <c r="A6" s="3513"/>
      <c r="B6" s="3542"/>
      <c r="C6" s="3543"/>
      <c r="D6" s="3544"/>
      <c r="E6" s="241" t="s">
        <v>270</v>
      </c>
      <c r="F6" s="242"/>
      <c r="G6" s="242"/>
      <c r="H6" s="242"/>
      <c r="I6" s="243"/>
      <c r="J6" s="1643"/>
      <c r="K6" s="1636"/>
      <c r="L6" s="1636"/>
      <c r="M6" s="1636"/>
      <c r="N6" s="1636"/>
      <c r="O6" s="1636"/>
      <c r="P6" s="1636"/>
      <c r="Q6" s="1636"/>
      <c r="R6" s="1636"/>
      <c r="S6" s="1636"/>
      <c r="T6" s="1636"/>
      <c r="U6" s="1636"/>
      <c r="V6" s="1636"/>
    </row>
    <row r="7" spans="1:22" ht="14.25">
      <c r="A7" s="3513"/>
      <c r="B7" s="3542"/>
      <c r="C7" s="3541"/>
      <c r="D7" s="3544"/>
      <c r="E7" s="241" t="s">
        <v>271</v>
      </c>
      <c r="F7" s="242"/>
      <c r="G7" s="242"/>
      <c r="H7" s="242"/>
      <c r="I7" s="243"/>
      <c r="J7" s="1643"/>
      <c r="K7" s="1636"/>
      <c r="L7" s="1636"/>
      <c r="M7" s="1636"/>
      <c r="N7" s="1636"/>
      <c r="O7" s="1636"/>
      <c r="P7" s="1636"/>
      <c r="Q7" s="1636"/>
      <c r="R7" s="1636"/>
      <c r="S7" s="1636"/>
      <c r="T7" s="1636"/>
      <c r="U7" s="1636"/>
      <c r="V7" s="1636"/>
    </row>
    <row r="8" spans="1:22" ht="14.25">
      <c r="A8" s="3513" t="s">
        <v>272</v>
      </c>
      <c r="B8" s="3542">
        <v>15</v>
      </c>
      <c r="C8" s="3540"/>
      <c r="D8" s="3544"/>
      <c r="E8" s="241" t="s">
        <v>273</v>
      </c>
      <c r="F8" s="242"/>
      <c r="G8" s="242"/>
      <c r="H8" s="242"/>
      <c r="I8" s="243"/>
      <c r="J8" s="1643"/>
      <c r="K8" s="1636"/>
      <c r="L8" s="1636"/>
      <c r="M8" s="1636"/>
      <c r="N8" s="1636"/>
      <c r="O8" s="1636"/>
      <c r="P8" s="1636"/>
      <c r="Q8" s="1636"/>
      <c r="R8" s="1636"/>
      <c r="S8" s="1636"/>
      <c r="T8" s="1636"/>
      <c r="U8" s="1636"/>
      <c r="V8" s="1636"/>
    </row>
    <row r="9" spans="1:22" ht="14.25">
      <c r="A9" s="3513"/>
      <c r="B9" s="3542"/>
      <c r="C9" s="3541"/>
      <c r="D9" s="3544"/>
      <c r="E9" s="241" t="s">
        <v>274</v>
      </c>
      <c r="F9" s="242"/>
      <c r="G9" s="242"/>
      <c r="H9" s="242"/>
      <c r="I9" s="243"/>
      <c r="J9" s="1643"/>
      <c r="K9" s="1636"/>
      <c r="L9" s="1636"/>
      <c r="M9" s="1636"/>
      <c r="N9" s="1636"/>
      <c r="O9" s="1636"/>
      <c r="P9" s="1636"/>
      <c r="Q9" s="1636"/>
      <c r="R9" s="1636"/>
      <c r="S9" s="1636"/>
      <c r="T9" s="1636"/>
      <c r="U9" s="1636"/>
      <c r="V9" s="1636"/>
    </row>
    <row r="10" spans="1:22" ht="14.25">
      <c r="A10" s="3513" t="s">
        <v>275</v>
      </c>
      <c r="B10" s="3542">
        <v>15</v>
      </c>
      <c r="C10" s="3540"/>
      <c r="D10" s="3544"/>
      <c r="E10" s="241" t="s">
        <v>276</v>
      </c>
      <c r="F10" s="242"/>
      <c r="G10" s="242"/>
      <c r="H10" s="242"/>
      <c r="I10" s="243"/>
      <c r="J10" s="1643"/>
      <c r="K10" s="1636"/>
      <c r="L10" s="1636"/>
      <c r="M10" s="1636"/>
      <c r="N10" s="1636"/>
      <c r="O10" s="1636"/>
      <c r="P10" s="1636"/>
      <c r="Q10" s="1636"/>
      <c r="R10" s="1636"/>
      <c r="S10" s="1636"/>
      <c r="T10" s="1636"/>
      <c r="U10" s="1636"/>
      <c r="V10" s="1636"/>
    </row>
    <row r="11" spans="1:22" ht="14.25">
      <c r="A11" s="3513"/>
      <c r="B11" s="3542"/>
      <c r="C11" s="3541"/>
      <c r="D11" s="3544"/>
      <c r="E11" s="241" t="s">
        <v>277</v>
      </c>
      <c r="F11" s="242"/>
      <c r="G11" s="242"/>
      <c r="H11" s="242"/>
      <c r="I11" s="243"/>
      <c r="J11" s="1643"/>
      <c r="K11" s="1636"/>
      <c r="L11" s="1636"/>
      <c r="M11" s="1636"/>
      <c r="N11" s="1636"/>
      <c r="O11" s="1636"/>
      <c r="P11" s="1636"/>
      <c r="Q11" s="1636"/>
      <c r="R11" s="1636"/>
      <c r="S11" s="1636"/>
      <c r="T11" s="1636"/>
      <c r="U11" s="1636"/>
      <c r="V11" s="1636"/>
    </row>
    <row r="12" spans="1:22" ht="14.25">
      <c r="A12" s="3513" t="s">
        <v>278</v>
      </c>
      <c r="B12" s="3542">
        <v>15</v>
      </c>
      <c r="C12" s="3540"/>
      <c r="D12" s="3544"/>
      <c r="E12" s="241" t="s">
        <v>279</v>
      </c>
      <c r="F12" s="242"/>
      <c r="G12" s="242"/>
      <c r="H12" s="242"/>
      <c r="I12" s="243"/>
      <c r="J12" s="1643"/>
      <c r="K12" s="1636"/>
      <c r="L12" s="1636"/>
      <c r="M12" s="1636"/>
      <c r="N12" s="1636"/>
      <c r="O12" s="1636"/>
      <c r="P12" s="1636"/>
      <c r="Q12" s="1636"/>
      <c r="R12" s="1636"/>
      <c r="S12" s="1636"/>
      <c r="T12" s="1636"/>
      <c r="U12" s="1636"/>
      <c r="V12" s="1636"/>
    </row>
    <row r="13" spans="1:22" ht="14.25">
      <c r="A13" s="3513"/>
      <c r="B13" s="3542"/>
      <c r="C13" s="3541"/>
      <c r="D13" s="3544"/>
      <c r="E13" s="241" t="s">
        <v>280</v>
      </c>
      <c r="F13" s="242"/>
      <c r="G13" s="242"/>
      <c r="H13" s="242"/>
      <c r="I13" s="243"/>
      <c r="J13" s="1643"/>
      <c r="K13" s="1636"/>
      <c r="L13" s="1636"/>
      <c r="M13" s="1636"/>
      <c r="N13" s="1636"/>
      <c r="O13" s="1636"/>
      <c r="P13" s="1636"/>
      <c r="Q13" s="1636"/>
      <c r="R13" s="1636"/>
      <c r="S13" s="1636"/>
      <c r="T13" s="1636"/>
      <c r="U13" s="1636"/>
      <c r="V13" s="1636"/>
    </row>
    <row r="14" spans="1:22" ht="14.25">
      <c r="A14" s="3513" t="s">
        <v>281</v>
      </c>
      <c r="B14" s="3542">
        <v>30</v>
      </c>
      <c r="C14" s="3540">
        <v>5</v>
      </c>
      <c r="D14" s="3544">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13"/>
      <c r="B15" s="3542"/>
      <c r="C15" s="3543"/>
      <c r="D15" s="3544"/>
      <c r="E15" s="241" t="s">
        <v>283</v>
      </c>
      <c r="F15" s="242"/>
      <c r="G15" s="242"/>
      <c r="H15" s="242"/>
      <c r="I15" s="243"/>
      <c r="J15" s="1643"/>
      <c r="K15" s="1636"/>
      <c r="L15" s="1636"/>
      <c r="M15" s="1636"/>
      <c r="N15" s="1636"/>
      <c r="O15" s="1636"/>
      <c r="P15" s="1636"/>
      <c r="Q15" s="1636"/>
      <c r="R15" s="1636"/>
      <c r="S15" s="1636"/>
      <c r="T15" s="1636"/>
      <c r="U15" s="1636"/>
      <c r="V15" s="1636"/>
    </row>
    <row r="16" spans="1:22" ht="14.25">
      <c r="A16" s="3513"/>
      <c r="B16" s="3542"/>
      <c r="C16" s="3541"/>
      <c r="D16" s="3544"/>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45" t="s">
        <v>2243</v>
      </c>
      <c r="F18" s="3546"/>
      <c r="G18" s="3546"/>
      <c r="H18" s="3546"/>
      <c r="I18" s="3546"/>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9814</v>
      </c>
      <c r="D19" s="251">
        <f ca="1">SUMIF(INDIRECT("'"&amp;D4&amp;"'"&amp;"!A:A"),结果表!B19,INDIRECT("'"&amp;D4&amp;"'"&amp;"!B:B"))</f>
        <v>9375</v>
      </c>
      <c r="E19" s="248" t="s">
        <v>289</v>
      </c>
      <c r="F19" s="249" t="s">
        <v>288</v>
      </c>
      <c r="G19" s="252">
        <f ca="1">ROUND(C19*$C$18+D19*$D$18,0)</f>
        <v>9595</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8912</v>
      </c>
      <c r="D20" s="256">
        <f ca="1">SUMIF(INDIRECT("'"&amp;D4&amp;"'"&amp;"!A:A"),结果表!B20,INDIRECT("'"&amp;D4&amp;"'"&amp;"!B:B"))</f>
        <v>8514</v>
      </c>
      <c r="E20" s="254"/>
      <c r="F20" s="102" t="s">
        <v>291</v>
      </c>
      <c r="G20" s="257">
        <f ca="1">ROUND(C20*$C$18+D20*$D$18,0)</f>
        <v>8713</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18068</v>
      </c>
      <c r="D21" s="135">
        <f ca="1">SUMIF(INDIRECT("'"&amp;D4&amp;"'"&amp;"!A:A"),结果表!B21,INDIRECT("'"&amp;D4&amp;"'"&amp;"!B:B"))</f>
        <v>17260</v>
      </c>
      <c r="E21" s="254"/>
      <c r="F21" s="106" t="s">
        <v>293</v>
      </c>
      <c r="G21" s="260">
        <f ca="1">ROUND(C21*$C$18+D21*$D$18,0)</f>
        <v>17664</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4.6826666666666572E-2</v>
      </c>
      <c r="E22" s="262"/>
      <c r="F22" s="263"/>
      <c r="G22" s="264">
        <f ca="1">ROUND(G19/('数据-汇总表'!D3/666.67),0)</f>
        <v>1178</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19"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20"/>
      <c r="B25" s="1125" t="s">
        <v>297</v>
      </c>
      <c r="C25" s="268">
        <f>IF(B30=0,0,C30)</f>
        <v>0</v>
      </c>
      <c r="D25" s="269"/>
      <c r="E25" s="287"/>
      <c r="F25" s="287"/>
      <c r="G25" s="287"/>
      <c r="H25" s="287"/>
      <c r="I25" s="287"/>
      <c r="J25" s="1636"/>
      <c r="K25" s="1062" t="str">
        <f ca="1">项目基本情况!A17&amp;"国有建设用地使用权价格："&amp;O38&amp;"万元"</f>
        <v>出让国有建设用地使用权价格：9595万元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大写金额：人民币玖仟伍佰玖拾伍万元整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单位面积地价：17665元/平方米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楼面地价：8713元/平方米</v>
      </c>
      <c r="L28" s="1061"/>
      <c r="M28" s="1061"/>
      <c r="N28" s="1061"/>
      <c r="O28" s="258"/>
      <c r="P28" s="1636"/>
      <c r="V28" s="1636"/>
    </row>
    <row r="29" spans="1:22" ht="18">
      <c r="A29" s="270"/>
      <c r="B29" s="271"/>
      <c r="C29" s="271"/>
      <c r="D29" s="272"/>
      <c r="E29" s="287"/>
      <c r="F29" s="287"/>
      <c r="G29" s="287"/>
      <c r="H29" s="287"/>
      <c r="I29" s="287"/>
      <c r="J29" s="1636"/>
      <c r="K29" s="1065" t="str">
        <f ca="1">IF(OR(项目基本情况!E8="抵押价格",项目基本情况!E8="已注销及未注销"),"抵押价格："&amp;O39&amp;"万元","——")</f>
        <v>抵押价格：9595万元</v>
      </c>
      <c r="L29" s="1061"/>
      <c r="M29" s="1061"/>
      <c r="N29" s="1061"/>
      <c r="O29" s="258"/>
      <c r="P29" s="1636"/>
      <c r="V29" s="1636"/>
    </row>
    <row r="30" spans="1:22" ht="18.75" thickBot="1">
      <c r="A30" s="2365" t="s">
        <v>302</v>
      </c>
      <c r="B30" s="285"/>
      <c r="C30" s="285"/>
      <c r="D30" s="286"/>
      <c r="E30" s="2539" t="s">
        <v>2244</v>
      </c>
      <c r="F30" s="287"/>
      <c r="G30" s="287"/>
      <c r="H30" s="287"/>
      <c r="I30" s="287"/>
      <c r="J30" s="1636"/>
      <c r="K30" s="1065" t="str">
        <f ca="1">IF(K29="——","——","大写金额：人民币"&amp;NUMBERSTRING(INT(O39*10000),2)&amp;"元整")</f>
        <v>大写金额：人民币玖仟伍佰玖拾伍万元整</v>
      </c>
      <c r="L30" s="1061"/>
      <c r="M30" s="1061"/>
      <c r="N30" s="1061"/>
      <c r="O30" s="258"/>
      <c r="P30" s="1636"/>
      <c r="V30" s="1636"/>
    </row>
    <row r="31" spans="1:22" ht="24" customHeight="1" thickBot="1">
      <c r="A31" s="3547" t="s">
        <v>2245</v>
      </c>
      <c r="B31" s="3547"/>
      <c r="C31" s="3547"/>
      <c r="D31" s="3547"/>
      <c r="E31" s="3547"/>
      <c r="F31" s="3547"/>
      <c r="G31" s="3547"/>
      <c r="H31" s="3547"/>
      <c r="I31" s="3547"/>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40" t="s">
        <v>1221</v>
      </c>
      <c r="C32" s="246">
        <f ca="1">G19-C24</f>
        <v>9595</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8713</v>
      </c>
      <c r="D33" s="1173" t="s">
        <v>1224</v>
      </c>
      <c r="E33" s="3519"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75" thickBot="1">
      <c r="A34" s="277"/>
      <c r="B34" s="98" t="s">
        <v>1225</v>
      </c>
      <c r="C34" s="244">
        <f ca="1">ROUND(C32*10000/'数据-汇总表'!D3,0)</f>
        <v>17665</v>
      </c>
      <c r="D34" s="1173" t="s">
        <v>1224</v>
      </c>
      <c r="E34" s="3563"/>
      <c r="F34" s="118" t="s">
        <v>307</v>
      </c>
      <c r="G34" s="276"/>
      <c r="H34" s="96"/>
      <c r="I34" s="287"/>
      <c r="J34" s="1636"/>
      <c r="K34" s="1068" t="e">
        <f>IF(K33="——","——","大写金额：人民币"&amp;NUMBERSTRING(INT(O41*10000),2)&amp;"元整")</f>
        <v>#VALUE!</v>
      </c>
      <c r="L34" s="1069"/>
      <c r="M34" s="1069"/>
      <c r="N34" s="1069"/>
      <c r="O34" s="1070"/>
      <c r="P34" s="1636"/>
      <c r="V34" s="1636"/>
    </row>
    <row r="35" spans="1:22" ht="15.75" thickBot="1">
      <c r="A35" s="262"/>
      <c r="B35" s="1174"/>
      <c r="C35" s="1175">
        <f ca="1">ROUND(C32/('数据-汇总表'!D3/666.67),0)</f>
        <v>1178</v>
      </c>
      <c r="D35" s="1176" t="s">
        <v>1226</v>
      </c>
      <c r="E35" s="3564"/>
      <c r="F35" s="278" t="s">
        <v>308</v>
      </c>
      <c r="G35" s="897"/>
      <c r="H35" s="896" t="s">
        <v>309</v>
      </c>
      <c r="I35" s="287"/>
      <c r="J35" s="1636"/>
      <c r="K35" s="3537" t="s">
        <v>316</v>
      </c>
      <c r="L35" s="3537" t="s">
        <v>317</v>
      </c>
      <c r="M35" s="1071" t="s">
        <v>318</v>
      </c>
      <c r="N35" s="3537" t="s">
        <v>319</v>
      </c>
      <c r="O35" s="3537" t="s">
        <v>320</v>
      </c>
      <c r="P35" s="1636"/>
      <c r="V35" s="1636"/>
    </row>
    <row r="36" spans="1:22" ht="16.5" customHeight="1">
      <c r="A36" s="280" t="s">
        <v>310</v>
      </c>
      <c r="B36" s="281" t="s">
        <v>299</v>
      </c>
      <c r="C36" s="282" t="s">
        <v>311</v>
      </c>
      <c r="D36" s="282" t="s">
        <v>312</v>
      </c>
      <c r="E36" s="283" t="s">
        <v>313</v>
      </c>
      <c r="F36" s="287"/>
      <c r="G36" s="287"/>
      <c r="H36" s="287"/>
      <c r="I36" s="287"/>
      <c r="J36" s="1644"/>
      <c r="K36" s="3538"/>
      <c r="L36" s="3538"/>
      <c r="M36" s="1073" t="s">
        <v>321</v>
      </c>
      <c r="N36" s="3538"/>
      <c r="O36" s="3538"/>
      <c r="P36" s="1636"/>
      <c r="V36" s="1636"/>
    </row>
    <row r="37" spans="1:22" ht="16.5" customHeight="1" thickBot="1">
      <c r="A37" s="1067" t="s">
        <v>314</v>
      </c>
      <c r="B37" s="270"/>
      <c r="C37" s="271"/>
      <c r="D37" s="271"/>
      <c r="E37" s="272"/>
      <c r="F37" s="287"/>
      <c r="G37" s="287"/>
      <c r="H37" s="287"/>
      <c r="I37" s="287"/>
      <c r="J37" s="1644"/>
      <c r="K37" s="3539"/>
      <c r="L37" s="3539"/>
      <c r="M37" s="1074"/>
      <c r="N37" s="3539"/>
      <c r="O37" s="3539"/>
      <c r="P37" s="1636"/>
      <c r="V37" s="1636"/>
    </row>
    <row r="38" spans="1:22" ht="16.5" customHeight="1" thickBot="1">
      <c r="A38" s="1067" t="s">
        <v>315</v>
      </c>
      <c r="B38" s="270"/>
      <c r="C38" s="271"/>
      <c r="D38" s="271"/>
      <c r="E38" s="272"/>
      <c r="F38" s="287"/>
      <c r="G38" s="287"/>
      <c r="H38" s="287"/>
      <c r="I38" s="287"/>
      <c r="J38" s="1644"/>
      <c r="K38" s="1075">
        <f>'数据-汇总表'!D3</f>
        <v>5431.65</v>
      </c>
      <c r="L38" s="1076">
        <f>'数据-汇总表'!E3</f>
        <v>11011.79</v>
      </c>
      <c r="M38" s="1076">
        <f ca="1">C34</f>
        <v>17665</v>
      </c>
      <c r="N38" s="1076">
        <f ca="1">C33</f>
        <v>8713</v>
      </c>
      <c r="O38" s="1077">
        <f ca="1">C32</f>
        <v>9595</v>
      </c>
      <c r="P38" s="1636"/>
      <c r="V38" s="1636"/>
    </row>
    <row r="39" spans="1:22" ht="16.5" customHeight="1" thickBot="1">
      <c r="A39" s="1072"/>
      <c r="B39" s="284"/>
      <c r="C39" s="285"/>
      <c r="D39" s="285"/>
      <c r="E39" s="286"/>
      <c r="F39" s="287"/>
      <c r="G39" s="287"/>
      <c r="H39" s="287"/>
      <c r="I39" s="287"/>
      <c r="J39" s="1644"/>
      <c r="K39" s="3577" t="str">
        <f>MID(A44,3,LEN(A44)-2)</f>
        <v>抵押价格</v>
      </c>
      <c r="L39" s="3578"/>
      <c r="M39" s="3578"/>
      <c r="N39" s="3579"/>
      <c r="O39" s="1178">
        <f ca="1">C44</f>
        <v>9595</v>
      </c>
      <c r="P39" s="1636"/>
      <c r="V39" s="1636"/>
    </row>
    <row r="40" spans="1:22" ht="19.5" thickBot="1">
      <c r="A40" s="95" t="s">
        <v>810</v>
      </c>
      <c r="B40" s="287"/>
      <c r="C40" s="287"/>
      <c r="D40" s="287"/>
      <c r="E40" s="287"/>
      <c r="F40" s="287"/>
      <c r="G40" s="287"/>
      <c r="H40" s="287"/>
      <c r="I40" s="287"/>
      <c r="J40" s="1644"/>
      <c r="K40" s="3577" t="str">
        <f>MID(A45,3,LEN(A45)-2)</f>
        <v/>
      </c>
      <c r="L40" s="3578"/>
      <c r="M40" s="3578"/>
      <c r="N40" s="3579"/>
      <c r="O40" s="1178" t="str">
        <f>C45</f>
        <v>——</v>
      </c>
      <c r="P40" s="1636"/>
      <c r="V40" s="1636"/>
    </row>
    <row r="41" spans="1:22" ht="16.5" thickBot="1">
      <c r="A41" s="288" t="s">
        <v>322</v>
      </c>
      <c r="B41" s="289"/>
      <c r="C41" s="290" t="s">
        <v>323</v>
      </c>
      <c r="D41" s="291" t="s">
        <v>324</v>
      </c>
      <c r="E41" s="291" t="s">
        <v>325</v>
      </c>
      <c r="F41" s="292" t="s">
        <v>326</v>
      </c>
      <c r="G41" s="287"/>
      <c r="H41" s="287"/>
      <c r="I41" s="287"/>
      <c r="J41" s="1644"/>
      <c r="K41" s="3577" t="str">
        <f>MID(A46,3,LEN(A46)-2)</f>
        <v/>
      </c>
      <c r="L41" s="3578"/>
      <c r="M41" s="3578"/>
      <c r="N41" s="3579"/>
      <c r="O41" s="1178" t="str">
        <f>C46</f>
        <v>——</v>
      </c>
      <c r="P41" s="1636"/>
      <c r="V41" s="1636"/>
    </row>
    <row r="42" spans="1:22" ht="29.25">
      <c r="A42" s="3521" t="s">
        <v>1585</v>
      </c>
      <c r="B42" s="3522"/>
      <c r="C42" s="244">
        <f ca="1">C32</f>
        <v>9595</v>
      </c>
      <c r="D42" s="293">
        <f ca="1">C33</f>
        <v>8713</v>
      </c>
      <c r="E42" s="293">
        <f ca="1">C34</f>
        <v>17665</v>
      </c>
      <c r="F42" s="294">
        <f ca="1">C35</f>
        <v>1178</v>
      </c>
      <c r="G42" s="287"/>
      <c r="H42" s="287"/>
      <c r="I42" s="295"/>
      <c r="J42" s="1644"/>
      <c r="K42" s="1078" t="s">
        <v>327</v>
      </c>
      <c r="L42" s="1660" t="s">
        <v>328</v>
      </c>
      <c r="M42" s="1079" t="s">
        <v>329</v>
      </c>
      <c r="N42" s="1661" t="s">
        <v>330</v>
      </c>
      <c r="O42" s="1662" t="s">
        <v>331</v>
      </c>
      <c r="P42" s="1636"/>
      <c r="V42" s="1636"/>
    </row>
    <row r="43" spans="1:22" ht="30">
      <c r="A43" s="3532" t="s">
        <v>2012</v>
      </c>
      <c r="B43" s="3533"/>
      <c r="C43" s="244">
        <f>IF(H33="正常操作",G33+G34+G35,G34+G35)</f>
        <v>0</v>
      </c>
      <c r="D43" s="293" t="s">
        <v>17</v>
      </c>
      <c r="E43" s="293" t="s">
        <v>18</v>
      </c>
      <c r="F43" s="294" t="s">
        <v>18</v>
      </c>
      <c r="G43" s="2171" t="s">
        <v>877</v>
      </c>
      <c r="H43" s="287"/>
      <c r="I43" s="295"/>
      <c r="J43" s="1644"/>
      <c r="K43" s="1080" t="str">
        <f>C4</f>
        <v>比较法-住宅、综合</v>
      </c>
      <c r="L43" s="1081">
        <f ca="1">IF(L42="估价结果/万元",C19,C20)</f>
        <v>9814</v>
      </c>
      <c r="M43" s="1082">
        <f>C18</f>
        <v>0.5</v>
      </c>
      <c r="N43" s="1083">
        <f ca="1">IF(N42="测算结果/万元",G19,G20)</f>
        <v>9595</v>
      </c>
      <c r="O43" s="1084">
        <f ca="1">IF(O42="最终结果/万元",C32,C33)</f>
        <v>9595</v>
      </c>
      <c r="P43" s="1636"/>
      <c r="V43" s="1636"/>
    </row>
    <row r="44" spans="1:22" ht="30.75" thickBot="1">
      <c r="A44" s="3521" t="str">
        <f>IF(OR(项目基本情况!E8="抵押价格",项目基本情况!E8="已注销及未注销"),"3.抵押价格","——")</f>
        <v>3.抵押价格</v>
      </c>
      <c r="B44" s="3522"/>
      <c r="C44" s="244">
        <f ca="1">IF(A44="——","——",C42-C43)</f>
        <v>9595</v>
      </c>
      <c r="D44" s="293">
        <f ca="1">ROUND(C44*10000/'数据-汇总表'!E3,0)</f>
        <v>8713</v>
      </c>
      <c r="E44" s="293">
        <f ca="1">ROUND(C44*10000/'数据-汇总表'!D3,0)</f>
        <v>17665</v>
      </c>
      <c r="F44" s="294">
        <f ca="1">ROUND(C44/('数据-汇总表'!D3/666.67),0)</f>
        <v>1178</v>
      </c>
      <c r="G44" s="287"/>
      <c r="H44" s="287"/>
      <c r="I44" s="295"/>
      <c r="J44" s="1644"/>
      <c r="K44" s="1085" t="str">
        <f>D4</f>
        <v>剩余法-待开发</v>
      </c>
      <c r="L44" s="1086">
        <f ca="1">IF(L42="估价结果/万元",D19,D20)</f>
        <v>9375</v>
      </c>
      <c r="M44" s="1087">
        <f>D18</f>
        <v>0.5</v>
      </c>
      <c r="N44" s="1088"/>
      <c r="O44" s="1089"/>
      <c r="P44" s="1636"/>
      <c r="V44" s="1636"/>
    </row>
    <row r="45" spans="1:22" ht="15">
      <c r="A45" s="3527" t="str">
        <f>IF(项目基本情况!E8="已注销及未注销","4.抵押担保权已注销时的抵押价格",IF(项目基本情况!E8="已注销","3.抵押担保权已注销时的抵押价格","——"))</f>
        <v>——</v>
      </c>
      <c r="B45" s="3528"/>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23" t="str">
        <f>IF(项目基本情况!E9="抵押净值",IF(A45="——","4.抵押净值","5.抵押净值"),"——")</f>
        <v>——</v>
      </c>
      <c r="B46" s="3524"/>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71" t="s">
        <v>340</v>
      </c>
      <c r="B63" s="3572"/>
      <c r="C63" s="3573"/>
      <c r="D63" s="315">
        <f ca="1">ROUND(C42*F63,0)</f>
        <v>9595</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29" t="s">
        <v>344</v>
      </c>
      <c r="B64" s="3530"/>
      <c r="C64" s="3530"/>
      <c r="D64" s="3530"/>
      <c r="E64" s="3530"/>
      <c r="F64" s="3530"/>
      <c r="G64" s="3531"/>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25" t="s">
        <v>352</v>
      </c>
      <c r="B66" s="3526"/>
      <c r="C66" s="3526"/>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86" t="s">
        <v>351</v>
      </c>
      <c r="M66" s="3587"/>
      <c r="N66" s="1973"/>
      <c r="O66" s="1974"/>
      <c r="P66" s="1975"/>
      <c r="Q66" s="1636"/>
      <c r="R66" s="1636"/>
      <c r="S66" s="1636"/>
      <c r="T66" s="1636"/>
      <c r="U66" s="1636"/>
      <c r="V66" s="1636"/>
    </row>
    <row r="67" spans="1:22" ht="25.5" customHeight="1">
      <c r="A67" s="326" t="s">
        <v>355</v>
      </c>
      <c r="B67" s="3516" t="s">
        <v>356</v>
      </c>
      <c r="C67" s="3516"/>
      <c r="D67" s="327">
        <v>0</v>
      </c>
      <c r="E67" s="37" t="s">
        <v>357</v>
      </c>
      <c r="F67" s="58" t="s">
        <v>15</v>
      </c>
      <c r="G67" s="3574"/>
      <c r="H67" s="2542" t="s">
        <v>2246</v>
      </c>
      <c r="I67" s="2544"/>
      <c r="J67" s="1649"/>
      <c r="K67" s="1632">
        <v>2</v>
      </c>
      <c r="L67" s="3580" t="s">
        <v>354</v>
      </c>
      <c r="M67" s="3580"/>
      <c r="N67" s="1129">
        <f>'数据-取费表'!B2</f>
        <v>45908</v>
      </c>
      <c r="O67" s="1129"/>
      <c r="P67" s="1129"/>
      <c r="Q67" s="1636"/>
      <c r="R67" s="1636"/>
      <c r="S67" s="1636"/>
      <c r="T67" s="1636"/>
      <c r="U67" s="1636"/>
      <c r="V67" s="1636"/>
    </row>
    <row r="68" spans="1:22" ht="25.5" customHeight="1">
      <c r="A68" s="328"/>
      <c r="B68" s="3516" t="s">
        <v>359</v>
      </c>
      <c r="C68" s="3516"/>
      <c r="D68" s="329"/>
      <c r="E68" s="73"/>
      <c r="F68" s="330"/>
      <c r="G68" s="3575"/>
      <c r="H68" s="2543" t="s">
        <v>2247</v>
      </c>
      <c r="I68" s="2544"/>
      <c r="J68" s="1649"/>
      <c r="K68" s="1632">
        <v>3</v>
      </c>
      <c r="L68" s="3580" t="s">
        <v>358</v>
      </c>
      <c r="M68" s="3580"/>
      <c r="N68" s="1099">
        <f ca="1">C42</f>
        <v>9595</v>
      </c>
      <c r="O68" s="1099"/>
      <c r="P68" s="1099"/>
      <c r="Q68" s="1636"/>
      <c r="R68" s="1636"/>
      <c r="S68" s="1636"/>
      <c r="T68" s="1636"/>
      <c r="U68" s="1636"/>
      <c r="V68" s="1636"/>
    </row>
    <row r="69" spans="1:22" ht="23.45" customHeight="1">
      <c r="A69" s="331"/>
      <c r="B69" s="3516" t="s">
        <v>360</v>
      </c>
      <c r="C69" s="3516"/>
      <c r="D69" s="332"/>
      <c r="E69" s="69"/>
      <c r="F69" s="330"/>
      <c r="G69" s="3576"/>
      <c r="H69" s="2543" t="s">
        <v>2248</v>
      </c>
      <c r="I69" s="2544"/>
      <c r="J69" s="1649"/>
      <c r="K69" s="1100">
        <v>4</v>
      </c>
      <c r="L69" s="3590" t="s">
        <v>2155</v>
      </c>
      <c r="M69" s="3591"/>
      <c r="N69" s="1101">
        <f ca="1">C44</f>
        <v>9595</v>
      </c>
      <c r="O69" s="1101"/>
      <c r="P69" s="1101"/>
      <c r="Q69" s="1636"/>
      <c r="R69" s="1636"/>
      <c r="S69" s="1636"/>
      <c r="T69" s="1636"/>
      <c r="U69" s="1636"/>
      <c r="V69" s="1636"/>
    </row>
    <row r="70" spans="1:22" ht="24" customHeight="1">
      <c r="A70" s="333" t="s">
        <v>361</v>
      </c>
      <c r="B70" s="3516" t="s">
        <v>362</v>
      </c>
      <c r="C70" s="3516"/>
      <c r="D70" s="332">
        <f ca="1">ROUND(D63*'数据-取费表'!B41/(1+'数据-取费表'!C42),0)</f>
        <v>503</v>
      </c>
      <c r="E70" s="14" t="s">
        <v>363</v>
      </c>
      <c r="F70" s="334">
        <f>'数据-取费表'!B41</f>
        <v>5.5000000000000007E-2</v>
      </c>
      <c r="G70" s="335"/>
      <c r="H70" s="287"/>
      <c r="I70" s="1098"/>
      <c r="J70" s="1649"/>
      <c r="K70" s="2333"/>
      <c r="L70" s="2334"/>
      <c r="M70" s="2334"/>
      <c r="N70" s="2335" t="s">
        <v>2159</v>
      </c>
      <c r="O70" s="2334"/>
      <c r="P70" s="2336"/>
      <c r="Q70" s="1636"/>
      <c r="R70" s="1636"/>
      <c r="S70" s="1636"/>
      <c r="T70" s="1636"/>
      <c r="U70" s="1636"/>
      <c r="V70" s="1636"/>
    </row>
    <row r="71" spans="1:22" ht="12" customHeight="1">
      <c r="A71" s="333" t="s">
        <v>369</v>
      </c>
      <c r="B71" s="3517" t="s">
        <v>2271</v>
      </c>
      <c r="C71" s="3518"/>
      <c r="D71" s="332">
        <f ca="1">ROUND(D63*'数据-取费表'!B41/(1+'数据-取费表'!C42),0)</f>
        <v>503</v>
      </c>
      <c r="E71" s="14" t="s">
        <v>363</v>
      </c>
      <c r="F71" s="334">
        <f>'数据-取费表'!B41</f>
        <v>5.5000000000000007E-2</v>
      </c>
      <c r="G71" s="335"/>
      <c r="H71" s="287"/>
      <c r="I71" s="1098"/>
      <c r="J71" s="1649"/>
      <c r="K71" s="2332" t="s">
        <v>364</v>
      </c>
      <c r="L71" s="3592" t="s">
        <v>365</v>
      </c>
      <c r="M71" s="3592"/>
      <c r="N71" s="2332" t="s">
        <v>366</v>
      </c>
      <c r="O71" s="2332" t="s">
        <v>367</v>
      </c>
      <c r="P71" s="2332" t="s">
        <v>368</v>
      </c>
      <c r="Q71" s="1636"/>
      <c r="R71" s="1636"/>
      <c r="S71" s="1636"/>
      <c r="T71" s="1636"/>
      <c r="U71" s="1636"/>
      <c r="V71" s="1636"/>
    </row>
    <row r="72" spans="1:22" ht="12" customHeight="1">
      <c r="A72" s="333" t="s">
        <v>371</v>
      </c>
      <c r="B72" s="3517" t="s">
        <v>2272</v>
      </c>
      <c r="C72" s="3518"/>
      <c r="D72" s="332">
        <f ca="1">C86</f>
        <v>503</v>
      </c>
      <c r="E72" s="69" t="s">
        <v>372</v>
      </c>
      <c r="F72" s="334">
        <f>'数据-取费表'!B41</f>
        <v>5.5000000000000007E-2</v>
      </c>
      <c r="G72" s="335"/>
      <c r="H72" s="1104"/>
      <c r="I72" s="1098"/>
      <c r="J72" s="1649"/>
      <c r="K72" s="1632">
        <v>1</v>
      </c>
      <c r="L72" s="3567" t="s">
        <v>370</v>
      </c>
      <c r="M72" s="3567"/>
      <c r="N72" s="1102" t="b">
        <f>D66</f>
        <v>0</v>
      </c>
      <c r="O72" s="1539" t="str">
        <f>E66</f>
        <v>销售额×税（费）率</v>
      </c>
      <c r="P72" s="1103">
        <f>F66</f>
        <v>5.5000000000000007E-2</v>
      </c>
      <c r="Q72" s="1636"/>
      <c r="R72" s="1636"/>
      <c r="S72" s="1636"/>
      <c r="T72" s="1636"/>
      <c r="U72" s="1636"/>
      <c r="V72" s="1636"/>
    </row>
    <row r="73" spans="1:22" ht="24" customHeight="1">
      <c r="A73" s="3562" t="s">
        <v>374</v>
      </c>
      <c r="B73" s="3526"/>
      <c r="C73" s="3526"/>
      <c r="D73" s="336">
        <f ca="1">IF(H73="个人住宅",0,ROUND(D63*I73,0))</f>
        <v>5</v>
      </c>
      <c r="E73" s="14" t="s">
        <v>375</v>
      </c>
      <c r="F73" s="334" t="str">
        <f>IF(H73="正常",I73,"免征")</f>
        <v>免征</v>
      </c>
      <c r="G73" s="335"/>
      <c r="H73" s="174"/>
      <c r="I73" s="334">
        <f>'数据-取费表'!B49</f>
        <v>5.0000000000000001E-4</v>
      </c>
      <c r="J73" s="1649"/>
      <c r="K73" s="1632">
        <v>2</v>
      </c>
      <c r="L73" s="3567" t="s">
        <v>373</v>
      </c>
      <c r="M73" s="3567"/>
      <c r="N73" s="1102">
        <f t="shared" ref="N73:P74" ca="1" si="0">D73</f>
        <v>5</v>
      </c>
      <c r="O73" s="1539" t="str">
        <f t="shared" si="0"/>
        <v>销售额×税（费）率</v>
      </c>
      <c r="P73" s="1103" t="str">
        <f t="shared" si="0"/>
        <v>免征</v>
      </c>
      <c r="Q73" s="1636"/>
      <c r="R73" s="1636"/>
      <c r="S73" s="1636"/>
      <c r="T73" s="1636"/>
      <c r="U73" s="1636"/>
      <c r="V73" s="1636"/>
    </row>
    <row r="74" spans="1:22" ht="24.75">
      <c r="A74" s="3562" t="s">
        <v>377</v>
      </c>
      <c r="B74" s="3526"/>
      <c r="C74" s="3526"/>
      <c r="D74" s="336">
        <f ca="1">IF(H74="个人住宅",D75,D76)</f>
        <v>5439</v>
      </c>
      <c r="E74" s="14" t="s">
        <v>378</v>
      </c>
      <c r="F74" s="334" t="str">
        <f>IF(H74="正常",F76,"免征")</f>
        <v>免征</v>
      </c>
      <c r="G74" s="898" t="s">
        <v>379</v>
      </c>
      <c r="H74" s="337"/>
      <c r="I74" s="38"/>
      <c r="J74" s="1649"/>
      <c r="K74" s="1632">
        <v>3</v>
      </c>
      <c r="L74" s="3567" t="s">
        <v>376</v>
      </c>
      <c r="M74" s="3567"/>
      <c r="N74" s="1102">
        <f t="shared" ca="1" si="0"/>
        <v>5439</v>
      </c>
      <c r="O74" s="1539" t="str">
        <f t="shared" si="0"/>
        <v>增值额×税（费）率</v>
      </c>
      <c r="P74" s="1105" t="str">
        <f t="shared" si="0"/>
        <v>免征</v>
      </c>
      <c r="Q74" s="1636"/>
      <c r="R74" s="1636"/>
      <c r="S74" s="1636"/>
      <c r="T74" s="1636"/>
      <c r="U74" s="1636"/>
      <c r="V74" s="1636"/>
    </row>
    <row r="75" spans="1:22" ht="12.75">
      <c r="A75" s="333" t="s">
        <v>380</v>
      </c>
      <c r="B75" s="3514" t="s">
        <v>381</v>
      </c>
      <c r="C75" s="3550"/>
      <c r="D75" s="338">
        <v>0</v>
      </c>
      <c r="E75" s="37" t="s">
        <v>382</v>
      </c>
      <c r="F75" s="339"/>
      <c r="G75" s="335"/>
      <c r="H75" s="38"/>
      <c r="I75" s="38"/>
      <c r="J75" s="1649"/>
      <c r="K75" s="1632">
        <f>IF(H77="非个人房产","",4)</f>
        <v>4</v>
      </c>
      <c r="L75" s="3567" t="str">
        <f>IF(H77="非个人房产","——","个人所得税")</f>
        <v>个人所得税</v>
      </c>
      <c r="M75" s="3567"/>
      <c r="N75" s="1106">
        <f>D77</f>
        <v>0</v>
      </c>
      <c r="O75" s="1540" t="str">
        <f>E77</f>
        <v>差额计税</v>
      </c>
      <c r="P75" s="1107">
        <f>F77</f>
        <v>0.01</v>
      </c>
      <c r="Q75" s="1636"/>
      <c r="R75" s="1636"/>
      <c r="S75" s="1636"/>
      <c r="T75" s="1636"/>
      <c r="U75" s="1636"/>
      <c r="V75" s="1636"/>
    </row>
    <row r="76" spans="1:22" ht="24.75">
      <c r="A76" s="333" t="s">
        <v>361</v>
      </c>
      <c r="B76" s="3514" t="s">
        <v>384</v>
      </c>
      <c r="C76" s="3515"/>
      <c r="D76" s="336">
        <f ca="1">IF(H76="转让取得",C99,C115)</f>
        <v>5439</v>
      </c>
      <c r="E76" s="14" t="s">
        <v>385</v>
      </c>
      <c r="F76" s="49" t="s">
        <v>15</v>
      </c>
      <c r="G76" s="335"/>
      <c r="H76" s="337"/>
      <c r="I76" s="38"/>
      <c r="J76" s="1649"/>
      <c r="K76" s="1632" t="str">
        <f>IF(项目基本情况!K6="上海银行",IF(K75="",4,K75+1),"")</f>
        <v/>
      </c>
      <c r="L76" s="3582" t="str">
        <f>IF(项目基本情况!K6="上海银行","其他处置费用","")</f>
        <v/>
      </c>
      <c r="M76" s="3583"/>
      <c r="N76" s="1102" t="str">
        <f>IF(项目基本情况!K6="上海银行",N89,"")</f>
        <v/>
      </c>
      <c r="O76" s="3584" t="str">
        <f>IF(项目基本情况!K6="上海银行","包含处置中涉及的律师、诉讼、拍卖、评估等费用","")</f>
        <v/>
      </c>
      <c r="P76" s="3585"/>
      <c r="Q76" s="1636"/>
      <c r="R76" s="1636"/>
      <c r="S76" s="1636"/>
      <c r="T76" s="1636"/>
      <c r="U76" s="1636"/>
      <c r="V76" s="1636"/>
    </row>
    <row r="77" spans="1:22" ht="24.75" thickBot="1">
      <c r="A77" s="3569" t="s">
        <v>387</v>
      </c>
      <c r="B77" s="3570"/>
      <c r="C77" s="3570"/>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2249</v>
      </c>
      <c r="J77" s="1649"/>
      <c r="K77" s="3568">
        <f>IF(AND(K75="",K76=""),4,IF(项目基本情况!K6="上海银行",K76+1,K75+1))</f>
        <v>5</v>
      </c>
      <c r="L77" s="3567" t="s">
        <v>2156</v>
      </c>
      <c r="M77" s="2331" t="s">
        <v>383</v>
      </c>
      <c r="N77" s="1108"/>
      <c r="O77" s="1109">
        <f ca="1">SUMIF(N72:N76,"&lt;9e307")</f>
        <v>5444</v>
      </c>
      <c r="P77" s="1110"/>
      <c r="Q77" s="2329">
        <f ca="1">O77/N69</f>
        <v>0.56737884314747267</v>
      </c>
      <c r="R77" s="1636"/>
      <c r="S77" s="1636"/>
      <c r="T77" s="1636"/>
      <c r="U77" s="1636"/>
      <c r="V77" s="1636"/>
    </row>
    <row r="78" spans="1:22" ht="12" customHeight="1">
      <c r="A78" s="1111"/>
      <c r="B78" s="287"/>
      <c r="C78" s="287"/>
      <c r="D78" s="287"/>
      <c r="E78" s="38"/>
      <c r="F78" s="38"/>
      <c r="G78" s="38"/>
      <c r="H78" s="867"/>
      <c r="I78" s="287"/>
      <c r="J78" s="1649"/>
      <c r="K78" s="3568"/>
      <c r="L78" s="3567"/>
      <c r="M78" s="2331" t="s">
        <v>386</v>
      </c>
      <c r="N78" s="1108"/>
      <c r="O78" s="1109" t="str">
        <f ca="1">NUMBERSTRING(INT(O77*10000),2)&amp;"元整"</f>
        <v>伍仟肆佰肆拾肆万元整</v>
      </c>
      <c r="P78" s="1110"/>
      <c r="Q78" s="1636"/>
      <c r="R78" s="1636"/>
      <c r="S78" s="1636"/>
      <c r="T78" s="1636"/>
      <c r="U78" s="1636"/>
      <c r="V78" s="1636"/>
    </row>
    <row r="79" spans="1:22" ht="13.5" thickBot="1">
      <c r="A79" s="3534" t="s">
        <v>388</v>
      </c>
      <c r="B79" s="3534"/>
      <c r="C79" s="3534"/>
      <c r="D79" s="3534"/>
      <c r="E79" s="3534"/>
      <c r="F79" s="38"/>
      <c r="G79" s="38"/>
      <c r="H79" s="867"/>
      <c r="I79" s="287"/>
      <c r="J79" s="1649"/>
      <c r="K79" s="3588">
        <f>K77+1</f>
        <v>6</v>
      </c>
      <c r="L79" s="3567" t="s">
        <v>2157</v>
      </c>
      <c r="M79" s="2331" t="s">
        <v>383</v>
      </c>
      <c r="N79" s="1108"/>
      <c r="O79" s="1109">
        <f ca="1">N69-O77</f>
        <v>4151</v>
      </c>
      <c r="P79" s="1110"/>
      <c r="Q79" s="1636"/>
      <c r="R79" s="1636"/>
      <c r="S79" s="1636"/>
      <c r="T79" s="1636"/>
      <c r="U79" s="1636"/>
      <c r="V79" s="1636"/>
    </row>
    <row r="80" spans="1:22" ht="25.5">
      <c r="A80" s="3535" t="s">
        <v>389</v>
      </c>
      <c r="B80" s="3536"/>
      <c r="C80" s="908"/>
      <c r="D80" s="908" t="s">
        <v>390</v>
      </c>
      <c r="E80" s="340" t="s">
        <v>391</v>
      </c>
      <c r="F80" s="38"/>
      <c r="G80" s="38"/>
      <c r="H80" s="867"/>
      <c r="I80" s="287"/>
      <c r="J80" s="1636"/>
      <c r="K80" s="3589"/>
      <c r="L80" s="3567"/>
      <c r="M80" s="2331" t="s">
        <v>386</v>
      </c>
      <c r="N80" s="1108"/>
      <c r="O80" s="1109" t="str">
        <f ca="1">NUMBERSTRING(INT(O79*10000),2)&amp;"元整"</f>
        <v>肆仟壹佰伍拾壹万元整</v>
      </c>
      <c r="P80" s="1110"/>
      <c r="Q80" s="1636"/>
      <c r="R80" s="1636"/>
      <c r="S80" s="1636"/>
      <c r="T80" s="1636"/>
      <c r="U80" s="1636"/>
      <c r="V80" s="1636"/>
    </row>
    <row r="81" spans="1:26" ht="13.5" thickBot="1">
      <c r="A81" s="351" t="s">
        <v>1352</v>
      </c>
      <c r="B81" s="341" t="s">
        <v>392</v>
      </c>
      <c r="C81" s="342">
        <f ca="1">ROUND((C82+C83)/(1+'数据-取费表'!C42),0)</f>
        <v>9138</v>
      </c>
      <c r="D81" s="343"/>
      <c r="E81" s="344"/>
      <c r="F81" s="38"/>
      <c r="G81" s="38"/>
      <c r="H81" s="867"/>
      <c r="I81" s="287"/>
      <c r="J81" s="1636"/>
      <c r="K81" s="1632">
        <f>K79+1</f>
        <v>7</v>
      </c>
      <c r="L81" s="3565" t="s">
        <v>2158</v>
      </c>
      <c r="M81" s="3566"/>
      <c r="N81" s="1112"/>
      <c r="O81" s="1113">
        <f ca="1">ROUND(O79*10000/'数据-汇总表'!E3,0)</f>
        <v>3770</v>
      </c>
      <c r="P81" s="1114"/>
      <c r="Q81" s="1636"/>
      <c r="R81" s="1636"/>
      <c r="S81" s="1636"/>
      <c r="T81" s="1636"/>
      <c r="U81" s="1636"/>
      <c r="V81" s="1636"/>
    </row>
    <row r="82" spans="1:26" ht="13.5" thickTop="1">
      <c r="A82" s="345" t="s">
        <v>1353</v>
      </c>
      <c r="B82" s="346" t="s">
        <v>393</v>
      </c>
      <c r="C82" s="347">
        <f ca="1">D63</f>
        <v>9595</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581" t="s">
        <v>2146</v>
      </c>
      <c r="L83" s="2337" t="s">
        <v>2147</v>
      </c>
      <c r="M83" s="2327">
        <f ca="1">IF(N69&gt;10000,N69*0.5%,IF(AND(N69&gt;1000,N69&lt;=10000),N69*1%,IF(AND(N69&gt;100,N69&lt;=1000),N69*3%,IF(AND(N69&gt;10,N69&lt;=100),N69*5%,N69*8%))))</f>
        <v>95.95</v>
      </c>
      <c r="N83" s="49">
        <f ca="1">ROUND(M83,1)</f>
        <v>96</v>
      </c>
      <c r="O83" s="2330"/>
      <c r="P83" s="1636"/>
      <c r="Q83" s="1636"/>
      <c r="R83" s="1636"/>
      <c r="S83" s="1636"/>
      <c r="T83" s="1636"/>
      <c r="U83" s="1636"/>
      <c r="V83" s="1636"/>
    </row>
    <row r="84" spans="1:26" ht="12.75">
      <c r="A84" s="351" t="s">
        <v>1355</v>
      </c>
      <c r="B84" s="352" t="s">
        <v>395</v>
      </c>
      <c r="C84" s="353"/>
      <c r="D84" s="354" t="s">
        <v>13</v>
      </c>
      <c r="E84" s="2352" t="s">
        <v>2192</v>
      </c>
      <c r="F84" s="38"/>
      <c r="G84" s="38"/>
      <c r="H84" s="867"/>
      <c r="I84" s="287"/>
      <c r="J84" s="1636"/>
      <c r="K84" s="3581"/>
      <c r="L84" s="2337" t="s">
        <v>2148</v>
      </c>
      <c r="M84" s="2327">
        <f ca="1">IF(N69&gt;2000,N69*0.5%,IF(AND(N69&gt;1000,N69&lt;=2000),N69*0.6%,IF(AND(N69&gt;500,N69&lt;=1000),N69*0.7%,IF(AND(N69&gt;200,N69&lt;=500),N69*0.8%,IF(AND(N69&gt;100,N69&lt;=200),N69*0.9%,IF(AND(N69&gt;50,N69&lt;=100),N69*1%,IF(AND(N69&gt;20,N69&lt;=50),N69*1.5%,IF(AND(N69&gt;10,N69&lt;=20),N69*2%,IF(AND(N69&gt;1,N69&lt;=10),N69*2.5%)))))))))</f>
        <v>47.975000000000001</v>
      </c>
      <c r="N84" s="49">
        <f ca="1">ROUND(M84,1)</f>
        <v>48</v>
      </c>
      <c r="O84" s="1636" t="s">
        <v>2149</v>
      </c>
      <c r="P84" s="1636"/>
      <c r="Q84" s="1636"/>
      <c r="R84" s="1636"/>
      <c r="S84" s="1636"/>
      <c r="T84" s="1636"/>
      <c r="U84" s="1636"/>
      <c r="V84" s="1636"/>
    </row>
    <row r="85" spans="1:26" ht="12.75">
      <c r="A85" s="351" t="s">
        <v>1356</v>
      </c>
      <c r="B85" s="352" t="s">
        <v>396</v>
      </c>
      <c r="C85" s="355">
        <f ca="1">C81-C84</f>
        <v>9138</v>
      </c>
      <c r="D85" s="348" t="s">
        <v>13</v>
      </c>
      <c r="E85" s="349"/>
      <c r="F85" s="38"/>
      <c r="G85" s="38"/>
      <c r="H85" s="867"/>
      <c r="I85" s="287"/>
      <c r="J85" s="1636"/>
      <c r="K85" s="3581"/>
      <c r="L85" s="2337" t="s">
        <v>2150</v>
      </c>
      <c r="M85" s="2327">
        <f ca="1">IF(N69&gt;1000,N69*0.1%,IF(AND(N69&gt;500,N69&lt;=1000),N69*0.5%,IF(AND(N69&gt;50,N69&lt;=500),N69*1%,IF(AND(N69&gt;1,N69&lt;=50),N69*1.5%))))</f>
        <v>9.5950000000000006</v>
      </c>
      <c r="N85" s="49">
        <f ca="1">ROUND(M85,1)</f>
        <v>9.6</v>
      </c>
      <c r="O85" s="1636" t="s">
        <v>2149</v>
      </c>
      <c r="P85" s="1636"/>
      <c r="Q85" s="1636"/>
      <c r="R85" s="1636"/>
      <c r="S85" s="1636"/>
      <c r="T85" s="1636"/>
      <c r="U85" s="1636"/>
      <c r="V85" s="1636"/>
    </row>
    <row r="86" spans="1:26" ht="13.5" thickBot="1">
      <c r="A86" s="356" t="s">
        <v>1357</v>
      </c>
      <c r="B86" s="357" t="s">
        <v>397</v>
      </c>
      <c r="C86" s="358">
        <f ca="1">IF(C85&lt;=0,0,ROUND(C85*D86,0))</f>
        <v>503</v>
      </c>
      <c r="D86" s="359">
        <f>'数据-取费表'!B41</f>
        <v>5.5000000000000007E-2</v>
      </c>
      <c r="E86" s="360"/>
      <c r="F86" s="38"/>
      <c r="G86" s="38"/>
      <c r="H86" s="867"/>
      <c r="I86" s="287"/>
      <c r="J86" s="1636"/>
      <c r="K86" s="3581"/>
      <c r="L86" s="2337" t="s">
        <v>2151</v>
      </c>
      <c r="M86" s="2327">
        <f ca="1">N69*0.5%</f>
        <v>47.975000000000001</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81"/>
      <c r="L87" s="2337" t="s">
        <v>2153</v>
      </c>
      <c r="M87" s="2327">
        <f ca="1">IF(N69&gt;=10000,(8.25+(N69-10000)*0.01%),IF(AND(N69&gt;=8000,N69&lt;10000),(7.85+(N69-8000)*0.02%),IF(AND(N69&gt;=5000,N69&lt;8000),(6.65+(N69-5000)*0.04%),IF(AND(N69&gt;=2000,N69&lt;5000),(4.25+(PN69-2000)*0.08%),IF(AND(N69&gt;=1000,N69&lt;2000),(2.75+(N69-1000)*0.15%),IF(AND(N69&gt;=100,N69&lt;1000),(0.5+(N69-100)*0.25%),IF(AND(N69&gt;0,N69&lt;100),N69*0.5%)))))))</f>
        <v>8.1690000000000005</v>
      </c>
      <c r="N87" s="49">
        <f ca="1">ROUND(M87*0.9,1)</f>
        <v>7.4</v>
      </c>
      <c r="O87" s="2330"/>
      <c r="P87" s="1636"/>
      <c r="Q87" s="1636"/>
      <c r="R87" s="1636"/>
      <c r="S87" s="1636"/>
      <c r="T87" s="1636"/>
      <c r="U87" s="1636"/>
      <c r="V87" s="1636"/>
    </row>
    <row r="88" spans="1:26" s="1008" customFormat="1" ht="15" thickBot="1">
      <c r="A88" s="3560" t="s">
        <v>398</v>
      </c>
      <c r="B88" s="3561"/>
      <c r="C88" s="3561"/>
      <c r="D88" s="3561"/>
      <c r="E88" s="3561"/>
      <c r="F88" s="3561"/>
      <c r="G88" s="3561"/>
      <c r="H88" s="3561"/>
      <c r="I88" s="1120"/>
      <c r="J88" s="1650"/>
      <c r="K88" s="3581"/>
      <c r="L88" s="2337" t="s">
        <v>2154</v>
      </c>
      <c r="M88" s="2327">
        <f ca="1">IF(N69&gt;10000,N69*0.5%,IF(AND(N69&gt;5000,N69&lt;=10000),N69*1%,IF(AND(N69&gt;1000,N69&lt;=5000),N69*2%,IF(AND(N69&gt;200,N69&lt;=1000),N69*3%,N69*5%))))</f>
        <v>95.95</v>
      </c>
      <c r="N88" s="49">
        <f ca="1">ROUND(M88,1)</f>
        <v>96</v>
      </c>
      <c r="O88" s="2330"/>
      <c r="P88" s="1647"/>
      <c r="Q88" s="1647"/>
      <c r="R88" s="1647"/>
      <c r="S88" s="1647"/>
      <c r="T88" s="1647"/>
      <c r="U88" s="1647"/>
      <c r="V88" s="1647"/>
      <c r="W88" s="1651"/>
      <c r="X88" s="1651"/>
      <c r="Y88" s="1651"/>
      <c r="Z88" s="1651"/>
    </row>
    <row r="89" spans="1:26" s="1008" customFormat="1" ht="14.25">
      <c r="A89" s="3535" t="s">
        <v>389</v>
      </c>
      <c r="B89" s="3536"/>
      <c r="C89" s="908"/>
      <c r="D89" s="908" t="s">
        <v>390</v>
      </c>
      <c r="E89" s="361" t="s">
        <v>399</v>
      </c>
      <c r="F89" s="362"/>
      <c r="G89" s="362"/>
      <c r="H89" s="363"/>
      <c r="I89" s="1121"/>
      <c r="J89" s="1652"/>
      <c r="K89" s="3581"/>
      <c r="L89" s="2337" t="s">
        <v>16</v>
      </c>
      <c r="M89" s="2328"/>
      <c r="N89" s="49">
        <f ca="1">ROUND(SUM(N83:N88),0)</f>
        <v>258</v>
      </c>
      <c r="O89" s="2338">
        <f ca="1">N89/N69</f>
        <v>2.6889004689942677E-2</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9138</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46</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17" t="s">
        <v>407</v>
      </c>
      <c r="F94" s="3516"/>
      <c r="G94" s="3516"/>
      <c r="H94" s="3559"/>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46</v>
      </c>
      <c r="D96" s="376">
        <f>'数据-取费表'!B43</f>
        <v>5.000000000000001E-3</v>
      </c>
      <c r="E96" s="3551" t="s">
        <v>1780</v>
      </c>
      <c r="F96" s="3552"/>
      <c r="G96" s="3552"/>
      <c r="H96" s="3553"/>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9092</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197.65217391304347</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5439</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60" t="s">
        <v>414</v>
      </c>
      <c r="B101" s="3561"/>
      <c r="C101" s="3561"/>
      <c r="D101" s="3561"/>
      <c r="E101" s="3561"/>
      <c r="F101" s="3561"/>
      <c r="G101" s="3561"/>
      <c r="H101" s="3561"/>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35" t="s">
        <v>389</v>
      </c>
      <c r="B102" s="3536"/>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9138</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46</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3" t="s">
        <v>2265</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11" t="s">
        <v>2241</v>
      </c>
      <c r="H108" s="3512"/>
      <c r="I108" s="2417"/>
      <c r="J108" s="1647"/>
      <c r="K108" s="2743" t="s">
        <v>2266</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54" t="s">
        <v>422</v>
      </c>
      <c r="F109" s="3552"/>
      <c r="G109" s="3552"/>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3">
        <v>0</v>
      </c>
      <c r="E110" s="3554" t="s">
        <v>424</v>
      </c>
      <c r="F110" s="3552"/>
      <c r="G110" s="3552"/>
      <c r="H110" s="3553"/>
      <c r="I110" s="9"/>
      <c r="J110" s="1647"/>
      <c r="K110" s="2744" t="s">
        <v>2267</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46</v>
      </c>
      <c r="D111" s="376">
        <f>'数据-取费表'!B43</f>
        <v>5.000000000000001E-3</v>
      </c>
      <c r="E111" s="3551" t="s">
        <v>1780</v>
      </c>
      <c r="F111" s="3552"/>
      <c r="G111" s="3552"/>
      <c r="H111" s="3553"/>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54" t="s">
        <v>1799</v>
      </c>
      <c r="F112" s="3552"/>
      <c r="G112" s="3552"/>
      <c r="H112" s="3553"/>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9092</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197.65217391304347</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5439</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3"/>
      <c r="M6" s="2703"/>
      <c r="N6" s="2703"/>
      <c r="O6" s="2703"/>
      <c r="P6" s="2703"/>
      <c r="Q6" s="2703"/>
      <c r="R6" s="2703"/>
      <c r="S6" s="2703"/>
      <c r="T6" s="2703"/>
      <c r="U6" s="2703"/>
      <c r="V6" s="2703"/>
      <c r="W6" s="2703"/>
      <c r="X6" s="2703"/>
      <c r="Y6" s="2703"/>
      <c r="Z6" s="2703"/>
    </row>
    <row r="7" spans="1:41" s="1721" customFormat="1" ht="15">
      <c r="A7" s="404" t="s">
        <v>430</v>
      </c>
      <c r="B7" s="405" t="s">
        <v>431</v>
      </c>
      <c r="C7" s="2813"/>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3"/>
      <c r="M11" s="2703"/>
      <c r="N11" s="2703"/>
      <c r="O11" s="2703"/>
      <c r="P11" s="2703"/>
      <c r="Q11" s="2703"/>
      <c r="R11" s="2703"/>
      <c r="S11" s="2703"/>
      <c r="T11" s="2703"/>
      <c r="U11" s="2703"/>
      <c r="V11" s="2703"/>
      <c r="W11" s="2703"/>
      <c r="X11" s="2703"/>
      <c r="Y11" s="2703"/>
      <c r="Z11" s="2703"/>
    </row>
    <row r="12" spans="1:41" s="1695"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4" customFormat="1" ht="13.5" customHeight="1">
      <c r="A13" s="1355" t="s">
        <v>1377</v>
      </c>
      <c r="B13" s="418" t="s">
        <v>439</v>
      </c>
      <c r="C13" s="419">
        <f ca="1">IF(B1="",'数据-取费表'!M16,INDIRECT("'数据-取费表'!M"&amp;$K$1)+INDIRECT("'数据-取费表'!t"&amp;$K$1))</f>
        <v>5805</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406</v>
      </c>
      <c r="D14" s="420"/>
      <c r="E14" s="339"/>
      <c r="F14" s="425">
        <f>'数据-取费表'!B33</f>
        <v>7.0000000000000007E-2</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195</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220</v>
      </c>
      <c r="D16" s="420">
        <f ca="1">IF(B1="",'数据-汇总表'!E3,INDIRECT("'数据-取费表'!K"&amp;$K$1)+INDIRECT("'数据-取费表'!S"&amp;$K$1))</f>
        <v>11011.79</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116</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6742</v>
      </c>
      <c r="D18" s="430"/>
      <c r="E18" s="431"/>
      <c r="F18" s="431"/>
      <c r="G18" s="1130"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7" customFormat="1" ht="13.5" customHeight="1">
      <c r="A19" s="1356" t="s">
        <v>1383</v>
      </c>
      <c r="B19" s="428" t="s">
        <v>453</v>
      </c>
      <c r="C19" s="429">
        <f ca="1">ROUND(C18*F19,0)</f>
        <v>135</v>
      </c>
      <c r="D19" s="430"/>
      <c r="E19" s="431"/>
      <c r="F19" s="435">
        <f>'数据-取费表'!B37</f>
        <v>0.02</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9" customFormat="1" ht="13.5" customHeight="1">
      <c r="A20" s="1356" t="s">
        <v>1384</v>
      </c>
      <c r="B20" s="430" t="s">
        <v>454</v>
      </c>
      <c r="C20" s="439">
        <f ca="1">ROUND(IF('数据-取费表'!B22&lt;=1,(C18+C19)*F20*'数据-取费表'!B20/2,(C18+C19)*(POWER((1+F20),'数据-取费表'!B20/2)-1)),0)</f>
        <v>275</v>
      </c>
      <c r="D20" s="431">
        <f ca="1">ROUND(((1+F20)^'数据-取费表'!B20)-1,4)</f>
        <v>8.1699999999999995E-2</v>
      </c>
      <c r="E20" s="431"/>
      <c r="F20" s="440">
        <f ca="1">'数据-取费表'!B40</f>
        <v>3.1899999999999998E-2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8" customFormat="1" ht="13.5" customHeight="1">
      <c r="A21" s="1356" t="s">
        <v>2284</v>
      </c>
      <c r="B21" s="2316" t="s">
        <v>2107</v>
      </c>
      <c r="C21" s="447">
        <f ca="1">ROUND((C18+C19)*F21,0)</f>
        <v>1100</v>
      </c>
      <c r="D21" s="2785"/>
      <c r="E21" s="431"/>
      <c r="F21" s="448">
        <f ca="1">IF(B1="",'数据-取费表'!Q16,INDIRECT("'数据-取费表'!q"&amp;$K$1))</f>
        <v>0.16</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9" customFormat="1" ht="13.5" customHeight="1">
      <c r="A22" s="1356"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9" customFormat="1" ht="13.5" customHeight="1" thickBot="1">
      <c r="A23" s="2788" t="s">
        <v>1389</v>
      </c>
      <c r="B23" s="2789" t="s">
        <v>2285</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9" customFormat="1" ht="13.5" customHeight="1" thickBot="1">
      <c r="A24" s="3593" t="s">
        <v>1394</v>
      </c>
      <c r="B24" s="3594"/>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9" customFormat="1" ht="13.5" customHeight="1" thickBot="1">
      <c r="A25" s="3593" t="s">
        <v>2282</v>
      </c>
      <c r="B25" s="3594"/>
      <c r="C25" s="2795">
        <f>ROUND(C6*F25,0)</f>
        <v>0</v>
      </c>
      <c r="D25" s="2796"/>
      <c r="E25" s="2797"/>
      <c r="F25" s="2801">
        <f>'数据-取费表'!B38</f>
        <v>2.5000000000000001E-2</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4" customFormat="1" ht="13.5" customHeight="1" thickBot="1">
      <c r="A26" s="3593" t="s">
        <v>2283</v>
      </c>
      <c r="B26" s="3594"/>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95" t="s">
        <v>2281</v>
      </c>
      <c r="B27" s="3596"/>
      <c r="C27" s="2803">
        <f ca="1">(C6-C23-C24-C25)/((1+F26)*(1+D20+F21))</f>
        <v>0</v>
      </c>
      <c r="D27" s="2804"/>
      <c r="E27" s="2804"/>
      <c r="F27" s="2804"/>
      <c r="G27" s="2805" t="s">
        <v>2220</v>
      </c>
      <c r="H27" s="2804"/>
      <c r="I27" s="2804"/>
      <c r="J27" s="2804"/>
      <c r="K27" s="2806"/>
    </row>
    <row r="28" spans="1:26" s="1723" customFormat="1">
      <c r="A28" s="2711"/>
      <c r="C28" s="2712"/>
      <c r="E28" s="2711"/>
    </row>
    <row r="29" spans="1:26" s="1723" customFormat="1" ht="12.75" customHeight="1">
      <c r="A29" s="2711"/>
      <c r="C29" s="2712"/>
      <c r="E29" s="2711"/>
    </row>
    <row r="30" spans="1:26" s="1723" customFormat="1">
      <c r="A30" s="2711"/>
      <c r="C30" s="2712"/>
      <c r="E30" s="2711"/>
    </row>
    <row r="31" spans="1:26" s="1723" customFormat="1">
      <c r="A31" s="2711"/>
      <c r="C31" s="2712"/>
      <c r="E31" s="2711"/>
    </row>
    <row r="32" spans="1:26" s="1723" customFormat="1">
      <c r="A32" s="2711"/>
      <c r="C32" s="2712"/>
      <c r="E32" s="2711"/>
    </row>
    <row r="33" spans="1:5" s="1723" customFormat="1">
      <c r="A33" s="2711"/>
      <c r="C33" s="2712"/>
      <c r="E33" s="2711"/>
    </row>
    <row r="34" spans="1:5" s="1723" customFormat="1">
      <c r="A34" s="2711"/>
      <c r="C34" s="2712"/>
      <c r="E34" s="2711"/>
    </row>
    <row r="35" spans="1:5" s="1723" customFormat="1">
      <c r="A35" s="2711"/>
      <c r="C35" s="2712"/>
      <c r="E35" s="2711"/>
    </row>
    <row r="36" spans="1:5" s="1723" customFormat="1">
      <c r="A36" s="2711"/>
      <c r="C36" s="2712"/>
      <c r="E36" s="2711"/>
    </row>
    <row r="37" spans="1:5" s="1723" customFormat="1">
      <c r="A37" s="2711"/>
      <c r="C37" s="2712"/>
      <c r="E37" s="2711"/>
    </row>
    <row r="38" spans="1:5" s="1723" customFormat="1">
      <c r="A38" s="2711"/>
      <c r="C38" s="2712"/>
      <c r="E38" s="2711"/>
    </row>
    <row r="39" spans="1:5" s="1723" customFormat="1">
      <c r="A39" s="2711"/>
      <c r="C39" s="2712"/>
      <c r="E39" s="2711"/>
    </row>
    <row r="40" spans="1:5" s="1723" customFormat="1">
      <c r="A40" s="2711"/>
      <c r="C40" s="2712"/>
      <c r="E40" s="2711"/>
    </row>
    <row r="41" spans="1:5" s="1723" customFormat="1">
      <c r="A41" s="2711"/>
      <c r="C41" s="2712"/>
      <c r="E41" s="2711"/>
    </row>
    <row r="42" spans="1:5" s="1723" customFormat="1">
      <c r="A42" s="2711"/>
      <c r="C42" s="2712"/>
      <c r="E42" s="2711"/>
    </row>
    <row r="43" spans="1:5" s="1723" customFormat="1">
      <c r="A43" s="2711"/>
      <c r="C43" s="2712"/>
      <c r="E43" s="2711"/>
    </row>
    <row r="44" spans="1:5" s="1723" customFormat="1">
      <c r="A44" s="2711"/>
      <c r="C44" s="2712"/>
      <c r="E44" s="2711"/>
    </row>
    <row r="45" spans="1:5" s="1723" customFormat="1">
      <c r="A45" s="2711"/>
      <c r="C45" s="2712"/>
      <c r="E45" s="2711"/>
    </row>
    <row r="46" spans="1:5" s="1723" customFormat="1">
      <c r="A46" s="2711"/>
      <c r="C46" s="2712"/>
      <c r="E46" s="2711"/>
    </row>
    <row r="47" spans="1:5" s="1723" customFormat="1">
      <c r="A47" s="2711"/>
      <c r="C47" s="2712"/>
      <c r="E47" s="2711"/>
    </row>
    <row r="48" spans="1:5"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23" t="str">
        <f>项目基本情况!B1</f>
        <v>北京市出让国有建设用地使用权抵押价格预评估</v>
      </c>
      <c r="C37" s="3423"/>
      <c r="D37" s="3423"/>
      <c r="E37" s="3423"/>
      <c r="F37" s="3423"/>
      <c r="G37" s="3423"/>
      <c r="H37" s="3423"/>
      <c r="I37" s="3423"/>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吴薇、土地估价师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1" zoomScale="85" zoomScaleNormal="95" zoomScaleSheetLayoutView="85" workbookViewId="0">
      <selection activeCell="I41" sqref="I41"/>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7"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f>F67</f>
        <v>9814</v>
      </c>
      <c r="C2" s="2725"/>
      <c r="D2" s="2725"/>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8912</v>
      </c>
      <c r="C3" s="2726"/>
      <c r="D3" s="2730"/>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2718"/>
      <c r="AC3" s="1674"/>
    </row>
    <row r="4" spans="1:29" s="1131" customFormat="1" ht="28.5" customHeight="1">
      <c r="A4" s="462" t="s">
        <v>469</v>
      </c>
      <c r="B4" s="397">
        <f>IF(B48="单位面积地价",C50,ROUND(B2*10000/'数据-汇总表'!D3,0))</f>
        <v>18068</v>
      </c>
      <c r="C4" s="2726"/>
      <c r="D4" s="2730"/>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1205</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4" t="s">
        <v>471</v>
      </c>
      <c r="D6" s="3605"/>
      <c r="E6" s="3604" t="s">
        <v>472</v>
      </c>
      <c r="F6" s="3605"/>
      <c r="G6" s="3604" t="s">
        <v>473</v>
      </c>
      <c r="H6" s="3605"/>
      <c r="I6" s="3604" t="s">
        <v>474</v>
      </c>
      <c r="J6" s="3605"/>
      <c r="K6" s="465" t="s">
        <v>475</v>
      </c>
      <c r="L6" s="1741"/>
      <c r="M6" s="1740"/>
      <c r="N6" s="1740"/>
      <c r="O6" s="1742"/>
      <c r="P6" s="3606" t="s">
        <v>476</v>
      </c>
      <c r="Q6" s="3607"/>
      <c r="R6" s="3612" t="s">
        <v>472</v>
      </c>
      <c r="S6" s="3613"/>
      <c r="T6" s="3612" t="s">
        <v>473</v>
      </c>
      <c r="U6" s="3613"/>
      <c r="V6" s="3599" t="s">
        <v>474</v>
      </c>
      <c r="W6" s="3599"/>
      <c r="X6" s="1302"/>
      <c r="Y6" s="3612" t="s">
        <v>476</v>
      </c>
      <c r="Z6" s="3613"/>
      <c r="AA6" s="3601" t="s">
        <v>472</v>
      </c>
      <c r="AB6" s="3602" t="s">
        <v>473</v>
      </c>
      <c r="AC6" s="3601" t="s">
        <v>474</v>
      </c>
    </row>
    <row r="7" spans="1:29" ht="72.599999999999994" customHeight="1">
      <c r="A7" s="466"/>
      <c r="B7" s="467"/>
      <c r="C7" s="3620" t="s">
        <v>2181</v>
      </c>
      <c r="D7" s="3621"/>
      <c r="E7" s="3620" t="s">
        <v>3415</v>
      </c>
      <c r="F7" s="3621"/>
      <c r="G7" s="3620" t="s">
        <v>3439</v>
      </c>
      <c r="H7" s="3621"/>
      <c r="I7" s="3620" t="str">
        <f>案例!A3</f>
        <v>北京市顺义区顺义新城0201街区东风商场片区项目SY00-0201-093、096地块R2二类居住用地、SY00-0201-086地块A334托幼用地</v>
      </c>
      <c r="J7" s="3621"/>
      <c r="K7" s="465"/>
      <c r="L7" s="1741"/>
      <c r="M7" s="1740"/>
      <c r="N7" s="1740"/>
      <c r="O7" s="1742"/>
      <c r="P7" s="3608"/>
      <c r="Q7" s="3609"/>
      <c r="R7" s="3614"/>
      <c r="S7" s="3615"/>
      <c r="T7" s="3614"/>
      <c r="U7" s="3615"/>
      <c r="V7" s="3599"/>
      <c r="W7" s="3599"/>
      <c r="X7" s="1302"/>
      <c r="Y7" s="3614"/>
      <c r="Z7" s="3615"/>
      <c r="AA7" s="3602"/>
      <c r="AB7" s="3602"/>
      <c r="AC7" s="3602"/>
    </row>
    <row r="8" spans="1:29" ht="21" thickBot="1">
      <c r="A8" s="466"/>
      <c r="B8" s="467"/>
      <c r="C8" s="3622" t="s">
        <v>2185</v>
      </c>
      <c r="D8" s="3623"/>
      <c r="E8" s="3622" t="s">
        <v>3461</v>
      </c>
      <c r="F8" s="3623"/>
      <c r="G8" s="3618" t="s">
        <v>3461</v>
      </c>
      <c r="H8" s="3619"/>
      <c r="I8" s="3618" t="s">
        <v>2185</v>
      </c>
      <c r="J8" s="3619"/>
      <c r="K8" s="465" t="s">
        <v>477</v>
      </c>
      <c r="L8" s="1741"/>
      <c r="M8" s="1740"/>
      <c r="N8" s="1740"/>
      <c r="O8" s="1742"/>
      <c r="P8" s="3610"/>
      <c r="Q8" s="3611"/>
      <c r="R8" s="3614"/>
      <c r="S8" s="3615"/>
      <c r="T8" s="3616"/>
      <c r="U8" s="3617"/>
      <c r="V8" s="3599"/>
      <c r="W8" s="3599"/>
      <c r="X8" s="1302"/>
      <c r="Y8" s="3616"/>
      <c r="Z8" s="3617"/>
      <c r="AA8" s="3603"/>
      <c r="AB8" s="3603"/>
      <c r="AC8" s="3603"/>
    </row>
    <row r="9" spans="1:29" s="1060" customFormat="1" ht="21" thickBot="1">
      <c r="A9" s="2209"/>
      <c r="B9" s="2216" t="s">
        <v>478</v>
      </c>
      <c r="C9" s="2208">
        <f>'数据-取费表'!B2</f>
        <v>45908</v>
      </c>
      <c r="D9" s="471">
        <v>100</v>
      </c>
      <c r="E9" s="472">
        <v>45366.000497685185</v>
      </c>
      <c r="F9" s="473">
        <f>SUMIF(71:71,YEAR(E9)&amp;"-"&amp;INT((MONTH(E9)+2)/3),72:72)</f>
        <v>102</v>
      </c>
      <c r="G9" s="474">
        <v>45288.000497685185</v>
      </c>
      <c r="H9" s="471">
        <f>SUMIF(71:71,YEAR(G9)&amp;"-"&amp;INT((MONTH(G9)+2)/3),72:72)</f>
        <v>102</v>
      </c>
      <c r="I9" s="474" t="str">
        <f>案例!K3</f>
        <v>2025-02-26</v>
      </c>
      <c r="J9" s="471">
        <f>SUMIF(71:71,YEAR(I9)&amp;"-"&amp;INT((MONTH(I9)+2)/3),72:72)</f>
        <v>100</v>
      </c>
      <c r="K9" s="88"/>
      <c r="L9" s="1743"/>
      <c r="M9" s="1740"/>
      <c r="N9" s="1740"/>
      <c r="O9" s="1640"/>
      <c r="P9" s="3628" t="s">
        <v>479</v>
      </c>
      <c r="Q9" s="3630"/>
      <c r="R9" s="1303" t="s">
        <v>5</v>
      </c>
      <c r="S9" s="1304">
        <f t="shared" ref="S9:S17" si="0">F9</f>
        <v>102</v>
      </c>
      <c r="T9" s="1303" t="s">
        <v>5</v>
      </c>
      <c r="U9" s="1304">
        <f t="shared" ref="U9:U17" si="1">H9</f>
        <v>102</v>
      </c>
      <c r="V9" s="1303" t="s">
        <v>5</v>
      </c>
      <c r="W9" s="1304">
        <f t="shared" ref="W9:W17" si="2">J9</f>
        <v>100</v>
      </c>
      <c r="X9" s="1305"/>
      <c r="Y9" s="3628" t="s">
        <v>479</v>
      </c>
      <c r="Z9" s="3629"/>
      <c r="AA9" s="997">
        <f>D9/F9</f>
        <v>0.98039215686274506</v>
      </c>
      <c r="AB9" s="997">
        <f>D9/H9</f>
        <v>0.98039215686274506</v>
      </c>
      <c r="AC9" s="997">
        <f>D9/J9</f>
        <v>1</v>
      </c>
    </row>
    <row r="10" spans="1:29" s="1060" customFormat="1" ht="21" thickBot="1">
      <c r="A10" s="2210"/>
      <c r="B10" s="2217" t="s">
        <v>480</v>
      </c>
      <c r="C10" s="790" t="s">
        <v>481</v>
      </c>
      <c r="D10" s="471">
        <v>100</v>
      </c>
      <c r="E10" s="475" t="s">
        <v>3469</v>
      </c>
      <c r="F10" s="473">
        <f>SUMIF(74:74,E10,75:75)-SUMIF(74:74,C10,75:75)+100</f>
        <v>100</v>
      </c>
      <c r="G10" s="475" t="s">
        <v>3469</v>
      </c>
      <c r="H10" s="471">
        <f>SUMIF(74:74,G10,75:75)-SUMIF(74:74,C10,75:75)+100</f>
        <v>100</v>
      </c>
      <c r="I10" s="475" t="s">
        <v>3469</v>
      </c>
      <c r="J10" s="471">
        <f>SUMIF(74:74,I10,75:75)-SUMIF(74:74,C10,75:75)+100</f>
        <v>100</v>
      </c>
      <c r="K10" s="88"/>
      <c r="L10" s="1743"/>
      <c r="M10" s="1740"/>
      <c r="N10" s="1740"/>
      <c r="O10" s="1640"/>
      <c r="P10" s="3628" t="s">
        <v>482</v>
      </c>
      <c r="Q10" s="3629"/>
      <c r="R10" s="1303" t="s">
        <v>5</v>
      </c>
      <c r="S10" s="1304">
        <f t="shared" si="0"/>
        <v>100</v>
      </c>
      <c r="T10" s="1303" t="s">
        <v>5</v>
      </c>
      <c r="U10" s="1304">
        <f t="shared" si="1"/>
        <v>100</v>
      </c>
      <c r="V10" s="1303" t="s">
        <v>5</v>
      </c>
      <c r="W10" s="1304">
        <f t="shared" si="2"/>
        <v>100</v>
      </c>
      <c r="X10" s="1305"/>
      <c r="Y10" s="3628" t="s">
        <v>482</v>
      </c>
      <c r="Z10" s="3629"/>
      <c r="AA10" s="997">
        <f t="shared" ref="AA10:AA47" si="3">D10/F10</f>
        <v>1</v>
      </c>
      <c r="AB10" s="997">
        <f t="shared" ref="AB10:AB47" si="4">D10/H10</f>
        <v>1</v>
      </c>
      <c r="AC10" s="997">
        <f t="shared" ref="AC10:AC47" si="5">D10/J10</f>
        <v>1</v>
      </c>
    </row>
    <row r="11" spans="1:29" s="1060" customFormat="1" ht="20.25">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598" t="s">
        <v>484</v>
      </c>
      <c r="Q11" s="818" t="str">
        <f t="shared" ref="Q11:Q17" si="6">B11</f>
        <v>用途</v>
      </c>
      <c r="R11" s="1303" t="s">
        <v>5</v>
      </c>
      <c r="S11" s="1304">
        <f t="shared" si="0"/>
        <v>100</v>
      </c>
      <c r="T11" s="1303" t="s">
        <v>5</v>
      </c>
      <c r="U11" s="1304">
        <f t="shared" si="1"/>
        <v>100</v>
      </c>
      <c r="V11" s="1303" t="s">
        <v>5</v>
      </c>
      <c r="W11" s="1304">
        <f t="shared" si="2"/>
        <v>100</v>
      </c>
      <c r="X11" s="1305"/>
      <c r="Y11" s="3542" t="s">
        <v>485</v>
      </c>
      <c r="Z11" s="997" t="str">
        <f t="shared" ref="Z11:Z17" si="7">Q11</f>
        <v>用途</v>
      </c>
      <c r="AA11" s="997">
        <f t="shared" si="3"/>
        <v>1</v>
      </c>
      <c r="AB11" s="997">
        <f t="shared" si="4"/>
        <v>1</v>
      </c>
      <c r="AC11" s="997">
        <f t="shared" si="5"/>
        <v>1</v>
      </c>
    </row>
    <row r="12" spans="1:29" s="1133" customFormat="1" ht="27">
      <c r="A12" s="2212"/>
      <c r="B12" s="2217" t="s">
        <v>2039</v>
      </c>
      <c r="C12" s="833"/>
      <c r="D12" s="235">
        <v>100</v>
      </c>
      <c r="E12" s="479"/>
      <c r="F12" s="235">
        <f>ROUND(100/'数据-取费表'!G16,1)</f>
        <v>100.5</v>
      </c>
      <c r="G12" s="480"/>
      <c r="H12" s="235">
        <f>ROUND(100/'数据-取费表'!G16,1)</f>
        <v>100.5</v>
      </c>
      <c r="I12" s="480"/>
      <c r="J12" s="235">
        <f>ROUND(100/'数据-取费表'!G16,1)</f>
        <v>100.5</v>
      </c>
      <c r="K12" s="481"/>
      <c r="L12" s="1745"/>
      <c r="M12" s="1740"/>
      <c r="N12" s="1740"/>
      <c r="O12" s="1746"/>
      <c r="P12" s="3598"/>
      <c r="Q12" s="818" t="str">
        <f t="shared" si="6"/>
        <v>土地使用年限（年）</v>
      </c>
      <c r="R12" s="1303" t="s">
        <v>5</v>
      </c>
      <c r="S12" s="1304">
        <f t="shared" si="0"/>
        <v>100.5</v>
      </c>
      <c r="T12" s="1303" t="s">
        <v>5</v>
      </c>
      <c r="U12" s="1304">
        <f t="shared" si="1"/>
        <v>100.5</v>
      </c>
      <c r="V12" s="1303" t="s">
        <v>5</v>
      </c>
      <c r="W12" s="1304">
        <f t="shared" si="2"/>
        <v>100.5</v>
      </c>
      <c r="X12" s="1305"/>
      <c r="Y12" s="3542"/>
      <c r="Z12" s="997" t="str">
        <f t="shared" si="7"/>
        <v>土地使用年限（年）</v>
      </c>
      <c r="AA12" s="997">
        <f t="shared" si="3"/>
        <v>0.99502487562189057</v>
      </c>
      <c r="AB12" s="997">
        <f t="shared" si="4"/>
        <v>0.99502487562189057</v>
      </c>
      <c r="AC12" s="997">
        <f t="shared" si="5"/>
        <v>0.99502487562189057</v>
      </c>
    </row>
    <row r="13" spans="1:29" ht="20.25">
      <c r="A13" s="2213"/>
      <c r="B13" s="2217"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7"/>
      <c r="M13" s="1740"/>
      <c r="N13" s="1740"/>
      <c r="O13" s="1748"/>
      <c r="P13" s="3598"/>
      <c r="Q13" s="818" t="str">
        <f t="shared" si="6"/>
        <v>容积率</v>
      </c>
      <c r="R13" s="1303" t="s">
        <v>5</v>
      </c>
      <c r="S13" s="1304">
        <f t="shared" si="0"/>
        <v>100</v>
      </c>
      <c r="T13" s="1303" t="s">
        <v>5</v>
      </c>
      <c r="U13" s="1304">
        <f t="shared" si="1"/>
        <v>100</v>
      </c>
      <c r="V13" s="1303" t="s">
        <v>5</v>
      </c>
      <c r="W13" s="1304">
        <f t="shared" si="2"/>
        <v>100</v>
      </c>
      <c r="X13" s="1305"/>
      <c r="Y13" s="3542"/>
      <c r="Z13" s="997" t="str">
        <f t="shared" si="7"/>
        <v>容积率</v>
      </c>
      <c r="AA13" s="997">
        <f t="shared" si="3"/>
        <v>1</v>
      </c>
      <c r="AB13" s="997">
        <f t="shared" si="4"/>
        <v>1</v>
      </c>
      <c r="AC13" s="997">
        <f t="shared" si="5"/>
        <v>1</v>
      </c>
    </row>
    <row r="14" spans="1:29" s="1060" customFormat="1" ht="20.25">
      <c r="A14" s="2210"/>
      <c r="B14" s="2219" t="s">
        <v>2041</v>
      </c>
      <c r="C14" s="2206" t="s">
        <v>3514</v>
      </c>
      <c r="D14" s="488">
        <v>100</v>
      </c>
      <c r="E14" s="2206" t="s">
        <v>3514</v>
      </c>
      <c r="F14" s="235">
        <f>SUMIF(83:83,E14,84:84)-SUMIF(83:83,C14,84:84)+100</f>
        <v>100</v>
      </c>
      <c r="G14" s="2206" t="s">
        <v>3514</v>
      </c>
      <c r="H14" s="235">
        <f>SUMIF(83:83,G14,84:84)-SUMIF(83:83,C14,84:84)+100</f>
        <v>100</v>
      </c>
      <c r="I14" s="2206" t="s">
        <v>3514</v>
      </c>
      <c r="J14" s="235">
        <f>SUMIF(83:83,I14,84:84)-SUMIF(83:83,C14,84:84)+100</f>
        <v>100</v>
      </c>
      <c r="K14" s="481"/>
      <c r="L14" s="1743"/>
      <c r="M14" s="1740"/>
      <c r="N14" s="1740"/>
      <c r="O14" s="1744"/>
      <c r="P14" s="3598"/>
      <c r="Q14" s="818" t="str">
        <f t="shared" si="6"/>
        <v>配建</v>
      </c>
      <c r="R14" s="1303" t="s">
        <v>5</v>
      </c>
      <c r="S14" s="1304">
        <f t="shared" si="0"/>
        <v>100</v>
      </c>
      <c r="T14" s="1303" t="s">
        <v>5</v>
      </c>
      <c r="U14" s="1304">
        <f t="shared" si="1"/>
        <v>100</v>
      </c>
      <c r="V14" s="1303" t="s">
        <v>5</v>
      </c>
      <c r="W14" s="1304">
        <f t="shared" si="2"/>
        <v>100</v>
      </c>
      <c r="X14" s="1305"/>
      <c r="Y14" s="3542"/>
      <c r="Z14" s="997" t="str">
        <f t="shared" si="7"/>
        <v>配建</v>
      </c>
      <c r="AA14" s="997">
        <f>D14/F14</f>
        <v>1</v>
      </c>
      <c r="AB14" s="997">
        <f>D14/H14</f>
        <v>1</v>
      </c>
      <c r="AC14" s="997">
        <f>D14/J14</f>
        <v>1</v>
      </c>
    </row>
    <row r="15" spans="1:29" ht="20.25">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98"/>
      <c r="Q15" s="818">
        <f t="shared" si="6"/>
        <v>111</v>
      </c>
      <c r="R15" s="1303" t="s">
        <v>5</v>
      </c>
      <c r="S15" s="1304">
        <f t="shared" si="0"/>
        <v>100</v>
      </c>
      <c r="T15" s="1303" t="s">
        <v>5</v>
      </c>
      <c r="U15" s="1304">
        <f t="shared" si="1"/>
        <v>100</v>
      </c>
      <c r="V15" s="1303" t="s">
        <v>5</v>
      </c>
      <c r="W15" s="1304">
        <f t="shared" si="2"/>
        <v>100</v>
      </c>
      <c r="X15" s="1305"/>
      <c r="Y15" s="3542"/>
      <c r="Z15" s="997">
        <f t="shared" si="7"/>
        <v>111</v>
      </c>
      <c r="AA15" s="997">
        <f>D15/F15</f>
        <v>1</v>
      </c>
      <c r="AB15" s="997">
        <f>D15/H15</f>
        <v>1</v>
      </c>
      <c r="AC15" s="997">
        <f>D15/J15</f>
        <v>1</v>
      </c>
    </row>
    <row r="16" spans="1:29" ht="21"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8"/>
      <c r="Q16" s="818">
        <f t="shared" si="6"/>
        <v>111</v>
      </c>
      <c r="R16" s="1303" t="s">
        <v>5</v>
      </c>
      <c r="S16" s="1304">
        <f t="shared" si="0"/>
        <v>100</v>
      </c>
      <c r="T16" s="1303" t="s">
        <v>5</v>
      </c>
      <c r="U16" s="1304">
        <f t="shared" si="1"/>
        <v>100</v>
      </c>
      <c r="V16" s="1303" t="s">
        <v>5</v>
      </c>
      <c r="W16" s="1304">
        <f t="shared" si="2"/>
        <v>100</v>
      </c>
      <c r="X16" s="1305"/>
      <c r="Y16" s="3542"/>
      <c r="Z16" s="997">
        <f t="shared" si="7"/>
        <v>111</v>
      </c>
      <c r="AA16" s="997">
        <f>D16/F16</f>
        <v>1</v>
      </c>
      <c r="AB16" s="997">
        <f>D16/H16</f>
        <v>1</v>
      </c>
      <c r="AC16" s="997">
        <f>D16/J16</f>
        <v>1</v>
      </c>
    </row>
    <row r="17" spans="1:29" ht="20.25">
      <c r="A17" s="2207" t="s">
        <v>2036</v>
      </c>
      <c r="B17" s="528" t="s">
        <v>261</v>
      </c>
      <c r="C17" s="498" t="str">
        <f>估价对象房地状况!C15</f>
        <v>一般</v>
      </c>
      <c r="D17" s="501">
        <v>100</v>
      </c>
      <c r="E17" s="502"/>
      <c r="F17" s="499">
        <f>SUMIF(89:89,E18,90:90)-SUMIF(89:89,C18,90:90)+100</f>
        <v>100</v>
      </c>
      <c r="G17" s="500"/>
      <c r="H17" s="499">
        <f>SUMIF(89:89,G18,90:90)-SUMIF(89:89,C18,90:90)+100</f>
        <v>103</v>
      </c>
      <c r="I17" s="502"/>
      <c r="J17" s="499">
        <f>SUMIF(89:89,I18,90:90)-SUMIF(89:89,C18,90:90)+100</f>
        <v>106</v>
      </c>
      <c r="K17" s="485">
        <v>3</v>
      </c>
      <c r="L17" s="1749"/>
      <c r="M17" s="1740"/>
      <c r="N17" s="1740"/>
      <c r="O17" s="1748"/>
      <c r="P17" s="3631" t="s">
        <v>489</v>
      </c>
      <c r="Q17" s="1306" t="str">
        <f t="shared" si="6"/>
        <v>居住社区成熟度</v>
      </c>
      <c r="R17" s="1307" t="s">
        <v>5</v>
      </c>
      <c r="S17" s="1308">
        <f t="shared" si="0"/>
        <v>100</v>
      </c>
      <c r="T17" s="1307" t="s">
        <v>5</v>
      </c>
      <c r="U17" s="1308">
        <f t="shared" si="1"/>
        <v>103</v>
      </c>
      <c r="V17" s="1307" t="s">
        <v>5</v>
      </c>
      <c r="W17" s="1308">
        <f t="shared" si="2"/>
        <v>106</v>
      </c>
      <c r="X17" s="1302"/>
      <c r="Y17" s="3631" t="s">
        <v>489</v>
      </c>
      <c r="Z17" s="1309" t="str">
        <f t="shared" si="7"/>
        <v>居住社区成熟度</v>
      </c>
      <c r="AA17" s="1309">
        <f t="shared" si="3"/>
        <v>1</v>
      </c>
      <c r="AB17" s="1309">
        <f t="shared" si="4"/>
        <v>0.970873786407767</v>
      </c>
      <c r="AC17" s="1309">
        <f t="shared" si="5"/>
        <v>0.94339622641509435</v>
      </c>
    </row>
    <row r="18" spans="1:29" ht="20.25">
      <c r="A18" s="482"/>
      <c r="B18" s="503"/>
      <c r="C18" s="504" t="s">
        <v>3470</v>
      </c>
      <c r="D18" s="507"/>
      <c r="E18" s="508" t="s">
        <v>3470</v>
      </c>
      <c r="F18" s="505"/>
      <c r="G18" s="506" t="s">
        <v>3467</v>
      </c>
      <c r="H18" s="509"/>
      <c r="I18" s="508" t="s">
        <v>3515</v>
      </c>
      <c r="J18" s="505"/>
      <c r="K18" s="481"/>
      <c r="L18" s="1749"/>
      <c r="M18" s="1740"/>
      <c r="N18" s="1740"/>
      <c r="O18" s="1748"/>
      <c r="P18" s="3632"/>
      <c r="Q18" s="1306"/>
      <c r="R18" s="1307"/>
      <c r="S18" s="1308"/>
      <c r="T18" s="1307"/>
      <c r="U18" s="1308"/>
      <c r="V18" s="1307"/>
      <c r="W18" s="1308"/>
      <c r="X18" s="1302"/>
      <c r="Y18" s="3632"/>
      <c r="Z18" s="1309"/>
      <c r="AA18" s="1309">
        <v>1</v>
      </c>
      <c r="AB18" s="1309">
        <v>1</v>
      </c>
      <c r="AC18" s="1309">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32"/>
      <c r="Q19" s="1306" t="str">
        <f>B19</f>
        <v>商业繁华度</v>
      </c>
      <c r="R19" s="1307" t="s">
        <v>5</v>
      </c>
      <c r="S19" s="1308">
        <f>F19</f>
        <v>100</v>
      </c>
      <c r="T19" s="1307" t="s">
        <v>5</v>
      </c>
      <c r="U19" s="1308">
        <f>H19</f>
        <v>100</v>
      </c>
      <c r="V19" s="1307" t="s">
        <v>5</v>
      </c>
      <c r="W19" s="1308">
        <f>J19</f>
        <v>100</v>
      </c>
      <c r="X19" s="1302"/>
      <c r="Y19" s="3632"/>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32"/>
      <c r="Q20" s="1306"/>
      <c r="R20" s="1307"/>
      <c r="S20" s="1308"/>
      <c r="T20" s="1307"/>
      <c r="U20" s="1308"/>
      <c r="V20" s="1307"/>
      <c r="W20" s="1308"/>
      <c r="X20" s="1302"/>
      <c r="Y20" s="3632"/>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32"/>
      <c r="Q21" s="1306" t="str">
        <f>B21</f>
        <v>办公集聚程度</v>
      </c>
      <c r="R21" s="1307" t="s">
        <v>5</v>
      </c>
      <c r="S21" s="1308">
        <f>F21</f>
        <v>100</v>
      </c>
      <c r="T21" s="1307" t="s">
        <v>5</v>
      </c>
      <c r="U21" s="1308">
        <f>H21</f>
        <v>100</v>
      </c>
      <c r="V21" s="1307" t="s">
        <v>5</v>
      </c>
      <c r="W21" s="1308">
        <f>J21</f>
        <v>100</v>
      </c>
      <c r="X21" s="1302"/>
      <c r="Y21" s="3632"/>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32"/>
      <c r="Q22" s="1306"/>
      <c r="R22" s="1307"/>
      <c r="S22" s="1308"/>
      <c r="T22" s="1307"/>
      <c r="U22" s="1308"/>
      <c r="V22" s="1307"/>
      <c r="W22" s="1308"/>
      <c r="X22" s="1302"/>
      <c r="Y22" s="3632"/>
      <c r="Z22" s="1309"/>
      <c r="AA22" s="1309">
        <v>1</v>
      </c>
      <c r="AB22" s="1309">
        <v>1</v>
      </c>
      <c r="AC22" s="1309">
        <v>1</v>
      </c>
    </row>
    <row r="23" spans="1:29" ht="20.25">
      <c r="A23" s="482"/>
      <c r="B23" s="510" t="s">
        <v>492</v>
      </c>
      <c r="C23" s="523" t="str">
        <f>估价对象房地状况!C18</f>
        <v>一般</v>
      </c>
      <c r="D23" s="513">
        <v>100</v>
      </c>
      <c r="E23" s="514" t="s">
        <v>3471</v>
      </c>
      <c r="F23" s="515">
        <f>SUMIF(95:95,E24,96:96)-SUMIF(95:95,C24,96:96)+100</f>
        <v>102</v>
      </c>
      <c r="G23" s="512"/>
      <c r="H23" s="509">
        <f>SUMIF(95:95,G24,96:96)-SUMIF(95:95,C24,96:96)+100</f>
        <v>100</v>
      </c>
      <c r="I23" s="514"/>
      <c r="J23" s="509">
        <f>SUMIF(95:95,I24,96:96)-SUMIF(95:95,C24,96:96)+100</f>
        <v>102</v>
      </c>
      <c r="K23" s="485">
        <v>2</v>
      </c>
      <c r="L23" s="1749"/>
      <c r="M23" s="1740"/>
      <c r="N23" s="1740"/>
      <c r="O23" s="1748"/>
      <c r="P23" s="3632"/>
      <c r="Q23" s="1306" t="str">
        <f>B23</f>
        <v>交通便捷度</v>
      </c>
      <c r="R23" s="1307" t="s">
        <v>5</v>
      </c>
      <c r="S23" s="1308">
        <f>F23</f>
        <v>102</v>
      </c>
      <c r="T23" s="1307" t="s">
        <v>5</v>
      </c>
      <c r="U23" s="1308">
        <f>H23</f>
        <v>100</v>
      </c>
      <c r="V23" s="1307" t="s">
        <v>5</v>
      </c>
      <c r="W23" s="1308">
        <f>J23</f>
        <v>102</v>
      </c>
      <c r="X23" s="1302"/>
      <c r="Y23" s="3632"/>
      <c r="Z23" s="1309" t="str">
        <f>Q23</f>
        <v>交通便捷度</v>
      </c>
      <c r="AA23" s="1309">
        <f t="shared" si="3"/>
        <v>0.98039215686274506</v>
      </c>
      <c r="AB23" s="1309">
        <f t="shared" si="4"/>
        <v>1</v>
      </c>
      <c r="AC23" s="1309">
        <f t="shared" si="5"/>
        <v>0.98039215686274506</v>
      </c>
    </row>
    <row r="24" spans="1:29" ht="20.25">
      <c r="A24" s="482"/>
      <c r="B24" s="528"/>
      <c r="C24" s="504" t="s">
        <v>3470</v>
      </c>
      <c r="D24" s="507"/>
      <c r="E24" s="508" t="s">
        <v>3467</v>
      </c>
      <c r="F24" s="505"/>
      <c r="G24" s="506" t="s">
        <v>3470</v>
      </c>
      <c r="H24" s="505"/>
      <c r="I24" s="508" t="s">
        <v>3467</v>
      </c>
      <c r="J24" s="505"/>
      <c r="K24" s="481"/>
      <c r="L24" s="1749"/>
      <c r="M24" s="1740"/>
      <c r="N24" s="1740"/>
      <c r="O24" s="1748"/>
      <c r="P24" s="3632"/>
      <c r="Q24" s="1306"/>
      <c r="R24" s="1307"/>
      <c r="S24" s="1308"/>
      <c r="T24" s="1307"/>
      <c r="U24" s="1308"/>
      <c r="V24" s="1307"/>
      <c r="W24" s="1308"/>
      <c r="X24" s="1302"/>
      <c r="Y24" s="3632"/>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102</v>
      </c>
      <c r="I25" s="514"/>
      <c r="J25" s="509">
        <f>SUMIF(97:97,I26,98:98)-SUMIF(97:97,C26,98:98)+100</f>
        <v>104</v>
      </c>
      <c r="K25" s="485">
        <v>2</v>
      </c>
      <c r="L25" s="1749"/>
      <c r="M25" s="1740"/>
      <c r="N25" s="1740"/>
      <c r="O25" s="1748"/>
      <c r="P25" s="3632"/>
      <c r="Q25" s="1306" t="str">
        <f t="shared" ref="Q25:Q39" si="8">B25</f>
        <v>区域土地利用方向</v>
      </c>
      <c r="R25" s="1307" t="s">
        <v>5</v>
      </c>
      <c r="S25" s="1308">
        <f>F25</f>
        <v>100</v>
      </c>
      <c r="T25" s="1307" t="s">
        <v>5</v>
      </c>
      <c r="U25" s="1308">
        <f>H25</f>
        <v>102</v>
      </c>
      <c r="V25" s="1307" t="s">
        <v>5</v>
      </c>
      <c r="W25" s="1308">
        <f>J25</f>
        <v>104</v>
      </c>
      <c r="X25" s="1302"/>
      <c r="Y25" s="3632"/>
      <c r="Z25" s="1309" t="str">
        <f>Q25</f>
        <v>区域土地利用方向</v>
      </c>
      <c r="AA25" s="1309">
        <f t="shared" si="3"/>
        <v>1</v>
      </c>
      <c r="AB25" s="1309">
        <f t="shared" si="4"/>
        <v>0.98039215686274506</v>
      </c>
      <c r="AC25" s="1309">
        <f t="shared" si="5"/>
        <v>0.96153846153846156</v>
      </c>
    </row>
    <row r="26" spans="1:29" ht="20.25">
      <c r="A26" s="466"/>
      <c r="B26" s="919"/>
      <c r="C26" s="504" t="s">
        <v>3470</v>
      </c>
      <c r="D26" s="507"/>
      <c r="E26" s="508" t="s">
        <v>3470</v>
      </c>
      <c r="F26" s="505"/>
      <c r="G26" s="506" t="s">
        <v>3467</v>
      </c>
      <c r="H26" s="505"/>
      <c r="I26" s="506" t="s">
        <v>3515</v>
      </c>
      <c r="J26" s="505"/>
      <c r="K26" s="481"/>
      <c r="L26" s="1749"/>
      <c r="M26" s="1740"/>
      <c r="N26" s="1740"/>
      <c r="O26" s="1748"/>
      <c r="P26" s="3632"/>
      <c r="Q26" s="1306"/>
      <c r="R26" s="1307"/>
      <c r="S26" s="1308"/>
      <c r="T26" s="1307"/>
      <c r="U26" s="1308"/>
      <c r="V26" s="1307"/>
      <c r="W26" s="1308"/>
      <c r="X26" s="1302"/>
      <c r="Y26" s="3632"/>
      <c r="Z26" s="1309"/>
      <c r="AA26" s="1309"/>
      <c r="AB26" s="1309"/>
      <c r="AC26" s="1309"/>
    </row>
    <row r="27" spans="1:29" ht="27">
      <c r="A27" s="466"/>
      <c r="B27" s="528" t="s">
        <v>494</v>
      </c>
      <c r="C27" s="511" t="str">
        <f>估价对象房地状况!C20</f>
        <v>一般</v>
      </c>
      <c r="D27" s="513">
        <v>100</v>
      </c>
      <c r="E27" s="514"/>
      <c r="F27" s="509">
        <f>SUMIF(99:99,E28,100:100)-SUMIF(99:99,C28,100:100)+100</f>
        <v>100</v>
      </c>
      <c r="G27" s="512"/>
      <c r="H27" s="509">
        <f>SUMIF(99:99,G28,100:100)-SUMIF(99:99,C28,100:100)+100</f>
        <v>100</v>
      </c>
      <c r="I27" s="512"/>
      <c r="J27" s="509">
        <f>SUMIF(99:99,I28,100:100)-SUMIF(99:99,C28,100:100)+100</f>
        <v>102</v>
      </c>
      <c r="K27" s="485">
        <v>2</v>
      </c>
      <c r="L27" s="1749"/>
      <c r="M27" s="1740"/>
      <c r="N27" s="1740"/>
      <c r="O27" s="1748"/>
      <c r="P27" s="3632"/>
      <c r="Q27" s="1306" t="str">
        <f t="shared" si="8"/>
        <v>自然及人文环境状况</v>
      </c>
      <c r="R27" s="1307" t="s">
        <v>5</v>
      </c>
      <c r="S27" s="1308">
        <f>F27</f>
        <v>100</v>
      </c>
      <c r="T27" s="1307" t="s">
        <v>5</v>
      </c>
      <c r="U27" s="1308">
        <f>H27</f>
        <v>100</v>
      </c>
      <c r="V27" s="1307" t="s">
        <v>5</v>
      </c>
      <c r="W27" s="1308">
        <f>J27</f>
        <v>102</v>
      </c>
      <c r="X27" s="1302"/>
      <c r="Y27" s="3632"/>
      <c r="Z27" s="1309" t="str">
        <f>Q27</f>
        <v>自然及人文环境状况</v>
      </c>
      <c r="AA27" s="1309">
        <f t="shared" si="3"/>
        <v>1</v>
      </c>
      <c r="AB27" s="1309">
        <f t="shared" si="4"/>
        <v>1</v>
      </c>
      <c r="AC27" s="1309">
        <f t="shared" si="5"/>
        <v>0.98039215686274506</v>
      </c>
    </row>
    <row r="28" spans="1:29" ht="20.25">
      <c r="A28" s="466"/>
      <c r="B28" s="516"/>
      <c r="C28" s="504" t="s">
        <v>3470</v>
      </c>
      <c r="D28" s="507"/>
      <c r="E28" s="526" t="s">
        <v>3470</v>
      </c>
      <c r="F28" s="505"/>
      <c r="G28" s="504" t="s">
        <v>3470</v>
      </c>
      <c r="H28" s="505"/>
      <c r="I28" s="504" t="s">
        <v>3467</v>
      </c>
      <c r="J28" s="505"/>
      <c r="K28" s="481"/>
      <c r="L28" s="1749"/>
      <c r="M28" s="1740"/>
      <c r="N28" s="1740"/>
      <c r="O28" s="1748"/>
      <c r="P28" s="3632"/>
      <c r="Q28" s="1306"/>
      <c r="R28" s="1307"/>
      <c r="S28" s="1308"/>
      <c r="T28" s="1307"/>
      <c r="U28" s="1308"/>
      <c r="V28" s="1307"/>
      <c r="W28" s="1308"/>
      <c r="X28" s="1302"/>
      <c r="Y28" s="3632"/>
      <c r="Z28" s="1309"/>
      <c r="AA28" s="1309">
        <v>1</v>
      </c>
      <c r="AB28" s="1309">
        <v>1</v>
      </c>
      <c r="AC28" s="1309">
        <v>1</v>
      </c>
    </row>
    <row r="29" spans="1:29" s="1060" customFormat="1" ht="20.25">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102</v>
      </c>
      <c r="K29" s="485">
        <v>2</v>
      </c>
      <c r="L29" s="1743"/>
      <c r="M29" s="1740"/>
      <c r="N29" s="1740"/>
      <c r="O29" s="1744"/>
      <c r="P29" s="3632"/>
      <c r="Q29" s="818" t="str">
        <f t="shared" si="8"/>
        <v>公共配套设施</v>
      </c>
      <c r="R29" s="1303" t="s">
        <v>5</v>
      </c>
      <c r="S29" s="1304">
        <f>F29</f>
        <v>100</v>
      </c>
      <c r="T29" s="1303" t="s">
        <v>5</v>
      </c>
      <c r="U29" s="1304">
        <f>H29</f>
        <v>100</v>
      </c>
      <c r="V29" s="1303" t="s">
        <v>5</v>
      </c>
      <c r="W29" s="1304">
        <f>J29</f>
        <v>102</v>
      </c>
      <c r="X29" s="1305"/>
      <c r="Y29" s="3632"/>
      <c r="Z29" s="997" t="str">
        <f>Q29</f>
        <v>公共配套设施</v>
      </c>
      <c r="AA29" s="1309">
        <f>D29/F29</f>
        <v>1</v>
      </c>
      <c r="AB29" s="1309">
        <f>D29/H29</f>
        <v>1</v>
      </c>
      <c r="AC29" s="1309">
        <f>D29/J29</f>
        <v>0.98039215686274506</v>
      </c>
    </row>
    <row r="30" spans="1:29" s="1060" customFormat="1" ht="20.25">
      <c r="A30" s="527"/>
      <c r="B30" s="516"/>
      <c r="C30" s="504" t="s">
        <v>3470</v>
      </c>
      <c r="D30" s="507"/>
      <c r="E30" s="526" t="s">
        <v>3470</v>
      </c>
      <c r="F30" s="505"/>
      <c r="G30" s="504" t="s">
        <v>3470</v>
      </c>
      <c r="H30" s="505"/>
      <c r="I30" s="504" t="s">
        <v>3467</v>
      </c>
      <c r="J30" s="505"/>
      <c r="K30" s="481"/>
      <c r="L30" s="1743"/>
      <c r="M30" s="1740"/>
      <c r="N30" s="1740"/>
      <c r="O30" s="1744"/>
      <c r="P30" s="3632"/>
      <c r="Q30" s="818"/>
      <c r="R30" s="1303"/>
      <c r="S30" s="1304"/>
      <c r="T30" s="1303"/>
      <c r="U30" s="1304"/>
      <c r="V30" s="1303"/>
      <c r="W30" s="1304"/>
      <c r="X30" s="1305"/>
      <c r="Y30" s="3632"/>
      <c r="Z30" s="997"/>
      <c r="AA30" s="1309">
        <v>1</v>
      </c>
      <c r="AB30" s="1309">
        <v>1</v>
      </c>
      <c r="AC30" s="1309">
        <v>1</v>
      </c>
    </row>
    <row r="31" spans="1:29" s="1060" customFormat="1" ht="20.25">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32"/>
      <c r="Q31" s="818" t="str">
        <f>B31</f>
        <v>基础设施水平</v>
      </c>
      <c r="R31" s="1303" t="s">
        <v>5</v>
      </c>
      <c r="S31" s="1304">
        <f>F31</f>
        <v>100</v>
      </c>
      <c r="T31" s="1303" t="s">
        <v>5</v>
      </c>
      <c r="U31" s="1304">
        <f>H31</f>
        <v>100</v>
      </c>
      <c r="V31" s="1303" t="s">
        <v>5</v>
      </c>
      <c r="W31" s="1304">
        <f>J31</f>
        <v>100</v>
      </c>
      <c r="X31" s="1305"/>
      <c r="Y31" s="3632"/>
      <c r="Z31" s="997" t="str">
        <f>Q31</f>
        <v>基础设施水平</v>
      </c>
      <c r="AA31" s="1309">
        <f>D31/F31</f>
        <v>1</v>
      </c>
      <c r="AB31" s="1309">
        <f>D31/H31</f>
        <v>1</v>
      </c>
      <c r="AC31" s="1309">
        <f>D31/J31</f>
        <v>1</v>
      </c>
    </row>
    <row r="32" spans="1:29" s="1060" customFormat="1" ht="20.25">
      <c r="A32" s="527"/>
      <c r="B32" s="516"/>
      <c r="C32" s="2051" t="s">
        <v>3468</v>
      </c>
      <c r="D32" s="507"/>
      <c r="E32" s="2051" t="s">
        <v>3468</v>
      </c>
      <c r="F32" s="505"/>
      <c r="G32" s="529" t="s">
        <v>3468</v>
      </c>
      <c r="H32" s="505"/>
      <c r="I32" s="529" t="s">
        <v>3468</v>
      </c>
      <c r="J32" s="505"/>
      <c r="K32" s="481"/>
      <c r="L32" s="1743"/>
      <c r="M32" s="1740"/>
      <c r="N32" s="1740"/>
      <c r="O32" s="1744"/>
      <c r="P32" s="3632"/>
      <c r="Q32" s="818"/>
      <c r="R32" s="1303"/>
      <c r="S32" s="1304"/>
      <c r="T32" s="1303"/>
      <c r="U32" s="1304"/>
      <c r="V32" s="1303"/>
      <c r="W32" s="1304"/>
      <c r="X32" s="1305"/>
      <c r="Y32" s="3632"/>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32"/>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2"/>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32"/>
      <c r="Q34" s="1306" t="str">
        <f t="shared" si="8"/>
        <v>毗邻道路的类型与等级</v>
      </c>
      <c r="R34" s="1307" t="s">
        <v>5</v>
      </c>
      <c r="S34" s="1308">
        <f t="shared" si="9"/>
        <v>100</v>
      </c>
      <c r="T34" s="1307" t="s">
        <v>5</v>
      </c>
      <c r="U34" s="1308">
        <f t="shared" si="10"/>
        <v>100</v>
      </c>
      <c r="V34" s="1307" t="s">
        <v>5</v>
      </c>
      <c r="W34" s="1308">
        <f t="shared" si="11"/>
        <v>100</v>
      </c>
      <c r="X34" s="1302"/>
      <c r="Y34" s="3632"/>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32"/>
      <c r="Q35" s="1306"/>
      <c r="R35" s="1307"/>
      <c r="S35" s="1308"/>
      <c r="T35" s="1307"/>
      <c r="U35" s="1308"/>
      <c r="V35" s="1307"/>
      <c r="W35" s="1308"/>
      <c r="X35" s="1302"/>
      <c r="Y35" s="3632"/>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32"/>
      <c r="Q36" s="1306" t="str">
        <f t="shared" si="8"/>
        <v>土地级别</v>
      </c>
      <c r="R36" s="1307" t="s">
        <v>5</v>
      </c>
      <c r="S36" s="1308">
        <f t="shared" si="9"/>
        <v>100</v>
      </c>
      <c r="T36" s="1307" t="s">
        <v>5</v>
      </c>
      <c r="U36" s="1308">
        <f t="shared" si="10"/>
        <v>100</v>
      </c>
      <c r="V36" s="1307" t="s">
        <v>5</v>
      </c>
      <c r="W36" s="1308">
        <f t="shared" si="11"/>
        <v>100</v>
      </c>
      <c r="X36" s="1302"/>
      <c r="Y36" s="3632"/>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32"/>
      <c r="Q37" s="1306">
        <f t="shared" si="8"/>
        <v>111</v>
      </c>
      <c r="R37" s="1307" t="s">
        <v>5</v>
      </c>
      <c r="S37" s="1308">
        <f t="shared" si="9"/>
        <v>100</v>
      </c>
      <c r="T37" s="1307" t="s">
        <v>5</v>
      </c>
      <c r="U37" s="1308">
        <f t="shared" si="10"/>
        <v>100</v>
      </c>
      <c r="V37" s="1307" t="s">
        <v>5</v>
      </c>
      <c r="W37" s="1308">
        <f t="shared" si="11"/>
        <v>100</v>
      </c>
      <c r="X37" s="1302"/>
      <c r="Y37" s="3632"/>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33" t="s">
        <v>499</v>
      </c>
      <c r="Q38" s="1306">
        <f t="shared" si="8"/>
        <v>111</v>
      </c>
      <c r="R38" s="1307" t="s">
        <v>5</v>
      </c>
      <c r="S38" s="1308">
        <f t="shared" si="9"/>
        <v>100</v>
      </c>
      <c r="T38" s="1307" t="s">
        <v>5</v>
      </c>
      <c r="U38" s="1308">
        <f t="shared" si="10"/>
        <v>100</v>
      </c>
      <c r="V38" s="1307" t="s">
        <v>5</v>
      </c>
      <c r="W38" s="1308">
        <f t="shared" si="11"/>
        <v>100</v>
      </c>
      <c r="X38" s="1302"/>
      <c r="Y38" s="3634"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34"/>
      <c r="Q39" s="1306">
        <f t="shared" si="8"/>
        <v>111</v>
      </c>
      <c r="R39" s="1310" t="s">
        <v>5</v>
      </c>
      <c r="S39" s="1311">
        <f t="shared" si="9"/>
        <v>100</v>
      </c>
      <c r="T39" s="1310" t="s">
        <v>5</v>
      </c>
      <c r="U39" s="1311">
        <f t="shared" si="10"/>
        <v>100</v>
      </c>
      <c r="V39" s="1310" t="s">
        <v>5</v>
      </c>
      <c r="W39" s="1311">
        <f t="shared" si="11"/>
        <v>100</v>
      </c>
      <c r="X39" s="1312"/>
      <c r="Y39" s="3634"/>
      <c r="Z39" s="1313">
        <f t="shared" si="12"/>
        <v>111</v>
      </c>
      <c r="AA39" s="1309">
        <f t="shared" si="3"/>
        <v>1</v>
      </c>
      <c r="AB39" s="1309">
        <f t="shared" si="4"/>
        <v>1</v>
      </c>
      <c r="AC39" s="1309">
        <f t="shared" si="5"/>
        <v>1</v>
      </c>
    </row>
    <row r="40" spans="1:29" ht="20.25">
      <c r="A40" s="2204" t="s">
        <v>2037</v>
      </c>
      <c r="B40" s="544" t="s">
        <v>501</v>
      </c>
      <c r="C40" s="545">
        <f>'[3]数据-汇总表'!D3</f>
        <v>25774.37</v>
      </c>
      <c r="D40" s="546">
        <v>100</v>
      </c>
      <c r="E40" s="545">
        <v>30551.17</v>
      </c>
      <c r="F40" s="546">
        <f>LOOKUP(E40,118:118,119:119)-LOOKUP(C40,118:118,119:119)+100</f>
        <v>100</v>
      </c>
      <c r="G40" s="545">
        <v>69893.14</v>
      </c>
      <c r="H40" s="546">
        <f>LOOKUP(G40,118:118,119:119)-LOOKUP(C40,118:118,119:119)+100</f>
        <v>102</v>
      </c>
      <c r="I40" s="547">
        <f>案例!D3</f>
        <v>77269.84</v>
      </c>
      <c r="J40" s="546">
        <f>LOOKUP(I40,118:118,119:119)-LOOKUP(C40,118:118,119:119)+100</f>
        <v>102</v>
      </c>
      <c r="K40" s="531"/>
      <c r="L40" s="1749"/>
      <c r="M40" s="1740"/>
      <c r="N40" s="1740"/>
      <c r="O40" s="1748"/>
      <c r="P40" s="3634"/>
      <c r="Q40" s="1306" t="str">
        <f>B40</f>
        <v>宗地面积</v>
      </c>
      <c r="R40" s="1307" t="s">
        <v>5</v>
      </c>
      <c r="S40" s="1308">
        <f t="shared" si="9"/>
        <v>100</v>
      </c>
      <c r="T40" s="1307" t="s">
        <v>5</v>
      </c>
      <c r="U40" s="1308">
        <f t="shared" si="10"/>
        <v>102</v>
      </c>
      <c r="V40" s="1307" t="s">
        <v>5</v>
      </c>
      <c r="W40" s="1308">
        <f t="shared" si="11"/>
        <v>102</v>
      </c>
      <c r="X40" s="1302"/>
      <c r="Y40" s="3634"/>
      <c r="Z40" s="1309" t="str">
        <f t="shared" si="12"/>
        <v>宗地面积</v>
      </c>
      <c r="AA40" s="1309">
        <f t="shared" si="3"/>
        <v>1</v>
      </c>
      <c r="AB40" s="1309">
        <f t="shared" si="4"/>
        <v>0.98039215686274506</v>
      </c>
      <c r="AC40" s="1309">
        <f t="shared" si="5"/>
        <v>0.98039215686274506</v>
      </c>
    </row>
    <row r="41" spans="1:29" ht="20.25">
      <c r="A41" s="543"/>
      <c r="B41" s="477" t="s">
        <v>502</v>
      </c>
      <c r="C41" s="548" t="s">
        <v>3473</v>
      </c>
      <c r="D41" s="490">
        <v>100</v>
      </c>
      <c r="E41" s="548" t="s">
        <v>3472</v>
      </c>
      <c r="F41" s="490">
        <f>SUMIF(120:120,E41,121:121)-SUMIF(120:120,C41,121:121)+100</f>
        <v>96</v>
      </c>
      <c r="G41" s="548" t="s">
        <v>3473</v>
      </c>
      <c r="H41" s="490">
        <f>SUMIF(120:120,G41,121:121)-SUMIF(120:120,C41,121:121)+100</f>
        <v>100</v>
      </c>
      <c r="I41" s="548" t="s">
        <v>3473</v>
      </c>
      <c r="J41" s="490">
        <f>SUMIF(120:120,I41,121:121)-SUMIF(120:120,C41,121:121)+100</f>
        <v>100</v>
      </c>
      <c r="K41" s="533">
        <v>4</v>
      </c>
      <c r="L41" s="1749"/>
      <c r="M41" s="1740"/>
      <c r="N41" s="1740"/>
      <c r="O41" s="1748"/>
      <c r="P41" s="3634"/>
      <c r="Q41" s="1306" t="str">
        <f t="shared" ref="Q41:Q47" si="13">B41</f>
        <v>宗地形状</v>
      </c>
      <c r="R41" s="1307" t="s">
        <v>5</v>
      </c>
      <c r="S41" s="1308">
        <f t="shared" si="9"/>
        <v>96</v>
      </c>
      <c r="T41" s="1307" t="s">
        <v>5</v>
      </c>
      <c r="U41" s="1308">
        <f t="shared" si="10"/>
        <v>100</v>
      </c>
      <c r="V41" s="1307" t="s">
        <v>5</v>
      </c>
      <c r="W41" s="1308">
        <f t="shared" si="11"/>
        <v>100</v>
      </c>
      <c r="X41" s="1302"/>
      <c r="Y41" s="3634"/>
      <c r="Z41" s="1309" t="str">
        <f t="shared" si="12"/>
        <v>宗地形状</v>
      </c>
      <c r="AA41" s="1309">
        <f t="shared" si="3"/>
        <v>1.0416666666666667</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34"/>
      <c r="Q42" s="1306" t="str">
        <f t="shared" si="13"/>
        <v>临街宽度及深度</v>
      </c>
      <c r="R42" s="1307" t="s">
        <v>5</v>
      </c>
      <c r="S42" s="1308">
        <f t="shared" si="9"/>
        <v>100</v>
      </c>
      <c r="T42" s="1307" t="s">
        <v>5</v>
      </c>
      <c r="U42" s="1308">
        <f t="shared" si="10"/>
        <v>100</v>
      </c>
      <c r="V42" s="1307" t="s">
        <v>5</v>
      </c>
      <c r="W42" s="1308">
        <f t="shared" si="11"/>
        <v>100</v>
      </c>
      <c r="X42" s="1302"/>
      <c r="Y42" s="3634"/>
      <c r="Z42" s="1309" t="str">
        <f t="shared" si="12"/>
        <v>临街宽度及深度</v>
      </c>
      <c r="AA42" s="1309">
        <f t="shared" si="3"/>
        <v>1</v>
      </c>
      <c r="AB42" s="1309">
        <f t="shared" si="4"/>
        <v>1</v>
      </c>
      <c r="AC42" s="1309">
        <f t="shared" si="5"/>
        <v>1</v>
      </c>
    </row>
    <row r="43" spans="1:29" s="1060" customFormat="1" ht="20.25">
      <c r="A43" s="549"/>
      <c r="B43" s="1554" t="s">
        <v>1776</v>
      </c>
      <c r="C43" s="550" t="s">
        <v>3468</v>
      </c>
      <c r="D43" s="235">
        <v>100</v>
      </c>
      <c r="E43" s="550" t="s">
        <v>3466</v>
      </c>
      <c r="F43" s="490">
        <f>SUMIF(124:124,E43,125:125)-SUMIF(124:124,C43,125:125)+100</f>
        <v>99</v>
      </c>
      <c r="G43" s="550" t="s">
        <v>3466</v>
      </c>
      <c r="H43" s="490">
        <f>SUMIF(124:124,G43,125:125)-SUMIF(124:124,C43,125:125)+100</f>
        <v>99</v>
      </c>
      <c r="I43" s="550" t="s">
        <v>3466</v>
      </c>
      <c r="J43" s="490">
        <f>SUMIF(124:124,I43,125:125)-SUMIF(124:124,C43,125:125)+100</f>
        <v>99</v>
      </c>
      <c r="K43" s="533">
        <v>1</v>
      </c>
      <c r="L43" s="1743"/>
      <c r="M43" s="1740"/>
      <c r="N43" s="1740"/>
      <c r="O43" s="1744"/>
      <c r="P43" s="3634"/>
      <c r="Q43" s="1306" t="str">
        <f t="shared" si="13"/>
        <v>宗地开发程度</v>
      </c>
      <c r="R43" s="1303" t="s">
        <v>5</v>
      </c>
      <c r="S43" s="1304">
        <f t="shared" si="9"/>
        <v>99</v>
      </c>
      <c r="T43" s="1303" t="s">
        <v>5</v>
      </c>
      <c r="U43" s="1304">
        <f t="shared" si="10"/>
        <v>99</v>
      </c>
      <c r="V43" s="1303" t="s">
        <v>5</v>
      </c>
      <c r="W43" s="1304">
        <f t="shared" si="11"/>
        <v>99</v>
      </c>
      <c r="X43" s="1305"/>
      <c r="Y43" s="3634"/>
      <c r="Z43" s="997" t="str">
        <f t="shared" si="12"/>
        <v>宗地开发程度</v>
      </c>
      <c r="AA43" s="997">
        <f t="shared" si="3"/>
        <v>1.0101010101010102</v>
      </c>
      <c r="AB43" s="997">
        <f t="shared" si="4"/>
        <v>1.0101010101010102</v>
      </c>
      <c r="AC43" s="997">
        <f t="shared" si="5"/>
        <v>1.0101010101010102</v>
      </c>
    </row>
    <row r="44" spans="1:29" ht="20.25">
      <c r="A44" s="543"/>
      <c r="B44" s="477" t="s">
        <v>504</v>
      </c>
      <c r="C44" s="548" t="s">
        <v>3467</v>
      </c>
      <c r="D44" s="490">
        <v>100</v>
      </c>
      <c r="E44" s="548" t="s">
        <v>3467</v>
      </c>
      <c r="F44" s="490">
        <f>SUMIF(126:126,E44,127:127)-SUMIF(126:126,C44,127:127)+100</f>
        <v>100</v>
      </c>
      <c r="G44" s="548" t="s">
        <v>3467</v>
      </c>
      <c r="H44" s="490">
        <f>SUMIF(126:126,G44,127:127)-SUMIF(126:126,C44,127:127)+100</f>
        <v>100</v>
      </c>
      <c r="I44" s="548" t="s">
        <v>3467</v>
      </c>
      <c r="J44" s="490">
        <f>SUMIF(126:126,I44,127:127)-SUMIF(126:126,C44,127:127)+100</f>
        <v>100</v>
      </c>
      <c r="K44" s="533">
        <v>2</v>
      </c>
      <c r="L44" s="1749"/>
      <c r="M44" s="1740"/>
      <c r="N44" s="1740"/>
      <c r="O44" s="1748"/>
      <c r="P44" s="3634" t="s">
        <v>499</v>
      </c>
      <c r="Q44" s="1306" t="str">
        <f t="shared" si="13"/>
        <v>工程地质条件</v>
      </c>
      <c r="R44" s="1307" t="s">
        <v>5</v>
      </c>
      <c r="S44" s="1308">
        <f t="shared" si="9"/>
        <v>100</v>
      </c>
      <c r="T44" s="1307" t="s">
        <v>5</v>
      </c>
      <c r="U44" s="1308">
        <f t="shared" si="10"/>
        <v>100</v>
      </c>
      <c r="V44" s="1307" t="s">
        <v>5</v>
      </c>
      <c r="W44" s="1308">
        <f t="shared" si="11"/>
        <v>100</v>
      </c>
      <c r="X44" s="1302"/>
      <c r="Y44" s="3634"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34"/>
      <c r="Q45" s="1306">
        <f t="shared" si="13"/>
        <v>111</v>
      </c>
      <c r="R45" s="1307" t="s">
        <v>5</v>
      </c>
      <c r="S45" s="1308">
        <f t="shared" si="9"/>
        <v>100</v>
      </c>
      <c r="T45" s="1307" t="s">
        <v>5</v>
      </c>
      <c r="U45" s="1308">
        <f t="shared" si="10"/>
        <v>100</v>
      </c>
      <c r="V45" s="1307" t="s">
        <v>5</v>
      </c>
      <c r="W45" s="1308">
        <f t="shared" si="11"/>
        <v>100</v>
      </c>
      <c r="X45" s="1302"/>
      <c r="Y45" s="3634"/>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34"/>
      <c r="Q46" s="1306">
        <f t="shared" si="13"/>
        <v>111</v>
      </c>
      <c r="R46" s="1307" t="s">
        <v>5</v>
      </c>
      <c r="S46" s="1308">
        <f t="shared" si="9"/>
        <v>100</v>
      </c>
      <c r="T46" s="1307" t="s">
        <v>5</v>
      </c>
      <c r="U46" s="1308">
        <f t="shared" si="10"/>
        <v>100</v>
      </c>
      <c r="V46" s="1307" t="s">
        <v>5</v>
      </c>
      <c r="W46" s="1308">
        <f t="shared" si="11"/>
        <v>100</v>
      </c>
      <c r="X46" s="1302"/>
      <c r="Y46" s="3634"/>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34"/>
      <c r="Q47" s="1306">
        <f t="shared" si="13"/>
        <v>111</v>
      </c>
      <c r="R47" s="1310" t="s">
        <v>5</v>
      </c>
      <c r="S47" s="1311">
        <f t="shared" si="9"/>
        <v>100</v>
      </c>
      <c r="T47" s="1310" t="s">
        <v>5</v>
      </c>
      <c r="U47" s="1311">
        <f t="shared" si="10"/>
        <v>100</v>
      </c>
      <c r="V47" s="1310" t="s">
        <v>5</v>
      </c>
      <c r="W47" s="1311">
        <f t="shared" si="11"/>
        <v>100</v>
      </c>
      <c r="X47" s="1312"/>
      <c r="Y47" s="3634"/>
      <c r="Z47" s="1313">
        <f t="shared" si="12"/>
        <v>111</v>
      </c>
      <c r="AA47" s="1309">
        <f t="shared" si="3"/>
        <v>1</v>
      </c>
      <c r="AB47" s="1309">
        <f t="shared" si="4"/>
        <v>1</v>
      </c>
      <c r="AC47" s="1309">
        <f t="shared" si="5"/>
        <v>1</v>
      </c>
    </row>
    <row r="48" spans="1:29" ht="20.25">
      <c r="A48" s="556" t="s">
        <v>505</v>
      </c>
      <c r="B48" s="557" t="s">
        <v>3507</v>
      </c>
      <c r="C48" s="558" t="s">
        <v>0</v>
      </c>
      <c r="D48" s="559"/>
      <c r="E48" s="560">
        <f>案例!Q6</f>
        <v>14486</v>
      </c>
      <c r="F48" s="561"/>
      <c r="G48" s="562">
        <f>案例!Q9</f>
        <v>18524</v>
      </c>
      <c r="H48" s="563"/>
      <c r="I48" s="560">
        <f>案例!Q3</f>
        <v>19406</v>
      </c>
      <c r="J48" s="563"/>
      <c r="K48" s="1135"/>
      <c r="L48" s="1751"/>
      <c r="M48" s="1740"/>
      <c r="N48" s="1740"/>
      <c r="O48" s="1742"/>
      <c r="P48" s="3598" t="str">
        <f>A48</f>
        <v>成交单价</v>
      </c>
      <c r="Q48" s="3598"/>
      <c r="R48" s="3599">
        <f>E48</f>
        <v>14486</v>
      </c>
      <c r="S48" s="3599"/>
      <c r="T48" s="3599">
        <f>G48</f>
        <v>18524</v>
      </c>
      <c r="U48" s="3599"/>
      <c r="V48" s="3599">
        <f>I48</f>
        <v>19406</v>
      </c>
      <c r="W48" s="3599"/>
      <c r="X48" s="799"/>
      <c r="Y48" s="1314"/>
      <c r="Z48" s="799"/>
      <c r="AA48" s="799"/>
      <c r="AB48" s="799"/>
      <c r="AC48" s="799"/>
    </row>
    <row r="49" spans="1:29" ht="21" thickBot="1">
      <c r="A49" s="564" t="s">
        <v>1975</v>
      </c>
      <c r="B49" s="565"/>
      <c r="C49" s="566">
        <f>R50</f>
        <v>15985</v>
      </c>
      <c r="D49" s="2550" t="s">
        <v>2250</v>
      </c>
      <c r="E49" s="566">
        <f>R49</f>
        <v>14577</v>
      </c>
      <c r="F49" s="2551"/>
      <c r="G49" s="567">
        <f>T49</f>
        <v>17033</v>
      </c>
      <c r="H49" s="2551"/>
      <c r="I49" s="566">
        <f>V49</f>
        <v>16345</v>
      </c>
      <c r="J49" s="2551"/>
      <c r="K49" s="2552">
        <f>F49+H49+J49</f>
        <v>0</v>
      </c>
      <c r="L49" s="1751"/>
      <c r="M49" s="1740"/>
      <c r="N49" s="1740"/>
      <c r="O49" s="1742"/>
      <c r="P49" s="3598" t="str">
        <f>A49</f>
        <v>比较价格（元/平方米）</v>
      </c>
      <c r="Q49" s="3598"/>
      <c r="R49" s="3600">
        <f>ROUND(PRODUCT(R48,AA9:AA47),0)</f>
        <v>14577</v>
      </c>
      <c r="S49" s="3600"/>
      <c r="T49" s="3600">
        <f>ROUND(PRODUCT(T48,AB9:AB47),0)</f>
        <v>17033</v>
      </c>
      <c r="U49" s="3600"/>
      <c r="V49" s="3600">
        <f>ROUND(PRODUCT(V48,AC9:AC47),0)</f>
        <v>16345</v>
      </c>
      <c r="W49" s="3600"/>
      <c r="X49" s="799"/>
      <c r="Y49" s="799"/>
      <c r="Z49" s="799"/>
      <c r="AA49" s="799"/>
      <c r="AB49" s="799"/>
      <c r="AC49" s="799"/>
    </row>
    <row r="50" spans="1:29" ht="21" thickBot="1">
      <c r="A50" s="568" t="s">
        <v>2187</v>
      </c>
      <c r="B50" s="569"/>
      <c r="C50" s="570">
        <f>R50</f>
        <v>15985</v>
      </c>
      <c r="D50" s="570"/>
      <c r="E50" s="570"/>
      <c r="F50" s="570"/>
      <c r="G50" s="570"/>
      <c r="H50" s="570"/>
      <c r="I50" s="570"/>
      <c r="J50" s="570"/>
      <c r="K50" s="1136"/>
      <c r="L50" s="1751"/>
      <c r="M50" s="1740"/>
      <c r="N50" s="1740"/>
      <c r="O50" s="1742"/>
      <c r="P50" s="3635" t="str">
        <f>A50</f>
        <v>估价对象XX用房的比较价格（楼面单价，元/平方米）</v>
      </c>
      <c r="Q50" s="3636"/>
      <c r="R50" s="3597">
        <f>ROUND(IF(D49="简单平均",AVERAGE(R49:W49),R49*F49+T49*H49+V49*J49),0)</f>
        <v>15985</v>
      </c>
      <c r="S50" s="3597"/>
      <c r="T50" s="3597"/>
      <c r="U50" s="3597"/>
      <c r="V50" s="3597"/>
      <c r="W50" s="3597"/>
      <c r="X50" s="799"/>
      <c r="Y50" s="799"/>
      <c r="Z50" s="799"/>
      <c r="AA50" s="799"/>
      <c r="AB50" s="799"/>
      <c r="AC50" s="799"/>
    </row>
    <row r="51" spans="1:29" ht="20.25">
      <c r="A51" s="2719"/>
      <c r="B51" s="2719"/>
      <c r="C51" s="2719"/>
      <c r="D51" s="2719"/>
      <c r="E51" s="2719"/>
      <c r="F51" s="2719"/>
      <c r="G51" s="2721"/>
      <c r="H51" s="2719"/>
      <c r="I51" s="2719"/>
      <c r="J51" s="2719"/>
      <c r="K51" s="2722"/>
      <c r="L51" s="1755"/>
      <c r="M51" s="1740"/>
      <c r="N51" s="1740"/>
      <c r="O51" s="1742"/>
      <c r="P51" s="1742"/>
      <c r="Q51" s="1742"/>
      <c r="R51" s="1742"/>
      <c r="S51" s="1742"/>
      <c r="T51" s="1742"/>
      <c r="U51" s="1742"/>
      <c r="V51" s="1742"/>
      <c r="W51" s="1742"/>
      <c r="X51" s="1742"/>
      <c r="Y51" s="1742"/>
      <c r="Z51" s="1742"/>
      <c r="AA51" s="1742"/>
      <c r="AB51" s="1742"/>
      <c r="AC51" s="1742"/>
    </row>
    <row r="52" spans="1:29" ht="20.25">
      <c r="A52" s="2719"/>
      <c r="B52" s="2719"/>
      <c r="C52" s="2719"/>
      <c r="D52" s="2719"/>
      <c r="E52" s="2719"/>
      <c r="F52" s="2719"/>
      <c r="G52" s="2719"/>
      <c r="H52" s="2719"/>
      <c r="I52" s="2719"/>
      <c r="J52" s="2719"/>
      <c r="K52" s="2722"/>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f>IF(E48&lt;E49,E49/E48-1,E48/E49-1)</f>
        <v>6.2819273781582474E-3</v>
      </c>
      <c r="F53" s="574" t="str">
        <f>IF(OR(E53&gt;=0.3,E53&lt;=-0.3),"超过30%","")</f>
        <v/>
      </c>
      <c r="G53" s="573">
        <f>IF(G48&lt;G49,G49/G48-1,G48/G49-1)</f>
        <v>8.7535959607820013E-2</v>
      </c>
      <c r="H53" s="574" t="str">
        <f>IF(OR(G53&gt;=0.3,G53&lt;=-0.3),"超过30%","")</f>
        <v/>
      </c>
      <c r="I53" s="573">
        <f>IF(I48&lt;I49,I49/I48-1,I48/I49-1)</f>
        <v>0.18727439583970629</v>
      </c>
      <c r="J53" s="574" t="str">
        <f>IF(OR(I53&gt;=0.3,I53&lt;=-0.3),"超过30%","")</f>
        <v/>
      </c>
      <c r="K53" s="2722"/>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f>IF(E49&lt;G49,G49/E49-1,E49/G49-1)</f>
        <v>0.16848459902586277</v>
      </c>
      <c r="F54" s="574" t="str">
        <f>IF(OR(E54&gt;=0.2,E54&lt;=-0.2),"超过20%","")</f>
        <v/>
      </c>
      <c r="G54" s="573">
        <f>IF(G49&lt;I49,I49/G49-1,G49/I49-1)</f>
        <v>4.2092382991740562E-2</v>
      </c>
      <c r="H54" s="574" t="str">
        <f>IF(OR(G54&gt;=0.2,G54&lt;=-0.2),"超过20%","")</f>
        <v/>
      </c>
      <c r="I54" s="573">
        <f>IF(I49&lt;E49,E49/I49-1,I49/E49-1)</f>
        <v>0.12128695890786867</v>
      </c>
      <c r="J54" s="574" t="str">
        <f>IF(OR(I54&gt;=0.2,I54&lt;=-0.2),"超过20%","")</f>
        <v/>
      </c>
      <c r="K54" s="2722"/>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f>IF(E48&lt;G48,G48/E48-1,E48/G48-1)</f>
        <v>0.27875189838464731</v>
      </c>
      <c r="F55" s="574" t="str">
        <f>IF(OR(E55&gt;=0.3,E55&lt;=-0.3),"超过30%","")</f>
        <v/>
      </c>
      <c r="G55" s="573">
        <f>IF(G48&lt;I48,I48/G48-1,G48/I48-1)</f>
        <v>4.761390628373996E-2</v>
      </c>
      <c r="H55" s="574" t="str">
        <f>IF(OR(G55&gt;=0.3,G55&lt;=-0.3),"超过30%","")</f>
        <v/>
      </c>
      <c r="I55" s="573">
        <f>IF(I48&lt;E48,E48/I48-1,I48/E48-1)</f>
        <v>0.33963827143448855</v>
      </c>
      <c r="J55" s="574" t="str">
        <f>IF(OR(I55&gt;=0.3,I55&lt;=-0.3),"超过30%","")</f>
        <v>超过30%</v>
      </c>
      <c r="K55" s="2723"/>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3"/>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24" t="s">
        <v>1639</v>
      </c>
      <c r="H57" s="3625"/>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f>C50</f>
        <v>15985</v>
      </c>
      <c r="C58" s="582">
        <v>1</v>
      </c>
      <c r="D58" s="1822">
        <v>1</v>
      </c>
      <c r="E58" s="582">
        <f>'数据-汇总表'!E8+'数据-汇总表'!E9</f>
        <v>5999.630000000001</v>
      </c>
      <c r="F58" s="583">
        <f t="shared" ref="F58:F66" si="14">ROUND(B58*E58/10000,0)</f>
        <v>9590</v>
      </c>
      <c r="G58" s="3626"/>
      <c r="H58" s="3627"/>
      <c r="I58" s="1298">
        <v>1</v>
      </c>
      <c r="J58" s="1298">
        <v>1</v>
      </c>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f>ROUND($C$50*C59*D59,0)</f>
        <v>2398</v>
      </c>
      <c r="C59" s="348">
        <f t="shared" ref="C59:C66" si="15">IF($C$57="北京市系数",I59,J59)</f>
        <v>0.6</v>
      </c>
      <c r="D59" s="1823">
        <v>0.25</v>
      </c>
      <c r="E59" s="586">
        <v>0</v>
      </c>
      <c r="F59" s="583">
        <f t="shared" si="14"/>
        <v>0</v>
      </c>
      <c r="G59" s="3025" t="s">
        <v>1640</v>
      </c>
      <c r="H59" s="1607" t="str">
        <f>项目基本情况!B43</f>
        <v>七级</v>
      </c>
      <c r="I59" s="1298">
        <f>SUMIF(修正!$A$59:$A$70,H59,修正!B59:B70)</f>
        <v>0.6</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f t="shared" ref="B60:B66" si="16">ROUND($C$50*C60*D60,0)</f>
        <v>1199</v>
      </c>
      <c r="C60" s="348">
        <f t="shared" si="15"/>
        <v>0.3</v>
      </c>
      <c r="D60" s="1823">
        <v>0.25</v>
      </c>
      <c r="E60" s="586">
        <v>0</v>
      </c>
      <c r="F60" s="583">
        <f t="shared" si="14"/>
        <v>0</v>
      </c>
      <c r="G60" s="3026"/>
      <c r="H60" s="1607" t="str">
        <f>项目基本情况!B43</f>
        <v>七级</v>
      </c>
      <c r="I60" s="1298">
        <f>SUMIF(修正!$A$59:$A$70,H60,修正!C59:C70)</f>
        <v>0.3</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f t="shared" si="16"/>
        <v>999</v>
      </c>
      <c r="C61" s="348">
        <f t="shared" si="15"/>
        <v>0.25</v>
      </c>
      <c r="D61" s="1823">
        <v>0.25</v>
      </c>
      <c r="E61" s="586">
        <v>0</v>
      </c>
      <c r="F61" s="583">
        <f t="shared" si="14"/>
        <v>0</v>
      </c>
      <c r="G61" s="3026"/>
      <c r="H61" s="1607" t="str">
        <f>项目基本情况!B43</f>
        <v>七级</v>
      </c>
      <c r="I61" s="1298">
        <f>SUMIF(修正!$A$59:$A$70,H61,修正!D59:D70)</f>
        <v>0.25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f t="shared" si="16"/>
        <v>999</v>
      </c>
      <c r="C62" s="348">
        <f t="shared" si="15"/>
        <v>0.25</v>
      </c>
      <c r="D62" s="1823">
        <v>0.25</v>
      </c>
      <c r="E62" s="588">
        <f>'数据-汇总表'!E11</f>
        <v>0</v>
      </c>
      <c r="F62" s="583">
        <f t="shared" si="14"/>
        <v>0</v>
      </c>
      <c r="G62" s="1604" t="s">
        <v>1641</v>
      </c>
      <c r="H62" s="1607" t="str">
        <f>项目基本情况!C43</f>
        <v>七级</v>
      </c>
      <c r="I62" s="1298">
        <f>SUMIF(修正!$A$59:$A$70,H62,修正!E59:E70)</f>
        <v>0.25</v>
      </c>
      <c r="J62" s="1299"/>
      <c r="K62" s="2724"/>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f t="shared" si="16"/>
        <v>999</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SUMIF(修正!$A$59:$A$70,H63,修正!F59:F70)</f>
        <v>0.25</v>
      </c>
      <c r="J63" s="1299"/>
      <c r="K63" s="2724"/>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f t="shared" si="16"/>
        <v>599</v>
      </c>
      <c r="C64" s="348">
        <f t="shared" si="15"/>
        <v>0.15</v>
      </c>
      <c r="D64" s="1823">
        <v>0.25</v>
      </c>
      <c r="E64" s="588">
        <f>'数据-汇总表'!E13</f>
        <v>3741.06</v>
      </c>
      <c r="F64" s="583">
        <f t="shared" si="14"/>
        <v>224</v>
      </c>
      <c r="G64" s="1605" t="s">
        <v>851</v>
      </c>
      <c r="H64" s="1603" t="str">
        <f>IF(G64="商业",项目基本情况!B43,IF(G64="办公",项目基本情况!C43,IF(G64="住宅",项目基本情况!D43,项目基本情况!E43)))</f>
        <v>七级</v>
      </c>
      <c r="I64" s="1298">
        <f>SUMIF(修正!$A$59:$A$70,H64,修正!G59:G70)</f>
        <v>0.15</v>
      </c>
      <c r="J64" s="1299"/>
      <c r="K64" s="2724"/>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f t="shared" si="16"/>
        <v>599</v>
      </c>
      <c r="C65" s="348">
        <f t="shared" si="15"/>
        <v>0.15</v>
      </c>
      <c r="D65" s="1823">
        <v>0.25</v>
      </c>
      <c r="E65" s="588">
        <f>'数据-汇总表'!E14</f>
        <v>0</v>
      </c>
      <c r="F65" s="583">
        <f t="shared" si="14"/>
        <v>0</v>
      </c>
      <c r="G65" s="1604" t="s">
        <v>1640</v>
      </c>
      <c r="H65" s="1607" t="str">
        <f>项目基本情况!B43</f>
        <v>七级</v>
      </c>
      <c r="I65" s="1298">
        <f>SUMIF(修正!$A$59:$A$70,H65,修正!G59:G70)</f>
        <v>0.15</v>
      </c>
      <c r="J65" s="1299"/>
      <c r="K65" s="2724"/>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f t="shared" si="16"/>
        <v>599</v>
      </c>
      <c r="C66" s="348">
        <f t="shared" si="15"/>
        <v>0.15</v>
      </c>
      <c r="D66" s="1823">
        <v>0.25</v>
      </c>
      <c r="E66" s="588">
        <f>'数据-汇总表'!E15</f>
        <v>0</v>
      </c>
      <c r="F66" s="583">
        <f t="shared" si="14"/>
        <v>0</v>
      </c>
      <c r="G66" s="1606" t="s">
        <v>1641</v>
      </c>
      <c r="H66" s="1608" t="str">
        <f>项目基本情况!C43</f>
        <v>七级</v>
      </c>
      <c r="I66" s="1298">
        <f>SUMIF(修正!$A$59:$A$70,H66,修正!G59:G70)</f>
        <v>0.15</v>
      </c>
      <c r="J66" s="1299"/>
      <c r="K66" s="2724"/>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9740.69</v>
      </c>
      <c r="F67" s="591">
        <f>IF(B48="楼面地价",SUM(F58:F66),ROUND(C50*E67/10000,0))</f>
        <v>9814</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2025-9-1</v>
      </c>
      <c r="D69" s="2111">
        <f>EDATE(C69,-3)</f>
        <v>45809</v>
      </c>
      <c r="E69" s="2111">
        <f t="shared" ref="E69:N69" si="17">EDATE(D69,-3)</f>
        <v>45717</v>
      </c>
      <c r="F69" s="2111">
        <f t="shared" si="17"/>
        <v>45627</v>
      </c>
      <c r="G69" s="2111">
        <f t="shared" si="17"/>
        <v>45536</v>
      </c>
      <c r="H69" s="2111">
        <f t="shared" si="17"/>
        <v>45444</v>
      </c>
      <c r="I69" s="2111">
        <f t="shared" si="17"/>
        <v>45352</v>
      </c>
      <c r="J69" s="2111">
        <f t="shared" si="17"/>
        <v>45261</v>
      </c>
      <c r="K69" s="2111">
        <f t="shared" si="17"/>
        <v>45170</v>
      </c>
      <c r="L69" s="2111">
        <f t="shared" si="17"/>
        <v>45078</v>
      </c>
      <c r="M69" s="2111">
        <f t="shared" si="17"/>
        <v>44986</v>
      </c>
      <c r="N69" s="2111">
        <f t="shared" si="17"/>
        <v>44896</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18" t="s">
        <v>1469</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3421" t="s">
        <v>3514</v>
      </c>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v>100</v>
      </c>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98</v>
      </c>
      <c r="E102" s="621">
        <f>D102-$K29</f>
        <v>96</v>
      </c>
      <c r="F102" s="621">
        <f>E102-$K29</f>
        <v>94</v>
      </c>
      <c r="G102" s="621">
        <f>F102-$K29</f>
        <v>92</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C119+2</f>
        <v>102</v>
      </c>
      <c r="E119" s="666">
        <f t="shared" ref="E119:F119" si="25">D119+2</f>
        <v>104</v>
      </c>
      <c r="F119" s="666">
        <f t="shared" si="25"/>
        <v>106</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19" t="s">
        <v>3462</v>
      </c>
      <c r="D120" s="3419" t="s">
        <v>3463</v>
      </c>
      <c r="E120" s="3419" t="s">
        <v>3464</v>
      </c>
      <c r="F120" s="3419" t="s">
        <v>3465</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1166" t="str">
        <f>C101</f>
        <v>好</v>
      </c>
      <c r="D122" s="1166" t="str">
        <f>D101</f>
        <v>较好</v>
      </c>
      <c r="E122" s="1166" t="str">
        <f>E101</f>
        <v>一般</v>
      </c>
      <c r="F122" s="1166" t="str">
        <f>F101</f>
        <v>较差</v>
      </c>
      <c r="G122" s="1166" t="str">
        <f>G101</f>
        <v>差</v>
      </c>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4" stopIfTrue="1">
      <formula>$F$53="超过30%"</formula>
    </cfRule>
  </conditionalFormatting>
  <conditionalFormatting sqref="E54">
    <cfRule type="expression" dxfId="132" priority="12" stopIfTrue="1">
      <formula>$F$54="超过20%"</formula>
    </cfRule>
  </conditionalFormatting>
  <conditionalFormatting sqref="E55">
    <cfRule type="expression" dxfId="131" priority="11" stopIfTrue="1">
      <formula>$F$55="超过30%"</formula>
    </cfRule>
  </conditionalFormatting>
  <conditionalFormatting sqref="F9:F47 H9:H47 J9:J47">
    <cfRule type="cellIs" dxfId="130" priority="2" operator="notEqual">
      <formula>100</formula>
    </cfRule>
  </conditionalFormatting>
  <conditionalFormatting sqref="F49">
    <cfRule type="expression" dxfId="129" priority="5">
      <formula>$D$49="简单平均"</formula>
    </cfRule>
  </conditionalFormatting>
  <conditionalFormatting sqref="F53:F55 H53:H55 J53:J55">
    <cfRule type="containsText" dxfId="128" priority="15" stopIfTrue="1" operator="containsText" text="超过">
      <formula>NOT(ISERROR(SEARCH("超过",F53)))</formula>
    </cfRule>
  </conditionalFormatting>
  <conditionalFormatting sqref="G53">
    <cfRule type="expression" dxfId="127" priority="10" stopIfTrue="1">
      <formula>$H$55+$H$53="超过30%"</formula>
    </cfRule>
  </conditionalFormatting>
  <conditionalFormatting sqref="G54">
    <cfRule type="expression" dxfId="126" priority="9" stopIfTrue="1">
      <formula>$H$54="超过20%"</formula>
    </cfRule>
  </conditionalFormatting>
  <conditionalFormatting sqref="G55">
    <cfRule type="expression" dxfId="125" priority="13" stopIfTrue="1">
      <formula>$H$55="超过30%"</formula>
    </cfRule>
  </conditionalFormatting>
  <conditionalFormatting sqref="I53">
    <cfRule type="expression" dxfId="124" priority="8" stopIfTrue="1">
      <formula>$J$53="超过30%"</formula>
    </cfRule>
  </conditionalFormatting>
  <conditionalFormatting sqref="I54">
    <cfRule type="expression" dxfId="123" priority="7" stopIfTrue="1">
      <formula>$J$54="超过20%"</formula>
    </cfRule>
  </conditionalFormatting>
  <conditionalFormatting sqref="I55">
    <cfRule type="expression" dxfId="122" priority="6" stopIfTrue="1">
      <formula>$J$55="超过30%"</formula>
    </cfRule>
  </conditionalFormatting>
  <conditionalFormatting sqref="J49">
    <cfRule type="expression" dxfId="121" priority="3">
      <formula>$D$49="简单平均"</formula>
    </cfRule>
  </conditionalFormatting>
  <conditionalFormatting sqref="H49">
    <cfRule type="expression" dxfId="120"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7"/>
      <c r="D2" s="2727"/>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6"/>
      <c r="D3" s="2726"/>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6"/>
      <c r="D4" s="2726"/>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2718"/>
      <c r="AC5" s="1674"/>
    </row>
    <row r="6" spans="1:29" ht="15">
      <c r="A6" s="463" t="s">
        <v>470</v>
      </c>
      <c r="B6" s="464"/>
      <c r="C6" s="3604" t="s">
        <v>471</v>
      </c>
      <c r="D6" s="3605"/>
      <c r="E6" s="3639" t="s">
        <v>472</v>
      </c>
      <c r="F6" s="3640"/>
      <c r="G6" s="3604" t="s">
        <v>473</v>
      </c>
      <c r="H6" s="3605"/>
      <c r="I6" s="3604" t="s">
        <v>474</v>
      </c>
      <c r="J6" s="3605"/>
      <c r="K6" s="465" t="s">
        <v>475</v>
      </c>
      <c r="L6" s="1741"/>
      <c r="M6" s="1742"/>
      <c r="N6" s="1742"/>
      <c r="O6" s="1742"/>
      <c r="P6" s="3606" t="s">
        <v>476</v>
      </c>
      <c r="Q6" s="3607"/>
      <c r="R6" s="3612" t="s">
        <v>472</v>
      </c>
      <c r="S6" s="3613"/>
      <c r="T6" s="3612" t="s">
        <v>473</v>
      </c>
      <c r="U6" s="3613"/>
      <c r="V6" s="3599" t="s">
        <v>474</v>
      </c>
      <c r="W6" s="3599"/>
      <c r="X6" s="1302"/>
      <c r="Y6" s="3612" t="s">
        <v>476</v>
      </c>
      <c r="Z6" s="3613"/>
      <c r="AA6" s="3601" t="s">
        <v>472</v>
      </c>
      <c r="AB6" s="3602" t="s">
        <v>473</v>
      </c>
      <c r="AC6" s="3601" t="s">
        <v>474</v>
      </c>
    </row>
    <row r="7" spans="1:29" ht="15">
      <c r="A7" s="466"/>
      <c r="B7" s="467"/>
      <c r="C7" s="3620" t="s">
        <v>2181</v>
      </c>
      <c r="D7" s="3621"/>
      <c r="E7" s="3641" t="s">
        <v>2182</v>
      </c>
      <c r="F7" s="3642"/>
      <c r="G7" s="3620" t="s">
        <v>2183</v>
      </c>
      <c r="H7" s="3621"/>
      <c r="I7" s="3620" t="s">
        <v>2184</v>
      </c>
      <c r="J7" s="3621"/>
      <c r="K7" s="465"/>
      <c r="L7" s="1741"/>
      <c r="M7" s="1742"/>
      <c r="N7" s="1742"/>
      <c r="O7" s="1742"/>
      <c r="P7" s="3608"/>
      <c r="Q7" s="3609"/>
      <c r="R7" s="3614"/>
      <c r="S7" s="3615"/>
      <c r="T7" s="3614"/>
      <c r="U7" s="3615"/>
      <c r="V7" s="3599"/>
      <c r="W7" s="3599"/>
      <c r="X7" s="1302"/>
      <c r="Y7" s="3614"/>
      <c r="Z7" s="3615"/>
      <c r="AA7" s="3602"/>
      <c r="AB7" s="3602"/>
      <c r="AC7" s="3602"/>
    </row>
    <row r="8" spans="1:29" ht="15.75" thickBot="1">
      <c r="A8" s="468"/>
      <c r="B8" s="469"/>
      <c r="C8" s="3618" t="s">
        <v>2185</v>
      </c>
      <c r="D8" s="3619"/>
      <c r="E8" s="3637" t="s">
        <v>2185</v>
      </c>
      <c r="F8" s="3638"/>
      <c r="G8" s="3618" t="s">
        <v>2185</v>
      </c>
      <c r="H8" s="3619"/>
      <c r="I8" s="3618" t="s">
        <v>2185</v>
      </c>
      <c r="J8" s="3619"/>
      <c r="K8" s="465" t="s">
        <v>477</v>
      </c>
      <c r="L8" s="1741"/>
      <c r="M8" s="1742"/>
      <c r="N8" s="1742"/>
      <c r="O8" s="1742"/>
      <c r="P8" s="3610"/>
      <c r="Q8" s="3611"/>
      <c r="R8" s="3614"/>
      <c r="S8" s="3615"/>
      <c r="T8" s="3616"/>
      <c r="U8" s="3617"/>
      <c r="V8" s="3599"/>
      <c r="W8" s="3599"/>
      <c r="X8" s="1302"/>
      <c r="Y8" s="3616"/>
      <c r="Z8" s="3617"/>
      <c r="AA8" s="3603"/>
      <c r="AB8" s="3603"/>
      <c r="AC8" s="3603"/>
    </row>
    <row r="9" spans="1:29" s="1060" customFormat="1" ht="15.75" thickBot="1">
      <c r="A9" s="2209"/>
      <c r="B9" s="2216" t="s">
        <v>478</v>
      </c>
      <c r="C9" s="470">
        <f>'数据-取费表'!B2</f>
        <v>45908</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28" t="s">
        <v>479</v>
      </c>
      <c r="Q9" s="3630"/>
      <c r="R9" s="1303" t="s">
        <v>5</v>
      </c>
      <c r="S9" s="1304">
        <f t="shared" ref="S9:S17" si="0">F9</f>
        <v>0</v>
      </c>
      <c r="T9" s="1303" t="s">
        <v>5</v>
      </c>
      <c r="U9" s="1304">
        <f t="shared" ref="U9:U17" si="1">H9</f>
        <v>0</v>
      </c>
      <c r="V9" s="1303" t="s">
        <v>5</v>
      </c>
      <c r="W9" s="1304">
        <f t="shared" ref="W9:W17" si="2">J9</f>
        <v>0</v>
      </c>
      <c r="X9" s="1305"/>
      <c r="Y9" s="3628" t="s">
        <v>479</v>
      </c>
      <c r="Z9" s="3629"/>
      <c r="AA9" s="997" t="e">
        <f>D9/F9</f>
        <v>#DIV/0!</v>
      </c>
      <c r="AB9" s="997" t="e">
        <f>D9/H9</f>
        <v>#DIV/0!</v>
      </c>
      <c r="AC9" s="997" t="e">
        <f>D9/J9</f>
        <v>#DIV/0!</v>
      </c>
    </row>
    <row r="10" spans="1:29" s="1060"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28" t="s">
        <v>482</v>
      </c>
      <c r="Q10" s="3629"/>
      <c r="R10" s="1303" t="s">
        <v>5</v>
      </c>
      <c r="S10" s="1304">
        <f t="shared" si="0"/>
        <v>0</v>
      </c>
      <c r="T10" s="1303" t="s">
        <v>5</v>
      </c>
      <c r="U10" s="1304">
        <f t="shared" si="1"/>
        <v>0</v>
      </c>
      <c r="V10" s="1303" t="s">
        <v>5</v>
      </c>
      <c r="W10" s="1304">
        <f t="shared" si="2"/>
        <v>0</v>
      </c>
      <c r="X10" s="1305"/>
      <c r="Y10" s="3628" t="s">
        <v>482</v>
      </c>
      <c r="Z10" s="3629"/>
      <c r="AA10" s="997" t="e">
        <f t="shared" ref="AA10:AA42" si="3">D10/F10</f>
        <v>#DIV/0!</v>
      </c>
      <c r="AB10" s="997" t="e">
        <f t="shared" ref="AB10:AB42" si="4">D10/H10</f>
        <v>#DIV/0!</v>
      </c>
      <c r="AC10" s="997" t="e">
        <f t="shared" ref="AC10:AC42" si="5">D10/J10</f>
        <v>#DIV/0!</v>
      </c>
    </row>
    <row r="11" spans="1:29" s="1060"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8" t="s">
        <v>484</v>
      </c>
      <c r="Q11" s="818" t="str">
        <f t="shared" ref="Q11:Q17" si="6">B11</f>
        <v>用途</v>
      </c>
      <c r="R11" s="1303" t="s">
        <v>5</v>
      </c>
      <c r="S11" s="1304">
        <f t="shared" si="0"/>
        <v>100</v>
      </c>
      <c r="T11" s="1303" t="s">
        <v>5</v>
      </c>
      <c r="U11" s="1304">
        <f t="shared" si="1"/>
        <v>100</v>
      </c>
      <c r="V11" s="1303" t="s">
        <v>5</v>
      </c>
      <c r="W11" s="1304">
        <f t="shared" si="2"/>
        <v>100</v>
      </c>
      <c r="X11" s="1305"/>
      <c r="Y11" s="3542" t="s">
        <v>485</v>
      </c>
      <c r="Z11" s="997" t="str">
        <f t="shared" ref="Z11:Z17" si="7">Q11</f>
        <v>用途</v>
      </c>
      <c r="AA11" s="997">
        <f t="shared" si="3"/>
        <v>1</v>
      </c>
      <c r="AB11" s="997">
        <f t="shared" si="4"/>
        <v>1</v>
      </c>
      <c r="AC11" s="997">
        <f t="shared" si="5"/>
        <v>1</v>
      </c>
    </row>
    <row r="12" spans="1:29" s="1133" customFormat="1" ht="27">
      <c r="A12" s="2212"/>
      <c r="B12" s="2217" t="s">
        <v>2039</v>
      </c>
      <c r="C12" s="478"/>
      <c r="D12" s="235">
        <v>100</v>
      </c>
      <c r="E12" s="478"/>
      <c r="F12" s="235">
        <f>ROUND(100/'数据-取费表'!G16,0)</f>
        <v>101</v>
      </c>
      <c r="G12" s="478"/>
      <c r="H12" s="235">
        <f>ROUND(100/'数据-取费表'!G16,0)</f>
        <v>101</v>
      </c>
      <c r="I12" s="478"/>
      <c r="J12" s="235">
        <f>ROUND(100/'数据-取费表'!G16,0)</f>
        <v>101</v>
      </c>
      <c r="K12" s="481"/>
      <c r="L12" s="1745"/>
      <c r="M12" s="1778"/>
      <c r="N12" s="1778"/>
      <c r="O12" s="1746"/>
      <c r="P12" s="3598"/>
      <c r="Q12" s="818" t="str">
        <f t="shared" si="6"/>
        <v>土地使用年限（年）</v>
      </c>
      <c r="R12" s="1303" t="s">
        <v>5</v>
      </c>
      <c r="S12" s="1304">
        <f t="shared" si="0"/>
        <v>101</v>
      </c>
      <c r="T12" s="1303" t="s">
        <v>5</v>
      </c>
      <c r="U12" s="1304">
        <f t="shared" si="1"/>
        <v>101</v>
      </c>
      <c r="V12" s="1303" t="s">
        <v>5</v>
      </c>
      <c r="W12" s="1304">
        <f t="shared" si="2"/>
        <v>101</v>
      </c>
      <c r="X12" s="1305"/>
      <c r="Y12" s="3542"/>
      <c r="Z12" s="997" t="str">
        <f t="shared" si="7"/>
        <v>土地使用年限（年）</v>
      </c>
      <c r="AA12" s="997">
        <f t="shared" si="3"/>
        <v>0.99009900990099009</v>
      </c>
      <c r="AB12" s="997">
        <f t="shared" si="4"/>
        <v>0.99009900990099009</v>
      </c>
      <c r="AC12" s="997">
        <f t="shared" si="5"/>
        <v>0.99009900990099009</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8"/>
      <c r="Q13" s="818" t="str">
        <f t="shared" si="6"/>
        <v>容积率</v>
      </c>
      <c r="R13" s="1303" t="s">
        <v>5</v>
      </c>
      <c r="S13" s="1304" t="e">
        <f t="shared" si="0"/>
        <v>#N/A</v>
      </c>
      <c r="T13" s="1303" t="s">
        <v>5</v>
      </c>
      <c r="U13" s="1304" t="e">
        <f t="shared" si="1"/>
        <v>#N/A</v>
      </c>
      <c r="V13" s="1303" t="s">
        <v>5</v>
      </c>
      <c r="W13" s="1304" t="e">
        <f t="shared" si="2"/>
        <v>#N/A</v>
      </c>
      <c r="X13" s="1305"/>
      <c r="Y13" s="3542"/>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8"/>
      <c r="Q14" s="818">
        <f t="shared" si="6"/>
        <v>111</v>
      </c>
      <c r="R14" s="1303" t="s">
        <v>5</v>
      </c>
      <c r="S14" s="1304">
        <f t="shared" si="0"/>
        <v>100</v>
      </c>
      <c r="T14" s="1303" t="s">
        <v>5</v>
      </c>
      <c r="U14" s="1304">
        <f t="shared" si="1"/>
        <v>100</v>
      </c>
      <c r="V14" s="1303" t="s">
        <v>5</v>
      </c>
      <c r="W14" s="1304">
        <f t="shared" si="2"/>
        <v>100</v>
      </c>
      <c r="X14" s="1305"/>
      <c r="Y14" s="3542"/>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8"/>
      <c r="Q15" s="818">
        <f t="shared" si="6"/>
        <v>111</v>
      </c>
      <c r="R15" s="1303" t="s">
        <v>5</v>
      </c>
      <c r="S15" s="1304">
        <f t="shared" si="0"/>
        <v>100</v>
      </c>
      <c r="T15" s="1303" t="s">
        <v>5</v>
      </c>
      <c r="U15" s="1304">
        <f t="shared" si="1"/>
        <v>100</v>
      </c>
      <c r="V15" s="1303" t="s">
        <v>5</v>
      </c>
      <c r="W15" s="1304">
        <f t="shared" si="2"/>
        <v>100</v>
      </c>
      <c r="X15" s="1305"/>
      <c r="Y15" s="3542"/>
      <c r="Z15" s="997">
        <f t="shared" si="7"/>
        <v>111</v>
      </c>
      <c r="AA15" s="997">
        <f t="shared" si="3"/>
        <v>1</v>
      </c>
      <c r="AB15" s="997">
        <f t="shared" si="4"/>
        <v>1</v>
      </c>
      <c r="AC15" s="997">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8"/>
      <c r="Q16" s="818">
        <f t="shared" si="6"/>
        <v>111</v>
      </c>
      <c r="R16" s="1303" t="s">
        <v>5</v>
      </c>
      <c r="S16" s="1304">
        <f t="shared" si="0"/>
        <v>100</v>
      </c>
      <c r="T16" s="1303" t="s">
        <v>5</v>
      </c>
      <c r="U16" s="1304">
        <f t="shared" si="1"/>
        <v>100</v>
      </c>
      <c r="V16" s="1303" t="s">
        <v>5</v>
      </c>
      <c r="W16" s="1304">
        <f t="shared" si="2"/>
        <v>100</v>
      </c>
      <c r="X16" s="1305"/>
      <c r="Y16" s="3542"/>
      <c r="Z16" s="997">
        <f t="shared" si="7"/>
        <v>111</v>
      </c>
      <c r="AA16" s="997">
        <f t="shared" si="3"/>
        <v>1</v>
      </c>
      <c r="AB16" s="997">
        <f t="shared" si="4"/>
        <v>1</v>
      </c>
      <c r="AC16" s="997">
        <f t="shared" si="5"/>
        <v>1</v>
      </c>
    </row>
    <row r="17" spans="1:29" ht="15">
      <c r="A17" s="2207"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31" t="s">
        <v>489</v>
      </c>
      <c r="Q17" s="1306" t="str">
        <f t="shared" si="6"/>
        <v>产业集聚程度</v>
      </c>
      <c r="R17" s="1307" t="s">
        <v>5</v>
      </c>
      <c r="S17" s="1308">
        <f t="shared" si="0"/>
        <v>100</v>
      </c>
      <c r="T17" s="1307" t="s">
        <v>5</v>
      </c>
      <c r="U17" s="1308">
        <f t="shared" si="1"/>
        <v>100</v>
      </c>
      <c r="V17" s="1307" t="s">
        <v>5</v>
      </c>
      <c r="W17" s="1308">
        <f t="shared" si="2"/>
        <v>100</v>
      </c>
      <c r="X17" s="1302"/>
      <c r="Y17" s="3631"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32"/>
      <c r="Q18" s="1306"/>
      <c r="R18" s="1307"/>
      <c r="S18" s="1308"/>
      <c r="T18" s="1307"/>
      <c r="U18" s="1308"/>
      <c r="V18" s="1307"/>
      <c r="W18" s="1308"/>
      <c r="X18" s="1302"/>
      <c r="Y18" s="3632"/>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32"/>
      <c r="Q19" s="1306" t="str">
        <f>B19</f>
        <v>交通便捷度</v>
      </c>
      <c r="R19" s="1307" t="s">
        <v>5</v>
      </c>
      <c r="S19" s="1308">
        <f>F19</f>
        <v>100</v>
      </c>
      <c r="T19" s="1307" t="s">
        <v>5</v>
      </c>
      <c r="U19" s="1308">
        <f>H19</f>
        <v>100</v>
      </c>
      <c r="V19" s="1307" t="s">
        <v>5</v>
      </c>
      <c r="W19" s="1308">
        <f>J19</f>
        <v>100</v>
      </c>
      <c r="X19" s="1302"/>
      <c r="Y19" s="3632"/>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32"/>
      <c r="Q20" s="1306"/>
      <c r="R20" s="1307"/>
      <c r="S20" s="1308"/>
      <c r="T20" s="1307"/>
      <c r="U20" s="1308"/>
      <c r="V20" s="1307"/>
      <c r="W20" s="1308"/>
      <c r="X20" s="1302"/>
      <c r="Y20" s="3632"/>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32"/>
      <c r="Q21" s="1306" t="str">
        <f t="shared" ref="Q21:Q35" si="8">B21</f>
        <v>区域土地利用方向</v>
      </c>
      <c r="R21" s="1307" t="s">
        <v>5</v>
      </c>
      <c r="S21" s="1308">
        <f>F21</f>
        <v>100</v>
      </c>
      <c r="T21" s="1307" t="s">
        <v>5</v>
      </c>
      <c r="U21" s="1308">
        <f>H21</f>
        <v>100</v>
      </c>
      <c r="V21" s="1307" t="s">
        <v>5</v>
      </c>
      <c r="W21" s="1308">
        <f>J21</f>
        <v>100</v>
      </c>
      <c r="X21" s="1302"/>
      <c r="Y21" s="3632"/>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32"/>
      <c r="Q22" s="1306"/>
      <c r="R22" s="1307"/>
      <c r="S22" s="1308"/>
      <c r="T22" s="1307"/>
      <c r="U22" s="1308"/>
      <c r="V22" s="1307"/>
      <c r="W22" s="1308"/>
      <c r="X22" s="1302"/>
      <c r="Y22" s="3632"/>
      <c r="Z22" s="1309"/>
      <c r="AA22" s="1309"/>
      <c r="AB22" s="1309"/>
      <c r="AC22" s="1309"/>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32"/>
      <c r="Q23" s="1306" t="str">
        <f t="shared" si="8"/>
        <v>环境状况</v>
      </c>
      <c r="R23" s="1307" t="s">
        <v>5</v>
      </c>
      <c r="S23" s="1308">
        <f>F23</f>
        <v>100</v>
      </c>
      <c r="T23" s="1307" t="s">
        <v>5</v>
      </c>
      <c r="U23" s="1308">
        <f>H23</f>
        <v>100</v>
      </c>
      <c r="V23" s="1307" t="s">
        <v>5</v>
      </c>
      <c r="W23" s="1308">
        <f>J23</f>
        <v>100</v>
      </c>
      <c r="X23" s="1302"/>
      <c r="Y23" s="3632"/>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32"/>
      <c r="Q24" s="1306"/>
      <c r="R24" s="1307"/>
      <c r="S24" s="1308"/>
      <c r="T24" s="1307"/>
      <c r="U24" s="1308"/>
      <c r="V24" s="1307"/>
      <c r="W24" s="1308"/>
      <c r="X24" s="1302"/>
      <c r="Y24" s="3632"/>
      <c r="Z24" s="1309"/>
      <c r="AA24" s="1309">
        <v>1</v>
      </c>
      <c r="AB24" s="1309">
        <v>1</v>
      </c>
      <c r="AC24" s="1309">
        <v>1</v>
      </c>
    </row>
    <row r="25" spans="1:29" s="1060"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32"/>
      <c r="Q25" s="818" t="str">
        <f t="shared" si="8"/>
        <v>公共配套设施</v>
      </c>
      <c r="R25" s="1303" t="s">
        <v>5</v>
      </c>
      <c r="S25" s="1304">
        <f>F25</f>
        <v>100</v>
      </c>
      <c r="T25" s="1303" t="s">
        <v>5</v>
      </c>
      <c r="U25" s="1304">
        <f>H25</f>
        <v>100</v>
      </c>
      <c r="V25" s="1303" t="s">
        <v>5</v>
      </c>
      <c r="W25" s="1304">
        <f>J25</f>
        <v>100</v>
      </c>
      <c r="X25" s="1305"/>
      <c r="Y25" s="3632"/>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32"/>
      <c r="Q26" s="818"/>
      <c r="R26" s="1303"/>
      <c r="S26" s="1304"/>
      <c r="T26" s="1303"/>
      <c r="U26" s="1304"/>
      <c r="V26" s="1303"/>
      <c r="W26" s="1304"/>
      <c r="X26" s="1305"/>
      <c r="Y26" s="3632"/>
      <c r="Z26" s="997"/>
      <c r="AA26" s="997">
        <v>1</v>
      </c>
      <c r="AB26" s="997">
        <v>1</v>
      </c>
      <c r="AC26" s="997">
        <v>1</v>
      </c>
    </row>
    <row r="27" spans="1:29" s="1060"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32"/>
      <c r="Q27" s="818" t="str">
        <f>B27</f>
        <v>基础设施水平</v>
      </c>
      <c r="R27" s="1303" t="s">
        <v>5</v>
      </c>
      <c r="S27" s="1304">
        <f>F27</f>
        <v>100</v>
      </c>
      <c r="T27" s="1303" t="s">
        <v>5</v>
      </c>
      <c r="U27" s="1304">
        <f>H27</f>
        <v>100</v>
      </c>
      <c r="V27" s="1303" t="s">
        <v>5</v>
      </c>
      <c r="W27" s="1304">
        <f>J27</f>
        <v>100</v>
      </c>
      <c r="X27" s="1305"/>
      <c r="Y27" s="3632"/>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32"/>
      <c r="Q28" s="818"/>
      <c r="R28" s="1303"/>
      <c r="S28" s="1304"/>
      <c r="T28" s="1303"/>
      <c r="U28" s="1304"/>
      <c r="V28" s="1303"/>
      <c r="W28" s="1304"/>
      <c r="X28" s="1305"/>
      <c r="Y28" s="3632"/>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32"/>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2"/>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32"/>
      <c r="Q30" s="1306" t="str">
        <f t="shared" si="8"/>
        <v>毗邻道路的类型与等级</v>
      </c>
      <c r="R30" s="1307" t="s">
        <v>5</v>
      </c>
      <c r="S30" s="1308">
        <f t="shared" si="9"/>
        <v>100</v>
      </c>
      <c r="T30" s="1307" t="s">
        <v>5</v>
      </c>
      <c r="U30" s="1308">
        <f t="shared" si="10"/>
        <v>100</v>
      </c>
      <c r="V30" s="1307" t="s">
        <v>5</v>
      </c>
      <c r="W30" s="1308">
        <f t="shared" si="11"/>
        <v>100</v>
      </c>
      <c r="X30" s="1302"/>
      <c r="Y30" s="3632"/>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32"/>
      <c r="Q31" s="1306"/>
      <c r="R31" s="1307"/>
      <c r="S31" s="1308"/>
      <c r="T31" s="1307"/>
      <c r="U31" s="1308"/>
      <c r="V31" s="1307"/>
      <c r="W31" s="1308"/>
      <c r="X31" s="1302"/>
      <c r="Y31" s="3632"/>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32"/>
      <c r="Q32" s="1306" t="str">
        <f t="shared" si="8"/>
        <v>土地级别</v>
      </c>
      <c r="R32" s="1307" t="s">
        <v>5</v>
      </c>
      <c r="S32" s="1308">
        <f t="shared" si="9"/>
        <v>100</v>
      </c>
      <c r="T32" s="1307" t="s">
        <v>5</v>
      </c>
      <c r="U32" s="1308">
        <f t="shared" si="10"/>
        <v>100</v>
      </c>
      <c r="V32" s="1307" t="s">
        <v>5</v>
      </c>
      <c r="W32" s="1308">
        <f t="shared" si="11"/>
        <v>100</v>
      </c>
      <c r="X32" s="1302"/>
      <c r="Y32" s="3632"/>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32"/>
      <c r="Q33" s="1306">
        <f t="shared" si="8"/>
        <v>111</v>
      </c>
      <c r="R33" s="1307" t="s">
        <v>5</v>
      </c>
      <c r="S33" s="1308">
        <f t="shared" si="9"/>
        <v>100</v>
      </c>
      <c r="T33" s="1307" t="s">
        <v>5</v>
      </c>
      <c r="U33" s="1308">
        <f t="shared" si="10"/>
        <v>100</v>
      </c>
      <c r="V33" s="1307" t="s">
        <v>5</v>
      </c>
      <c r="W33" s="1308">
        <f t="shared" si="11"/>
        <v>100</v>
      </c>
      <c r="X33" s="1302"/>
      <c r="Y33" s="3632"/>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33" t="s">
        <v>499</v>
      </c>
      <c r="Q34" s="1306">
        <f t="shared" si="8"/>
        <v>111</v>
      </c>
      <c r="R34" s="1307" t="s">
        <v>5</v>
      </c>
      <c r="S34" s="1308">
        <f t="shared" si="9"/>
        <v>100</v>
      </c>
      <c r="T34" s="1307" t="s">
        <v>5</v>
      </c>
      <c r="U34" s="1308">
        <f t="shared" si="10"/>
        <v>100</v>
      </c>
      <c r="V34" s="1307" t="s">
        <v>5</v>
      </c>
      <c r="W34" s="1308">
        <f t="shared" si="11"/>
        <v>100</v>
      </c>
      <c r="X34" s="1302"/>
      <c r="Y34" s="3634"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34"/>
      <c r="Q35" s="1306">
        <f t="shared" si="8"/>
        <v>111</v>
      </c>
      <c r="R35" s="1310" t="s">
        <v>5</v>
      </c>
      <c r="S35" s="1311">
        <f t="shared" si="9"/>
        <v>100</v>
      </c>
      <c r="T35" s="1310" t="s">
        <v>5</v>
      </c>
      <c r="U35" s="1311">
        <f t="shared" si="10"/>
        <v>100</v>
      </c>
      <c r="V35" s="1310" t="s">
        <v>5</v>
      </c>
      <c r="W35" s="1311">
        <f t="shared" si="11"/>
        <v>100</v>
      </c>
      <c r="X35" s="1312"/>
      <c r="Y35" s="3634"/>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34"/>
      <c r="Q36" s="1306" t="str">
        <f>B36</f>
        <v>宗地面积</v>
      </c>
      <c r="R36" s="1307" t="s">
        <v>5</v>
      </c>
      <c r="S36" s="1308" t="e">
        <f t="shared" si="9"/>
        <v>#N/A</v>
      </c>
      <c r="T36" s="1307" t="s">
        <v>5</v>
      </c>
      <c r="U36" s="1308" t="e">
        <f t="shared" si="10"/>
        <v>#N/A</v>
      </c>
      <c r="V36" s="1307" t="s">
        <v>5</v>
      </c>
      <c r="W36" s="1308" t="e">
        <f t="shared" si="11"/>
        <v>#N/A</v>
      </c>
      <c r="X36" s="1302"/>
      <c r="Y36" s="3634"/>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34"/>
      <c r="Q37" s="1306" t="str">
        <f t="shared" ref="Q37:Q42" si="13">B37</f>
        <v>宗地形状</v>
      </c>
      <c r="R37" s="1307" t="s">
        <v>5</v>
      </c>
      <c r="S37" s="1308">
        <f t="shared" si="9"/>
        <v>100</v>
      </c>
      <c r="T37" s="1307" t="s">
        <v>5</v>
      </c>
      <c r="U37" s="1308">
        <f t="shared" si="10"/>
        <v>100</v>
      </c>
      <c r="V37" s="1307" t="s">
        <v>5</v>
      </c>
      <c r="W37" s="1308">
        <f t="shared" si="11"/>
        <v>100</v>
      </c>
      <c r="X37" s="1302"/>
      <c r="Y37" s="3634"/>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34"/>
      <c r="Q38" s="1306" t="str">
        <f t="shared" si="13"/>
        <v>宗地开发程度</v>
      </c>
      <c r="R38" s="1303" t="s">
        <v>5</v>
      </c>
      <c r="S38" s="1304">
        <f t="shared" si="9"/>
        <v>100</v>
      </c>
      <c r="T38" s="1303" t="s">
        <v>5</v>
      </c>
      <c r="U38" s="1304">
        <f t="shared" si="10"/>
        <v>100</v>
      </c>
      <c r="V38" s="1303" t="s">
        <v>5</v>
      </c>
      <c r="W38" s="1304">
        <f t="shared" si="11"/>
        <v>100</v>
      </c>
      <c r="X38" s="1305"/>
      <c r="Y38" s="3634"/>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34" t="s">
        <v>549</v>
      </c>
      <c r="Q39" s="1306" t="str">
        <f t="shared" si="13"/>
        <v>工程地质条件</v>
      </c>
      <c r="R39" s="1307" t="s">
        <v>5</v>
      </c>
      <c r="S39" s="1308">
        <f t="shared" si="9"/>
        <v>100</v>
      </c>
      <c r="T39" s="1307" t="s">
        <v>5</v>
      </c>
      <c r="U39" s="1308">
        <f t="shared" si="10"/>
        <v>100</v>
      </c>
      <c r="V39" s="1307" t="s">
        <v>5</v>
      </c>
      <c r="W39" s="1308">
        <f t="shared" si="11"/>
        <v>100</v>
      </c>
      <c r="X39" s="1302"/>
      <c r="Y39" s="3634"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34"/>
      <c r="Q40" s="1306">
        <f t="shared" si="13"/>
        <v>111</v>
      </c>
      <c r="R40" s="1307" t="s">
        <v>5</v>
      </c>
      <c r="S40" s="1308">
        <f t="shared" si="9"/>
        <v>100</v>
      </c>
      <c r="T40" s="1307" t="s">
        <v>5</v>
      </c>
      <c r="U40" s="1308">
        <f t="shared" si="10"/>
        <v>100</v>
      </c>
      <c r="V40" s="1307" t="s">
        <v>5</v>
      </c>
      <c r="W40" s="1308">
        <f t="shared" si="11"/>
        <v>100</v>
      </c>
      <c r="X40" s="1302"/>
      <c r="Y40" s="3634"/>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34"/>
      <c r="Q41" s="1306">
        <f t="shared" si="13"/>
        <v>111</v>
      </c>
      <c r="R41" s="1307" t="s">
        <v>5</v>
      </c>
      <c r="S41" s="1308">
        <f t="shared" si="9"/>
        <v>100</v>
      </c>
      <c r="T41" s="1307" t="s">
        <v>5</v>
      </c>
      <c r="U41" s="1308">
        <f t="shared" si="10"/>
        <v>100</v>
      </c>
      <c r="V41" s="1307" t="s">
        <v>5</v>
      </c>
      <c r="W41" s="1308">
        <f t="shared" si="11"/>
        <v>100</v>
      </c>
      <c r="X41" s="1302"/>
      <c r="Y41" s="3634"/>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34"/>
      <c r="Q42" s="1306">
        <f t="shared" si="13"/>
        <v>111</v>
      </c>
      <c r="R42" s="1310" t="s">
        <v>5</v>
      </c>
      <c r="S42" s="1311">
        <f t="shared" si="9"/>
        <v>100</v>
      </c>
      <c r="T42" s="1310" t="s">
        <v>5</v>
      </c>
      <c r="U42" s="1311">
        <f t="shared" si="10"/>
        <v>100</v>
      </c>
      <c r="V42" s="1310" t="s">
        <v>5</v>
      </c>
      <c r="W42" s="1311">
        <f t="shared" si="11"/>
        <v>100</v>
      </c>
      <c r="X42" s="1312"/>
      <c r="Y42" s="3634"/>
      <c r="Z42" s="1313">
        <f t="shared" si="12"/>
        <v>111</v>
      </c>
      <c r="AA42" s="1309">
        <f t="shared" si="3"/>
        <v>1</v>
      </c>
      <c r="AB42" s="1309">
        <f t="shared" si="4"/>
        <v>1</v>
      </c>
      <c r="AC42" s="1309">
        <f t="shared" si="5"/>
        <v>1</v>
      </c>
    </row>
    <row r="43" spans="1:29" ht="15">
      <c r="A43" s="556" t="s">
        <v>505</v>
      </c>
      <c r="B43" s="557" t="s">
        <v>2186</v>
      </c>
      <c r="C43" s="558" t="s">
        <v>0</v>
      </c>
      <c r="D43" s="559"/>
      <c r="E43" s="560"/>
      <c r="F43" s="561"/>
      <c r="G43" s="562"/>
      <c r="H43" s="563"/>
      <c r="I43" s="560"/>
      <c r="J43" s="563"/>
      <c r="K43" s="1135"/>
      <c r="L43" s="1751"/>
      <c r="M43" s="1742"/>
      <c r="N43" s="1742"/>
      <c r="O43" s="1742"/>
      <c r="P43" s="3598" t="str">
        <f>A43</f>
        <v>成交单价</v>
      </c>
      <c r="Q43" s="3598"/>
      <c r="R43" s="3599">
        <f>E43</f>
        <v>0</v>
      </c>
      <c r="S43" s="3599"/>
      <c r="T43" s="3599">
        <f>G43</f>
        <v>0</v>
      </c>
      <c r="U43" s="3599"/>
      <c r="V43" s="3599">
        <f>I43</f>
        <v>0</v>
      </c>
      <c r="W43" s="3599"/>
      <c r="X43" s="799"/>
      <c r="Y43" s="1314"/>
      <c r="Z43" s="799"/>
      <c r="AA43" s="799"/>
      <c r="AB43" s="799"/>
      <c r="AC43" s="799"/>
    </row>
    <row r="44" spans="1:29" ht="15.75" thickBot="1">
      <c r="A44" s="564" t="s">
        <v>1975</v>
      </c>
      <c r="B44" s="565"/>
      <c r="C44" s="566" t="e">
        <f>R45</f>
        <v>#DIV/0!</v>
      </c>
      <c r="D44" s="2550" t="s">
        <v>2250</v>
      </c>
      <c r="E44" s="566" t="e">
        <f>R44</f>
        <v>#DIV/0!</v>
      </c>
      <c r="F44" s="2551"/>
      <c r="G44" s="567" t="e">
        <f>T44</f>
        <v>#DIV/0!</v>
      </c>
      <c r="H44" s="2551"/>
      <c r="I44" s="566" t="e">
        <f>V44</f>
        <v>#DIV/0!</v>
      </c>
      <c r="J44" s="2551"/>
      <c r="K44" s="2552">
        <f>F44+H44+J44</f>
        <v>0</v>
      </c>
      <c r="L44" s="1751"/>
      <c r="M44" s="1742"/>
      <c r="N44" s="1742"/>
      <c r="O44" s="1742"/>
      <c r="P44" s="3598" t="str">
        <f>A44</f>
        <v>比较价格（元/平方米）</v>
      </c>
      <c r="Q44" s="3598"/>
      <c r="R44" s="3600" t="e">
        <f>ROUND(PRODUCT(R43,AA9:AA42),0)</f>
        <v>#DIV/0!</v>
      </c>
      <c r="S44" s="3600"/>
      <c r="T44" s="3600" t="e">
        <f>ROUND(PRODUCT(T43,AB9:AB42),0)</f>
        <v>#DIV/0!</v>
      </c>
      <c r="U44" s="3600"/>
      <c r="V44" s="3600" t="e">
        <f>ROUND(PRODUCT(V43,AC9:AC42),0)</f>
        <v>#DIV/0!</v>
      </c>
      <c r="W44" s="3600"/>
      <c r="X44" s="799"/>
      <c r="Y44" s="799"/>
      <c r="Z44" s="799"/>
      <c r="AA44" s="799"/>
      <c r="AB44" s="799"/>
      <c r="AC44" s="799"/>
    </row>
    <row r="45" spans="1:29" ht="15.75" thickBot="1">
      <c r="A45" s="568" t="s">
        <v>2187</v>
      </c>
      <c r="B45" s="569"/>
      <c r="C45" s="570" t="e">
        <f>R45</f>
        <v>#DIV/0!</v>
      </c>
      <c r="D45" s="570"/>
      <c r="E45" s="570"/>
      <c r="F45" s="570"/>
      <c r="G45" s="570"/>
      <c r="H45" s="570"/>
      <c r="I45" s="570"/>
      <c r="J45" s="570"/>
      <c r="K45" s="1136"/>
      <c r="L45" s="1751"/>
      <c r="M45" s="1742"/>
      <c r="N45" s="1742"/>
      <c r="O45" s="1742"/>
      <c r="P45" s="3635" t="str">
        <f>A45</f>
        <v>估价对象XX用房的比较价格（楼面单价，元/平方米）</v>
      </c>
      <c r="Q45" s="3636"/>
      <c r="R45" s="3647" t="e">
        <f>ROUND(IF(D44="简单平均",AVERAGE(R44:W44),R44*F44+T44*H44+V44*J44),0)</f>
        <v>#DIV/0!</v>
      </c>
      <c r="S45" s="3647"/>
      <c r="T45" s="3647"/>
      <c r="U45" s="3647"/>
      <c r="V45" s="3647"/>
      <c r="W45" s="3647"/>
      <c r="X45" s="799"/>
      <c r="Y45" s="799"/>
      <c r="Z45" s="799"/>
      <c r="AA45" s="799"/>
      <c r="AB45" s="799"/>
      <c r="AC45" s="799"/>
    </row>
    <row r="46" spans="1:29">
      <c r="A46" s="2719"/>
      <c r="B46" s="2719"/>
      <c r="C46" s="2719"/>
      <c r="D46" s="2719"/>
      <c r="E46" s="2719"/>
      <c r="F46" s="2719"/>
      <c r="G46" s="2721"/>
      <c r="H46" s="2719"/>
      <c r="I46" s="2719"/>
      <c r="J46" s="2719"/>
      <c r="K46" s="2722"/>
      <c r="L46" s="1755"/>
      <c r="M46" s="1742"/>
      <c r="N46" s="1742"/>
      <c r="O46" s="1742"/>
      <c r="P46" s="1742"/>
      <c r="Q46" s="1742"/>
      <c r="R46" s="1742"/>
      <c r="S46" s="1742"/>
      <c r="T46" s="1742"/>
      <c r="U46" s="1742"/>
      <c r="V46" s="1742"/>
      <c r="W46" s="1742"/>
      <c r="X46" s="1742"/>
      <c r="Y46" s="1742"/>
      <c r="Z46" s="1742"/>
      <c r="AA46" s="1742"/>
      <c r="AB46" s="1742"/>
      <c r="AC46" s="1742"/>
    </row>
    <row r="47" spans="1:29">
      <c r="A47" s="2719"/>
      <c r="B47" s="2719"/>
      <c r="C47" s="2719"/>
      <c r="D47" s="2719"/>
      <c r="E47" s="2719"/>
      <c r="F47" s="2719"/>
      <c r="G47" s="2719"/>
      <c r="H47" s="2719"/>
      <c r="I47" s="2719"/>
      <c r="J47" s="2719"/>
      <c r="K47" s="2722"/>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5" thickBot="1">
      <c r="A51" s="2720"/>
      <c r="B51" s="2731"/>
      <c r="C51" s="1756"/>
      <c r="D51" s="1752"/>
      <c r="E51" s="1752"/>
      <c r="F51" s="1752"/>
      <c r="G51" s="1752"/>
      <c r="H51" s="1752"/>
      <c r="I51" s="1752"/>
      <c r="J51" s="1752"/>
      <c r="K51" s="2723"/>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43" t="s">
        <v>1642</v>
      </c>
      <c r="H52" s="3644"/>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2.75">
      <c r="A53" s="580" t="s">
        <v>513</v>
      </c>
      <c r="B53" s="581" t="e">
        <f>C45</f>
        <v>#DIV/0!</v>
      </c>
      <c r="C53" s="582">
        <v>1</v>
      </c>
      <c r="D53" s="1822">
        <v>1</v>
      </c>
      <c r="E53" s="582">
        <f>'数据-汇总表'!E8+'数据-汇总表'!E9</f>
        <v>5999.630000000001</v>
      </c>
      <c r="F53" s="1609" t="e">
        <f t="shared" ref="F53:F61" si="14">ROUND(B53*E53/10000,0)</f>
        <v>#DIV/0!</v>
      </c>
      <c r="G53" s="3645"/>
      <c r="H53" s="3646"/>
      <c r="I53" s="1612">
        <v>1</v>
      </c>
      <c r="J53" s="1298">
        <v>1</v>
      </c>
      <c r="K53" s="2724"/>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2.75">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SUMIF(修正!$A$59:$A$70,H54,修正!B59:B70)</f>
        <v>0.6</v>
      </c>
      <c r="J54" s="1299"/>
      <c r="K54" s="2724"/>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2.75">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SUMIF(修正!$A$59:$A$70,H55,修正!C59:C70)</f>
        <v>0.3</v>
      </c>
      <c r="J55" s="1299"/>
      <c r="K55" s="2724"/>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2.75">
      <c r="A56" s="584" t="s">
        <v>516</v>
      </c>
      <c r="B56" s="585" t="e">
        <f t="shared" si="16"/>
        <v>#DIV/0!</v>
      </c>
      <c r="C56" s="348">
        <f t="shared" si="15"/>
        <v>0.25</v>
      </c>
      <c r="D56" s="1823">
        <v>0.25</v>
      </c>
      <c r="E56" s="586"/>
      <c r="F56" s="1609" t="e">
        <f t="shared" si="14"/>
        <v>#DIV/0!</v>
      </c>
      <c r="G56" s="3028"/>
      <c r="H56" s="1614" t="str">
        <f>项目基本情况!B43</f>
        <v>七级</v>
      </c>
      <c r="I56" s="1612">
        <f>SUMIF(修正!$A$59:$A$70,H56,修正!D59:D70)</f>
        <v>0.25</v>
      </c>
      <c r="J56" s="1299"/>
      <c r="K56" s="2724"/>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2.75">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SUMIF(修正!$A$59:$A$70,H57,修正!E59:E70)</f>
        <v>0.25</v>
      </c>
      <c r="J57" s="1299"/>
      <c r="K57" s="2724"/>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2.75">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SUMIF(修正!$A$59:$A$70,H58,修正!F59:F70)</f>
        <v>0.25</v>
      </c>
      <c r="J58" s="1299"/>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518</v>
      </c>
      <c r="B59" s="585" t="e">
        <f t="shared" si="16"/>
        <v>#DIV/0!</v>
      </c>
      <c r="C59" s="348">
        <f t="shared" si="15"/>
        <v>0.15</v>
      </c>
      <c r="D59" s="1823">
        <v>0.25</v>
      </c>
      <c r="E59" s="588">
        <f>'数据-汇总表'!E13</f>
        <v>3741.06</v>
      </c>
      <c r="F59" s="1609" t="e">
        <f t="shared" si="14"/>
        <v>#DIV/0!</v>
      </c>
      <c r="G59" s="1605" t="s">
        <v>851</v>
      </c>
      <c r="H59" s="1613" t="str">
        <f>IF(G59="商业",项目基本情况!B43,IF(G59="办公",项目基本情况!C43,IF(G59="住宅",项目基本情况!D43,项目基本情况!E43)))</f>
        <v>七级</v>
      </c>
      <c r="I59" s="1612">
        <f>SUMIF(修正!$A$59:$A$70,H59,修正!G59:G70)</f>
        <v>0.15</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SUMIF(修正!$A$59:$A$70,H60,修正!G59:G70)</f>
        <v>0.15</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5"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SUMIF(修正!$A$59:$A$70,H61,修正!G59:G70)</f>
        <v>0.15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5" thickBot="1">
      <c r="A62" s="589" t="s">
        <v>521</v>
      </c>
      <c r="B62" s="590" t="s">
        <v>11</v>
      </c>
      <c r="C62" s="590" t="s">
        <v>12</v>
      </c>
      <c r="D62" s="590" t="s">
        <v>1651</v>
      </c>
      <c r="E62" s="590">
        <f>IF(B43="楼面地价",SUM(E53:E61),'数据-汇总表'!D3)</f>
        <v>5431.65</v>
      </c>
      <c r="F62" s="591" t="e">
        <f>IF(B43="楼面地价",SUM(F53:F61),ROUND(C45*E62/10000,0))</f>
        <v>#DIV/0!</v>
      </c>
      <c r="G62" s="1761"/>
      <c r="H62" s="1761"/>
      <c r="I62" s="1761"/>
      <c r="J62" s="1761"/>
      <c r="K62" s="2732"/>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2025-9-1</v>
      </c>
      <c r="D64" s="2111">
        <f>EDATE(C64,-3)</f>
        <v>45809</v>
      </c>
      <c r="E64" s="2111">
        <f t="shared" ref="E64:N64" si="17">EDATE(D64,-3)</f>
        <v>45717</v>
      </c>
      <c r="F64" s="2111">
        <f t="shared" si="17"/>
        <v>45627</v>
      </c>
      <c r="G64" s="2111">
        <f t="shared" si="17"/>
        <v>45536</v>
      </c>
      <c r="H64" s="2111">
        <f t="shared" si="17"/>
        <v>45444</v>
      </c>
      <c r="I64" s="2111">
        <f t="shared" si="17"/>
        <v>45352</v>
      </c>
      <c r="J64" s="2111">
        <f t="shared" si="17"/>
        <v>45261</v>
      </c>
      <c r="K64" s="2111">
        <f t="shared" si="17"/>
        <v>45170</v>
      </c>
      <c r="L64" s="2111">
        <f t="shared" si="17"/>
        <v>45078</v>
      </c>
      <c r="M64" s="2111">
        <f t="shared" si="17"/>
        <v>44986</v>
      </c>
      <c r="N64" s="2111">
        <f t="shared" si="17"/>
        <v>44896</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5">
      <c r="A66" s="2042"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5">
      <c r="A69" s="603" t="s">
        <v>480</v>
      </c>
      <c r="B69" s="594"/>
      <c r="C69" s="604" t="s">
        <v>524</v>
      </c>
      <c r="D69" s="80"/>
      <c r="E69" s="80"/>
      <c r="F69" s="80"/>
      <c r="G69" s="80"/>
      <c r="H69" s="80"/>
      <c r="I69" s="80"/>
      <c r="J69" s="80"/>
      <c r="K69" s="80"/>
      <c r="L69" s="605"/>
      <c r="M69" s="606"/>
      <c r="N69" s="2733"/>
      <c r="O69" s="1766"/>
      <c r="P69" s="1647"/>
      <c r="Q69" s="1763"/>
      <c r="R69" s="1640"/>
      <c r="S69" s="1640"/>
      <c r="T69" s="1640"/>
      <c r="U69" s="1640"/>
      <c r="V69" s="1640"/>
      <c r="W69" s="1640"/>
      <c r="X69" s="1640"/>
      <c r="Y69" s="1640"/>
      <c r="Z69" s="1640"/>
      <c r="AA69" s="1640"/>
      <c r="AB69" s="1640"/>
      <c r="AC69" s="1640"/>
    </row>
    <row r="70" spans="1:29" s="1060" customFormat="1" ht="15.75" thickBot="1">
      <c r="A70" s="603"/>
      <c r="B70" s="594"/>
      <c r="C70" s="595">
        <v>100</v>
      </c>
      <c r="D70" s="596"/>
      <c r="E70" s="596"/>
      <c r="F70" s="596"/>
      <c r="G70" s="596"/>
      <c r="H70" s="596"/>
      <c r="I70" s="596"/>
      <c r="J70" s="596"/>
      <c r="K70" s="596"/>
      <c r="L70" s="596"/>
      <c r="M70" s="597"/>
      <c r="N70" s="2733"/>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4"/>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5"/>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4"/>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5"/>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4"/>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8"/>
      <c r="P77" s="1766"/>
      <c r="Q77" s="1763"/>
      <c r="R77" s="1742"/>
      <c r="S77" s="1742"/>
      <c r="T77" s="1742"/>
      <c r="U77" s="1742"/>
      <c r="V77" s="1742"/>
      <c r="W77" s="1742"/>
      <c r="X77" s="1742"/>
      <c r="Y77" s="1742"/>
      <c r="Z77" s="1742"/>
      <c r="AA77" s="1742"/>
      <c r="AB77" s="1742"/>
      <c r="AC77" s="1742"/>
    </row>
    <row r="78" spans="1:29" s="1134" customFormat="1" ht="15.75" thickTop="1">
      <c r="A78" s="629"/>
      <c r="B78" s="615">
        <f>B14</f>
        <v>111</v>
      </c>
      <c r="C78" s="630"/>
      <c r="D78" s="630"/>
      <c r="E78" s="630"/>
      <c r="F78" s="630"/>
      <c r="G78" s="630"/>
      <c r="H78" s="631"/>
      <c r="I78" s="631"/>
      <c r="J78" s="631"/>
      <c r="K78" s="631"/>
      <c r="L78" s="632"/>
      <c r="M78" s="633"/>
      <c r="N78" s="2736"/>
      <c r="O78" s="1769"/>
      <c r="P78" s="1769"/>
      <c r="Q78" s="1770"/>
      <c r="R78" s="1771"/>
      <c r="S78" s="1771"/>
      <c r="T78" s="1771"/>
      <c r="U78" s="1771"/>
      <c r="V78" s="1771"/>
      <c r="W78" s="1771"/>
      <c r="X78" s="1771"/>
      <c r="Y78" s="1771"/>
      <c r="Z78" s="1771"/>
      <c r="AA78" s="1771"/>
      <c r="AB78" s="1771"/>
      <c r="AC78" s="1771"/>
    </row>
    <row r="79" spans="1:29" s="1134" customFormat="1" ht="15.75" thickBot="1">
      <c r="A79" s="629"/>
      <c r="B79" s="620"/>
      <c r="C79" s="634"/>
      <c r="D79" s="613"/>
      <c r="E79" s="613"/>
      <c r="F79" s="613"/>
      <c r="G79" s="613"/>
      <c r="H79" s="613"/>
      <c r="I79" s="613"/>
      <c r="J79" s="613"/>
      <c r="K79" s="613"/>
      <c r="L79" s="613"/>
      <c r="M79" s="614"/>
      <c r="N79" s="2735"/>
      <c r="O79" s="1768"/>
      <c r="P79" s="1769"/>
      <c r="Q79" s="1770"/>
      <c r="R79" s="1771"/>
      <c r="S79" s="1771"/>
      <c r="T79" s="1771"/>
      <c r="U79" s="1771"/>
      <c r="V79" s="1771"/>
      <c r="W79" s="1771"/>
      <c r="X79" s="1771"/>
      <c r="Y79" s="1771"/>
      <c r="Z79" s="1771"/>
      <c r="AA79" s="1771"/>
      <c r="AB79" s="1771"/>
      <c r="AC79" s="1771"/>
    </row>
    <row r="80" spans="1:29" s="1134" customFormat="1" ht="15.75" thickTop="1">
      <c r="A80" s="629"/>
      <c r="B80" s="615">
        <f>B15</f>
        <v>111</v>
      </c>
      <c r="C80" s="630"/>
      <c r="D80" s="630"/>
      <c r="E80" s="630"/>
      <c r="F80" s="630"/>
      <c r="G80" s="630"/>
      <c r="H80" s="631"/>
      <c r="I80" s="631"/>
      <c r="J80" s="631"/>
      <c r="K80" s="631"/>
      <c r="L80" s="632"/>
      <c r="M80" s="633"/>
      <c r="N80" s="2736"/>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6"/>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6"/>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6"/>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4"/>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5"/>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4"/>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5"/>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3"/>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5"/>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3"/>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5"/>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6"/>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6"/>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6"/>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9"/>
      <c r="N95" s="2736"/>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4"/>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4"/>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4"/>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4"/>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5"/>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4"/>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5"/>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6"/>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5"/>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4"/>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4"/>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5"/>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4"/>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6"/>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4"/>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4"/>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5"/>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4"/>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5"/>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6"/>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6"/>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t="e">
        <f>ROUND($C$5*$C$22*$C$23*$C$24*S2*$C$28,0)</f>
        <v>#DIV/0!</v>
      </c>
      <c r="U2" s="2223"/>
      <c r="V2" s="2233" t="e">
        <f>ROUND(T2*U2/10000,0)</f>
        <v>#DIV/0!</v>
      </c>
      <c r="W2" s="1789"/>
      <c r="X2" s="1789"/>
      <c r="Y2" s="1789"/>
      <c r="Z2" s="1789"/>
      <c r="AA2" s="1789"/>
      <c r="AB2" s="1789"/>
      <c r="AC2" s="1790"/>
    </row>
    <row r="3" spans="1:39" ht="15.75">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7"/>
      <c r="L4" s="1544" t="s">
        <v>1600</v>
      </c>
      <c r="M4" s="1545">
        <f>SUMPRODUCT((区片价!B55:B86=I2)*(区片价!C3:G3=E2)*(区片价!C55:G86))</f>
        <v>0</v>
      </c>
      <c r="N4" s="1546">
        <f>SUMPRODUCT((因素修正幅度!B55:B86=I2)*(因素修正幅度!C3:G3=E2)*(因素修正幅度!C55:G86))</f>
        <v>0</v>
      </c>
      <c r="O4" s="2737"/>
      <c r="P4" s="1789"/>
      <c r="Q4" s="1789"/>
      <c r="R4" s="2233">
        <v>3</v>
      </c>
      <c r="S4" s="2233">
        <f>ROUND(SUMPRODUCT((B107:B111=R4)*(C106:N106=G2)*(C107:N111)),4)</f>
        <v>1.0004999999999999</v>
      </c>
      <c r="T4" s="2233" t="e">
        <f t="shared" si="0"/>
        <v>#DIV/0!</v>
      </c>
      <c r="U4" s="2223"/>
      <c r="V4" s="2233" t="e">
        <f t="shared" si="1"/>
        <v>#DIV/0!</v>
      </c>
      <c r="W4" s="1789"/>
      <c r="X4" s="1789"/>
      <c r="Y4" s="1789"/>
      <c r="Z4" s="1789"/>
      <c r="AA4" s="1789"/>
      <c r="AB4" s="1789"/>
      <c r="AC4" s="1790"/>
    </row>
    <row r="5" spans="1:39" s="1203" customFormat="1" ht="15.75" thickBot="1">
      <c r="A5" s="1359" t="s">
        <v>1352</v>
      </c>
      <c r="B5" s="1197" t="s">
        <v>859</v>
      </c>
      <c r="C5" s="944" t="e">
        <f>ROUND(IF(E2="商业",C6*C7*C17+C20,(IF(E2="住宅",C6*C13*C17+C20,IF(E2="办公",C6*C12*C17+C20,C6+C20)))),0)</f>
        <v>#DIV/0!</v>
      </c>
      <c r="D5" s="2358" t="e">
        <f>ROUND(C6*C17+C20,0)</f>
        <v>#DIV/0!</v>
      </c>
      <c r="E5" s="2358"/>
      <c r="F5" s="1198"/>
      <c r="G5" s="1199"/>
      <c r="H5" s="1199"/>
      <c r="I5" s="1199"/>
      <c r="J5" s="1200"/>
      <c r="K5" s="2738"/>
      <c r="L5" s="1544" t="s">
        <v>1601</v>
      </c>
      <c r="M5" s="1545">
        <f>SUMPRODUCT((区片价!B87:B126=I2)*(区片价!C3:G3=E2)*(区片价!C87:G126))</f>
        <v>0</v>
      </c>
      <c r="N5" s="1546">
        <f>SUMPRODUCT((因素修正幅度!B87:B126=I2)*(因素修正幅度!C3:G3=E2)*(因素修正幅度!C87:G126))</f>
        <v>0</v>
      </c>
      <c r="O5" s="2738"/>
      <c r="P5" s="2740"/>
      <c r="Q5" s="1789"/>
      <c r="R5" s="2233">
        <v>4</v>
      </c>
      <c r="S5" s="2233">
        <f>ROUND(SUMPRODUCT((B107:B111=R5)*(C106:N106=G2)*(C107:N111)),4)</f>
        <v>0.88239999999999996</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1"/>
      <c r="Q6" s="1789"/>
      <c r="R6" s="2233">
        <v>5</v>
      </c>
      <c r="S6" s="2233">
        <f>ROUND(SUMPRODUCT((B107:B111=R6)*(C106:N106=G2)*(C107:N111)),4)</f>
        <v>0.84799999999999998</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75" thickBot="1">
      <c r="A7" s="3253" t="s">
        <v>3180</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1"/>
      <c r="Q7" s="1789"/>
      <c r="R7" s="2233">
        <v>6</v>
      </c>
      <c r="S7" s="2223"/>
      <c r="T7" s="2233" t="e">
        <f t="shared" si="0"/>
        <v>#DIV/0!</v>
      </c>
      <c r="U7" s="2223"/>
      <c r="V7" s="2233" t="e">
        <f t="shared" si="1"/>
        <v>#DIV/0!</v>
      </c>
      <c r="W7" s="2231" t="s">
        <v>2046</v>
      </c>
      <c r="X7" s="2224" t="str">
        <f>G2</f>
        <v>七级</v>
      </c>
      <c r="Y7" s="2224" t="s">
        <v>2047</v>
      </c>
      <c r="Z7" s="2225">
        <f>G3</f>
        <v>0</v>
      </c>
      <c r="AA7" s="1792"/>
      <c r="AB7" s="1792"/>
      <c r="AC7" s="1793"/>
      <c r="AD7" s="2226"/>
      <c r="AE7" s="2226"/>
      <c r="AF7" s="2226"/>
      <c r="AG7" s="2226"/>
      <c r="AH7" s="2226"/>
      <c r="AI7" s="2226"/>
      <c r="AJ7" s="2227"/>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49" t="s">
        <v>2060</v>
      </c>
      <c r="X8" s="3650"/>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SUMIF(修正!C73:C141,C8,修正!E73:E141)</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48"/>
      <c r="X9" s="2228" t="s">
        <v>3203</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59"/>
      <c r="B10" s="1192" t="s">
        <v>868</v>
      </c>
      <c r="C10" s="3267">
        <f>SUMIF(修正!C73:C141,C8,修正!F73:F141)</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48"/>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3" t="s">
        <v>3181</v>
      </c>
      <c r="B12" s="3235" t="s">
        <v>3182</v>
      </c>
      <c r="C12" s="3241">
        <v>1.02</v>
      </c>
      <c r="D12" s="3236" t="s">
        <v>3183</v>
      </c>
      <c r="E12" s="3237" t="s">
        <v>3184</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3" t="s">
        <v>3185</v>
      </c>
      <c r="B13" s="1210" t="s">
        <v>874</v>
      </c>
      <c r="C13" s="3254">
        <f>ROUND(C16*D16*E16*F16*G16*H16*I16*J16,4)</f>
        <v>0</v>
      </c>
      <c r="D13" s="3272" t="s">
        <v>3186</v>
      </c>
      <c r="E13" s="3273"/>
      <c r="F13" s="3273"/>
      <c r="G13" s="3273"/>
      <c r="H13" s="3273"/>
      <c r="I13" s="3273"/>
      <c r="J13" s="3274"/>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5"/>
      <c r="B14" s="1214" t="s">
        <v>1229</v>
      </c>
      <c r="C14" s="3191" t="s">
        <v>1230</v>
      </c>
      <c r="D14" s="1216" t="s">
        <v>1231</v>
      </c>
      <c r="E14" s="750" t="s">
        <v>3187</v>
      </c>
      <c r="F14" s="3276" t="s">
        <v>1178</v>
      </c>
      <c r="G14" s="3276" t="s">
        <v>1178</v>
      </c>
      <c r="H14" s="3277" t="s">
        <v>1178</v>
      </c>
      <c r="I14" s="3277" t="s">
        <v>1178</v>
      </c>
      <c r="J14" s="3277" t="s">
        <v>1178</v>
      </c>
      <c r="K14" s="2739"/>
      <c r="L14" s="2739"/>
      <c r="M14" s="2739"/>
      <c r="N14" s="2739"/>
      <c r="O14" s="2739"/>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5"/>
      <c r="B15" s="1216"/>
      <c r="C15" s="3278"/>
      <c r="D15" s="3279"/>
      <c r="E15" s="3280"/>
      <c r="F15" s="3280"/>
      <c r="G15" s="1038" t="s">
        <v>3188</v>
      </c>
      <c r="H15" s="3244"/>
      <c r="I15" s="3245"/>
      <c r="J15" s="3246"/>
      <c r="K15" s="3247"/>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5"/>
      <c r="B16" s="2406" t="s">
        <v>1232</v>
      </c>
      <c r="C16" s="3242"/>
      <c r="D16" s="3242"/>
      <c r="E16" s="3242"/>
      <c r="F16" s="3242"/>
      <c r="G16" s="3242">
        <v>1</v>
      </c>
      <c r="H16" s="3242">
        <v>1</v>
      </c>
      <c r="I16" s="3242">
        <v>1</v>
      </c>
      <c r="J16" s="3243">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2" t="s">
        <v>3189</v>
      </c>
      <c r="B17" s="3283" t="s">
        <v>3190</v>
      </c>
      <c r="C17" s="3291">
        <f>ROUND(IF(OR(E2="工业",E2="公共服务"),1,IF(AND(E18=0,E19=0),1,IF(AND(E18=J24,E19=G19),0.8,IF(E19=0,1+E17*(-0.2),1+E17*G17*(-0.2))))),4)</f>
        <v>1</v>
      </c>
      <c r="D17" s="3284" t="s">
        <v>3191</v>
      </c>
      <c r="E17" s="3291" t="e">
        <f>ROUND(G18/I18,2)</f>
        <v>#DIV/0!</v>
      </c>
      <c r="F17" s="3284" t="s">
        <v>3194</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3192</v>
      </c>
      <c r="E18" s="3290"/>
      <c r="F18" s="3287" t="s">
        <v>3195</v>
      </c>
      <c r="G18" s="3289">
        <f>ROUND(1-(1/(POWER(1+G24,E18))),4)</f>
        <v>0</v>
      </c>
      <c r="H18" s="3287" t="s">
        <v>3197</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3193</v>
      </c>
      <c r="E19" s="3292"/>
      <c r="F19" s="3288" t="s">
        <v>3196</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59" t="s">
        <v>1370</v>
      </c>
      <c r="B20" s="1205" t="s">
        <v>875</v>
      </c>
      <c r="C20" s="948" t="e">
        <f>ROUND(IF(F21="与级别开发程度一致",0,(G21-E21)/C21),0)</f>
        <v>#DIV/0!</v>
      </c>
      <c r="D20" s="3654" t="s">
        <v>879</v>
      </c>
      <c r="E20" s="3655"/>
      <c r="F20" s="3654" t="s">
        <v>876</v>
      </c>
      <c r="G20" s="3655"/>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60"/>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315</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SUMIF(修正!C20:C53,E3,修正!E20:E53)</f>
        <v>0</v>
      </c>
      <c r="D22" s="2409"/>
      <c r="E22" s="2410"/>
      <c r="F22" s="2397"/>
      <c r="G22" s="1230"/>
      <c r="H22" s="1230"/>
      <c r="I22" s="1230"/>
      <c r="J22" s="2402"/>
      <c r="K22" s="2738"/>
      <c r="L22" s="1230"/>
      <c r="M22" s="1230"/>
      <c r="N22" s="1230"/>
      <c r="O22" s="1230"/>
      <c r="P22" s="2738"/>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50">
        <v>44197</v>
      </c>
      <c r="F23" s="1223" t="s">
        <v>883</v>
      </c>
      <c r="G23" s="951">
        <f>'数据-取费表'!B2</f>
        <v>45908</v>
      </c>
      <c r="H23" s="1224" t="s">
        <v>2236</v>
      </c>
      <c r="I23" s="2101" t="str">
        <f>IF(H23="季度增幅（自定义）",SUMIF(N25:N28,E2,O25:O28),"")</f>
        <v/>
      </c>
      <c r="J23" s="3293" t="s">
        <v>3247</v>
      </c>
      <c r="K23" s="2738"/>
      <c r="L23" s="2323" t="s">
        <v>2116</v>
      </c>
      <c r="M23" s="2324">
        <f>ROUND(SUMIF(地价!B2:F2,E2,地价!B41:F41),0)</f>
        <v>0</v>
      </c>
      <c r="N23" s="2103" t="s">
        <v>1211</v>
      </c>
      <c r="O23" s="2102">
        <f>ROUNDDOWN(DATEDIF(E23,G23,"M")/3,0)</f>
        <v>18</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2264</v>
      </c>
      <c r="C25" s="1004">
        <f>IF(B25="容积率修正",IF(G3&lt;10,D26,J26),C27)</f>
        <v>0</v>
      </c>
      <c r="D25" s="1230"/>
      <c r="E25" s="1230"/>
      <c r="F25" s="1230"/>
      <c r="G25" s="1230"/>
      <c r="H25" s="1230"/>
      <c r="I25" s="1230"/>
      <c r="J25" s="1231"/>
      <c r="K25" s="2738"/>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3198</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3199</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4">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3225</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t="e">
        <f>ROUND(C5*C22*C23*C24*C25*C28,0)</f>
        <v>#DIV/0!</v>
      </c>
      <c r="D33" s="1252"/>
      <c r="E33" s="1538" t="e">
        <f>ROUND(C33*D33/10000,0)</f>
        <v>#DIV/0!</v>
      </c>
      <c r="F33" s="3295" t="s">
        <v>3200</v>
      </c>
      <c r="G33" s="1253"/>
      <c r="H33" s="1253"/>
      <c r="I33" s="1253"/>
      <c r="J33" s="1254"/>
      <c r="K33" s="2742"/>
      <c r="L33" s="3363" t="s">
        <v>3226</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t="e">
        <f>ROUND(IF(E2="工业",C33*M42,IF(B25="楼层修正",SUM(V2:V16)*M41*10000/D34,C33*M41)),0)</f>
        <v>#DIV/0!</v>
      </c>
      <c r="D34" s="1257"/>
      <c r="E34" s="1538" t="e">
        <f>ROUND(IF(B25="楼层修正",SUM(V2:V16)*#REF!,C34*D34/10000),0)</f>
        <v>#DIV/0!</v>
      </c>
      <c r="F34" s="3296" t="s">
        <v>3201</v>
      </c>
      <c r="G34" s="1258"/>
      <c r="H34" s="1258"/>
      <c r="I34" s="1258"/>
      <c r="J34" s="1259"/>
      <c r="K34" s="1789"/>
      <c r="L34" s="3363" t="s">
        <v>3227</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3228</v>
      </c>
      <c r="L36" s="3367">
        <f ca="1">'数据-取费表'!B40</f>
        <v>3.1899999999999998E-2</v>
      </c>
      <c r="M36" s="3368">
        <f ca="1">ROUND($L$36*(1+M31),3)</f>
        <v>0.04</v>
      </c>
      <c r="N36" s="3368">
        <f ca="1">ROUND($L$36*(1+N31),3)</f>
        <v>3.7999999999999999E-2</v>
      </c>
      <c r="O36" s="3368">
        <f ca="1">ROUND($L$36*(1+O31),3)</f>
        <v>3.6999999999999998E-2</v>
      </c>
      <c r="P36" s="3368">
        <f ca="1">ROUND($L$36*(1+P31),3)</f>
        <v>3.5000000000000003E-2</v>
      </c>
      <c r="Q36" s="3368">
        <f ca="1">ROUND($L$36*(1+Q31),3)</f>
        <v>3.6999999999999998E-2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56"/>
      <c r="B37" s="1270" t="s">
        <v>923</v>
      </c>
      <c r="C37" s="955" t="e">
        <f>ROUND(D5*C22*C23*C24*C28*F37,0)</f>
        <v>#DIV/0!</v>
      </c>
      <c r="D37" s="1282"/>
      <c r="E37" s="946" t="e">
        <f>ROUND(C37*D37/10000,0)</f>
        <v>#DIV/0!</v>
      </c>
      <c r="F37" s="946">
        <f>SUMIF(修正!A59:A70,G2,修正!B59:B70)</f>
        <v>0.6</v>
      </c>
      <c r="G37" s="946" t="e">
        <f>ROUND(IF(E2="工业",C37*$M$42,C37*$M$41),0)</f>
        <v>#DIV/0!</v>
      </c>
      <c r="H37" s="946">
        <f>D37</f>
        <v>0</v>
      </c>
      <c r="I37" s="946" t="e">
        <f>ROUND(G37*H37/10000,0)</f>
        <v>#DIV/0!</v>
      </c>
      <c r="J37" s="3656"/>
      <c r="K37" s="3366" t="s">
        <v>3229</v>
      </c>
      <c r="L37" s="3367">
        <f ca="1">L36+K38</f>
        <v>3.6899999999999995E-2</v>
      </c>
      <c r="M37" s="3368">
        <f ca="1">ROUND($L$37*(1+M31),3)</f>
        <v>4.5999999999999999E-2</v>
      </c>
      <c r="N37" s="3368">
        <f t="shared" ref="N37:Q37" ca="1" si="3">ROUND($L$37*(1+N31),3)</f>
        <v>4.3999999999999997E-2</v>
      </c>
      <c r="O37" s="3368">
        <f t="shared" ca="1" si="3"/>
        <v>4.2000000000000003E-2</v>
      </c>
      <c r="P37" s="3368">
        <f t="shared" ca="1" si="3"/>
        <v>4.1000000000000002E-2</v>
      </c>
      <c r="Q37" s="3368">
        <f t="shared" ca="1" si="3"/>
        <v>4.2000000000000003E-2</v>
      </c>
      <c r="R37" s="1790"/>
      <c r="S37" s="1790"/>
      <c r="T37" s="1790"/>
      <c r="U37" s="1790"/>
      <c r="V37" s="1790"/>
      <c r="W37" s="1789"/>
      <c r="X37" s="1789"/>
      <c r="Y37" s="1789"/>
      <c r="Z37" s="1789"/>
      <c r="AA37" s="1789"/>
      <c r="AB37" s="1789"/>
      <c r="AC37" s="1790"/>
    </row>
    <row r="38" spans="1:44" ht="12.75">
      <c r="A38" s="3657"/>
      <c r="B38" s="1215" t="s">
        <v>924</v>
      </c>
      <c r="C38" s="955" t="e">
        <f>ROUND(D5*C22*C23*C24*C28*F38,0)</f>
        <v>#DIV/0!</v>
      </c>
      <c r="D38" s="1282"/>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7"/>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57"/>
      <c r="B39" s="3297" t="s">
        <v>3202</v>
      </c>
      <c r="C39" s="955" t="e">
        <f>ROUND(D5*C22*C23*C24*C28*F39,0)</f>
        <v>#DIV/0!</v>
      </c>
      <c r="D39" s="1282"/>
      <c r="E39" s="946" t="e">
        <f t="shared" si="4"/>
        <v>#DIV/0!</v>
      </c>
      <c r="F39" s="946">
        <f>SUMIF(修正!A59:A70,G2,修正!D59:D70)</f>
        <v>0.25</v>
      </c>
      <c r="G39" s="946" t="e">
        <f>ROUND(IF(E2="工业",C39*$M$42,C39*$M$41),0)</f>
        <v>#DIV/0!</v>
      </c>
      <c r="H39" s="946">
        <f t="shared" si="5"/>
        <v>0</v>
      </c>
      <c r="I39" s="946" t="e">
        <f t="shared" si="6"/>
        <v>#DIV/0!</v>
      </c>
      <c r="J39" s="3657"/>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t="e">
        <f>ROUND(D5*C22*C23*C24*C28*F40,0)</f>
        <v>#DIV/0!</v>
      </c>
      <c r="D40" s="1282"/>
      <c r="E40" s="946" t="e">
        <f t="shared" si="4"/>
        <v>#DIV/0!</v>
      </c>
      <c r="F40" s="955">
        <f>SUMIF(修正!A59:A70,G2,修正!E59:E70)</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t="e">
        <f>ROUND(D5*C22*C23*C44*C28*F41,0)</f>
        <v>#DIV/0!</v>
      </c>
      <c r="D41" s="1282"/>
      <c r="E41" s="946" t="e">
        <f t="shared" si="4"/>
        <v>#DIV/0!</v>
      </c>
      <c r="F41" s="955">
        <f>SUMIF(修正!A59:A70,G2,修正!F59:F70)</f>
        <v>0.25</v>
      </c>
      <c r="G41" s="946" t="e">
        <f>ROUND(IF(E2="工业",C41*$M$42,C41*$M$41),0)</f>
        <v>#DIV/0!</v>
      </c>
      <c r="H41" s="946">
        <f t="shared" si="5"/>
        <v>0</v>
      </c>
      <c r="I41" s="946" t="e">
        <f t="shared" si="6"/>
        <v>#DIV/0!</v>
      </c>
      <c r="J41" s="1271"/>
      <c r="K41" s="1789"/>
      <c r="L41" s="3369" t="s">
        <v>3230</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t="e">
        <f>ROUND(D5*C22*C23*C44*C28*F42,0)</f>
        <v>#DIV/0!</v>
      </c>
      <c r="D42" s="1283"/>
      <c r="E42" s="947" t="e">
        <f t="shared" si="4"/>
        <v>#DIV/0!</v>
      </c>
      <c r="F42" s="957">
        <f>SUMIF(修正!A59:A70,G2,修正!G59:G70)</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2232</v>
      </c>
      <c r="C44" s="773" t="e">
        <f>ROUND(POWER(1+E44,H44-G44)*(POWER(1+E44,G44)-1)/(POWER(1+E44,H44)-1),4)</f>
        <v>#DIV/0!</v>
      </c>
      <c r="D44" s="348" t="s">
        <v>2230</v>
      </c>
      <c r="E44" s="2395">
        <f>G24</f>
        <v>0</v>
      </c>
      <c r="F44" s="348" t="s">
        <v>2231</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3204</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2189</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2188</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3204</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2190</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2188</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36">
      <c r="A74" s="3298" t="s">
        <v>3204</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24">
      <c r="A78" s="3315" t="s">
        <v>947</v>
      </c>
      <c r="B78" s="3332" t="s">
        <v>2188</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24">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24.75"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f>估价对象房地状况!G15</f>
        <v>0</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14.25">
      <c r="A84" s="3315" t="s">
        <v>955</v>
      </c>
      <c r="B84" s="3316">
        <f>估价对象房地状况!G16</f>
        <v>0</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f>估价对象房地状况!G19</f>
        <v>0</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f>估价对象房地状况!G20</f>
        <v>0</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2188</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15" thickBot="1">
      <c r="A90" s="3335" t="s">
        <v>960</v>
      </c>
      <c r="B90" s="3345">
        <f>估价对象房地状况!G18</f>
        <v>0</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3213</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3214</v>
      </c>
      <c r="B92" s="3300"/>
      <c r="C92" s="3300" t="s">
        <v>3219</v>
      </c>
      <c r="D92" s="3300" t="s">
        <v>3206</v>
      </c>
      <c r="E92" s="346" t="s">
        <v>3207</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3215</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14.25">
      <c r="A94" s="3300" t="s">
        <v>3216</v>
      </c>
      <c r="B94" s="3316">
        <f>估价对象房地状况!G16</f>
        <v>0</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3204</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3208</v>
      </c>
      <c r="B96" s="3304" t="s">
        <v>3209</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3210</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3217</v>
      </c>
      <c r="B98" s="3331" t="s">
        <v>2188</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3218</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3211</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3212</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61" t="s">
        <v>1172</v>
      </c>
      <c r="B104" s="3661"/>
      <c r="C104" s="3661"/>
      <c r="D104" s="3661"/>
      <c r="E104" s="3661"/>
      <c r="F104" s="3661"/>
      <c r="G104" s="3661"/>
      <c r="H104" s="3661"/>
      <c r="I104" s="3661"/>
      <c r="J104" s="3661"/>
      <c r="K104" s="1001"/>
      <c r="L104" s="1001"/>
      <c r="M104" s="1001"/>
      <c r="N104" s="1001"/>
    </row>
    <row r="105" spans="1:36">
      <c r="A105" s="3662" t="s">
        <v>1161</v>
      </c>
      <c r="B105" s="3662" t="s">
        <v>1173</v>
      </c>
      <c r="C105" s="989" t="s">
        <v>1174</v>
      </c>
      <c r="D105" s="990"/>
      <c r="E105" s="990"/>
      <c r="F105" s="990"/>
      <c r="G105" s="990"/>
      <c r="H105" s="990"/>
      <c r="I105" s="990"/>
      <c r="J105" s="991"/>
      <c r="K105" s="984"/>
      <c r="L105" s="984"/>
      <c r="M105" s="984"/>
      <c r="N105" s="984"/>
    </row>
    <row r="106" spans="1:36">
      <c r="A106" s="3662"/>
      <c r="B106" s="3662"/>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1"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2"/>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2"/>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2"/>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2"/>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2"/>
      <c r="B112" s="992" t="s">
        <v>3220</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3"/>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8" t="s">
        <v>1175</v>
      </c>
      <c r="B114" s="3658"/>
      <c r="C114" s="3658"/>
      <c r="D114" s="3658"/>
      <c r="E114" s="3658"/>
      <c r="F114" s="3658"/>
      <c r="G114" s="3658"/>
      <c r="H114" s="3658"/>
      <c r="I114" s="3658"/>
      <c r="J114" s="3658"/>
      <c r="K114" s="1968"/>
      <c r="L114" s="1968"/>
      <c r="M114" s="1968"/>
      <c r="N114" s="1968"/>
    </row>
    <row r="116" spans="1:14" ht="12.75" thickBot="1"/>
    <row r="117" spans="1:14" ht="25.5"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7" t="s">
        <v>3221</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2.75">
      <c r="A120" s="3357" t="s">
        <v>3222</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2.75">
      <c r="A121" s="3357" t="s">
        <v>3223</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5" thickBot="1">
      <c r="A122" s="3358" t="s">
        <v>3224</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2.75">
      <c r="A123" s="3359" t="s">
        <v>3205</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958"/>
    <col min="2" max="9" width="13.875" style="974"/>
    <col min="10" max="16384" width="13.875" style="958"/>
  </cols>
  <sheetData>
    <row r="1" spans="1:13" ht="14.25" thickBot="1">
      <c r="A1" s="975" t="s">
        <v>2750</v>
      </c>
      <c r="B1" s="963" t="s">
        <v>990</v>
      </c>
      <c r="C1" s="963" t="s">
        <v>1031</v>
      </c>
      <c r="D1" s="963" t="s">
        <v>1145</v>
      </c>
      <c r="E1" s="963" t="s">
        <v>853</v>
      </c>
      <c r="F1" s="963" t="s">
        <v>1152</v>
      </c>
      <c r="G1" s="963" t="s">
        <v>1153</v>
      </c>
      <c r="H1" s="963" t="s">
        <v>1154</v>
      </c>
      <c r="I1" s="963" t="s">
        <v>1155</v>
      </c>
      <c r="J1" s="963" t="s">
        <v>1156</v>
      </c>
      <c r="K1" s="963" t="s">
        <v>1157</v>
      </c>
      <c r="L1" s="963" t="s">
        <v>2751</v>
      </c>
      <c r="M1" s="964" t="s">
        <v>2752</v>
      </c>
    </row>
    <row r="2" spans="1:13">
      <c r="A2" s="2983" t="s">
        <v>2727</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2753</v>
      </c>
      <c r="B6" s="2993">
        <v>2.5</v>
      </c>
      <c r="C6" s="2993">
        <v>2.5</v>
      </c>
      <c r="D6" s="2993">
        <v>2</v>
      </c>
      <c r="E6" s="2993">
        <v>2</v>
      </c>
      <c r="F6" s="2993">
        <v>2</v>
      </c>
      <c r="G6" s="2993">
        <v>2</v>
      </c>
      <c r="H6" s="2993">
        <v>2</v>
      </c>
      <c r="I6" s="2994">
        <v>1.5</v>
      </c>
      <c r="J6" s="2994">
        <v>1.5</v>
      </c>
      <c r="K6" s="2994">
        <v>1.5</v>
      </c>
      <c r="L6" s="2994">
        <v>1.5</v>
      </c>
      <c r="M6" s="2995">
        <v>1.5</v>
      </c>
    </row>
    <row r="7" spans="1:13" ht="14.25" thickBot="1">
      <c r="A7" s="2996" t="s">
        <v>2725</v>
      </c>
      <c r="B7" s="2997">
        <v>2.5</v>
      </c>
      <c r="C7" s="2997">
        <v>2.5</v>
      </c>
      <c r="D7" s="2997">
        <v>2</v>
      </c>
      <c r="E7" s="2997">
        <v>2</v>
      </c>
      <c r="F7" s="2997">
        <v>2</v>
      </c>
      <c r="G7" s="2997">
        <v>2</v>
      </c>
      <c r="H7" s="2997">
        <v>2</v>
      </c>
      <c r="I7" s="2998">
        <v>1.5</v>
      </c>
      <c r="J7" s="2998">
        <v>1.5</v>
      </c>
      <c r="K7" s="2998">
        <v>1.5</v>
      </c>
      <c r="L7" s="2998">
        <v>1.5</v>
      </c>
      <c r="M7" s="2999">
        <v>1.5</v>
      </c>
    </row>
    <row r="8" spans="1:13">
      <c r="A8" s="976" t="s">
        <v>2754</v>
      </c>
      <c r="B8" s="3000">
        <v>80</v>
      </c>
      <c r="C8" s="3000">
        <v>80</v>
      </c>
      <c r="D8" s="3000">
        <v>70</v>
      </c>
      <c r="E8" s="3000">
        <v>70</v>
      </c>
      <c r="F8" s="3000">
        <v>70</v>
      </c>
      <c r="G8" s="3000">
        <v>70</v>
      </c>
      <c r="H8" s="3000">
        <v>70</v>
      </c>
      <c r="I8" s="3000">
        <v>60</v>
      </c>
      <c r="J8" s="3000">
        <v>60</v>
      </c>
      <c r="K8" s="3000">
        <v>60</v>
      </c>
      <c r="L8" s="3000">
        <v>60</v>
      </c>
      <c r="M8" s="3001">
        <v>60</v>
      </c>
    </row>
    <row r="9" spans="1:13">
      <c r="A9" s="959" t="s">
        <v>2755</v>
      </c>
      <c r="B9" s="3002">
        <v>70</v>
      </c>
      <c r="C9" s="3002">
        <v>70</v>
      </c>
      <c r="D9" s="3002">
        <v>60</v>
      </c>
      <c r="E9" s="3002">
        <v>60</v>
      </c>
      <c r="F9" s="3002">
        <v>60</v>
      </c>
      <c r="G9" s="3002">
        <v>60</v>
      </c>
      <c r="H9" s="3002">
        <v>60</v>
      </c>
      <c r="I9" s="3002">
        <v>50</v>
      </c>
      <c r="J9" s="3002">
        <v>50</v>
      </c>
      <c r="K9" s="3002">
        <v>50</v>
      </c>
      <c r="L9" s="3002">
        <v>50</v>
      </c>
      <c r="M9" s="3003">
        <v>50</v>
      </c>
    </row>
    <row r="10" spans="1:13">
      <c r="A10" s="959" t="s">
        <v>2756</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2757</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2758</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2759</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2760</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2761</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2762</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4.25" thickBot="1">
      <c r="A19" s="3004" t="s">
        <v>2444</v>
      </c>
      <c r="B19" s="3006" t="s">
        <v>2445</v>
      </c>
      <c r="C19" s="3006" t="s">
        <v>2446</v>
      </c>
      <c r="D19" s="3403"/>
      <c r="E19" s="3004" t="s">
        <v>2447</v>
      </c>
      <c r="F19" s="982"/>
      <c r="G19" s="982"/>
    </row>
    <row r="20" spans="1:13">
      <c r="A20" s="3663" t="s">
        <v>2438</v>
      </c>
      <c r="B20" s="3666" t="s">
        <v>2448</v>
      </c>
      <c r="C20" s="3407" t="s">
        <v>2449</v>
      </c>
      <c r="D20" s="3407"/>
      <c r="E20" s="3010">
        <v>1</v>
      </c>
      <c r="F20" s="3011" t="s">
        <v>2450</v>
      </c>
      <c r="G20" s="984"/>
    </row>
    <row r="21" spans="1:13">
      <c r="A21" s="3664"/>
      <c r="B21" s="3667"/>
      <c r="C21" s="3023" t="s">
        <v>2451</v>
      </c>
      <c r="D21" s="3023"/>
      <c r="E21" s="3014">
        <v>1</v>
      </c>
      <c r="F21" s="3011" t="s">
        <v>2452</v>
      </c>
      <c r="G21" s="984"/>
    </row>
    <row r="22" spans="1:13">
      <c r="A22" s="3664"/>
      <c r="B22" s="3667"/>
      <c r="C22" s="3023" t="s">
        <v>2453</v>
      </c>
      <c r="D22" s="3023"/>
      <c r="E22" s="3014">
        <v>0.9</v>
      </c>
      <c r="F22" s="3011" t="s">
        <v>2454</v>
      </c>
      <c r="G22" s="984"/>
    </row>
    <row r="23" spans="1:13">
      <c r="A23" s="3664"/>
      <c r="B23" s="3667"/>
      <c r="C23" s="3023" t="s">
        <v>2455</v>
      </c>
      <c r="D23" s="3023"/>
      <c r="E23" s="3014">
        <v>0.9</v>
      </c>
      <c r="F23" s="3011" t="s">
        <v>2456</v>
      </c>
      <c r="G23" s="984"/>
    </row>
    <row r="24" spans="1:13">
      <c r="A24" s="3664"/>
      <c r="B24" s="3667"/>
      <c r="C24" s="3023" t="s">
        <v>2457</v>
      </c>
      <c r="D24" s="3023"/>
      <c r="E24" s="3014">
        <v>0.8</v>
      </c>
      <c r="F24" s="3011" t="s">
        <v>2458</v>
      </c>
      <c r="G24" s="984"/>
    </row>
    <row r="25" spans="1:13">
      <c r="A25" s="3664"/>
      <c r="B25" s="3667"/>
      <c r="C25" s="3023" t="s">
        <v>2459</v>
      </c>
      <c r="D25" s="3023"/>
      <c r="E25" s="3014">
        <v>0.8</v>
      </c>
      <c r="F25" s="3011"/>
      <c r="G25" s="984"/>
    </row>
    <row r="26" spans="1:13">
      <c r="A26" s="3664"/>
      <c r="B26" s="3667"/>
      <c r="C26" s="3023" t="s">
        <v>3308</v>
      </c>
      <c r="D26" s="3023"/>
      <c r="E26" s="3014">
        <v>0.43</v>
      </c>
      <c r="F26" s="3011"/>
      <c r="G26" s="984"/>
    </row>
    <row r="27" spans="1:13" ht="14.25" thickBot="1">
      <c r="A27" s="3665"/>
      <c r="B27" s="3668"/>
      <c r="C27" s="3408" t="s">
        <v>3310</v>
      </c>
      <c r="D27" s="3408"/>
      <c r="E27" s="3017">
        <f>E26*0.9</f>
        <v>0.38700000000000001</v>
      </c>
      <c r="F27" s="3011" t="s">
        <v>2460</v>
      </c>
      <c r="G27" s="984"/>
    </row>
    <row r="28" spans="1:13" ht="14.25" thickBot="1">
      <c r="A28" s="3402" t="s">
        <v>2439</v>
      </c>
      <c r="B28" s="3401" t="s">
        <v>2448</v>
      </c>
      <c r="C28" s="3404" t="s">
        <v>2461</v>
      </c>
      <c r="D28" s="3405"/>
      <c r="E28" s="3406">
        <v>1</v>
      </c>
      <c r="F28" s="3011" t="s">
        <v>2462</v>
      </c>
      <c r="G28" s="984"/>
    </row>
    <row r="29" spans="1:13">
      <c r="A29" s="3669" t="s">
        <v>2443</v>
      </c>
      <c r="B29" s="3672" t="s">
        <v>2443</v>
      </c>
      <c r="C29" s="3008" t="s">
        <v>2463</v>
      </c>
      <c r="D29" s="3009"/>
      <c r="E29" s="3010">
        <v>1</v>
      </c>
      <c r="F29" s="3011" t="s">
        <v>2464</v>
      </c>
      <c r="G29" s="984"/>
    </row>
    <row r="30" spans="1:13">
      <c r="A30" s="3670"/>
      <c r="B30" s="3673"/>
      <c r="C30" s="3012" t="s">
        <v>2465</v>
      </c>
      <c r="D30" s="3013"/>
      <c r="E30" s="3014">
        <v>1</v>
      </c>
      <c r="F30" s="3011" t="s">
        <v>2466</v>
      </c>
      <c r="G30" s="984"/>
    </row>
    <row r="31" spans="1:13">
      <c r="A31" s="3670"/>
      <c r="B31" s="3673"/>
      <c r="C31" s="3012" t="s">
        <v>2467</v>
      </c>
      <c r="D31" s="3013"/>
      <c r="E31" s="3014">
        <v>0.8</v>
      </c>
      <c r="F31" s="3011" t="s">
        <v>2468</v>
      </c>
      <c r="G31" s="984"/>
    </row>
    <row r="32" spans="1:13">
      <c r="A32" s="3670"/>
      <c r="B32" s="3673"/>
      <c r="C32" s="3012" t="s">
        <v>2469</v>
      </c>
      <c r="D32" s="3013"/>
      <c r="E32" s="3014">
        <v>0.8</v>
      </c>
      <c r="F32" s="3011" t="s">
        <v>2470</v>
      </c>
      <c r="G32" s="984"/>
    </row>
    <row r="33" spans="1:7">
      <c r="A33" s="3670"/>
      <c r="B33" s="3673"/>
      <c r="C33" s="3012" t="s">
        <v>2471</v>
      </c>
      <c r="D33" s="3013"/>
      <c r="E33" s="3014">
        <v>0.8</v>
      </c>
      <c r="F33" s="3011" t="s">
        <v>2472</v>
      </c>
      <c r="G33" s="984"/>
    </row>
    <row r="34" spans="1:7">
      <c r="A34" s="3670"/>
      <c r="B34" s="3673"/>
      <c r="C34" s="3012" t="s">
        <v>2473</v>
      </c>
      <c r="D34" s="3013"/>
      <c r="E34" s="3014">
        <v>0.7</v>
      </c>
      <c r="F34" s="3011" t="s">
        <v>2474</v>
      </c>
      <c r="G34" s="984"/>
    </row>
    <row r="35" spans="1:7">
      <c r="A35" s="3670"/>
      <c r="B35" s="3673"/>
      <c r="C35" s="3012" t="s">
        <v>2475</v>
      </c>
      <c r="D35" s="3013"/>
      <c r="E35" s="3014">
        <v>0.8</v>
      </c>
      <c r="F35" s="3011" t="s">
        <v>2476</v>
      </c>
      <c r="G35" s="984"/>
    </row>
    <row r="36" spans="1:7">
      <c r="A36" s="3670"/>
      <c r="B36" s="3673"/>
      <c r="C36" s="3012" t="s">
        <v>2477</v>
      </c>
      <c r="D36" s="3013"/>
      <c r="E36" s="3014">
        <v>0.6</v>
      </c>
      <c r="F36" s="3011" t="s">
        <v>2478</v>
      </c>
      <c r="G36" s="984"/>
    </row>
    <row r="37" spans="1:7">
      <c r="A37" s="3670"/>
      <c r="B37" s="3673"/>
      <c r="C37" s="3012" t="s">
        <v>2479</v>
      </c>
      <c r="D37" s="3013"/>
      <c r="E37" s="3014">
        <v>0.2</v>
      </c>
      <c r="F37" s="3011" t="s">
        <v>2480</v>
      </c>
      <c r="G37" s="984"/>
    </row>
    <row r="38" spans="1:7">
      <c r="A38" s="3670"/>
      <c r="B38" s="3673"/>
      <c r="C38" s="3012" t="s">
        <v>2481</v>
      </c>
      <c r="D38" s="3013"/>
      <c r="E38" s="3014">
        <v>0.2</v>
      </c>
      <c r="F38" s="3011" t="s">
        <v>2482</v>
      </c>
      <c r="G38" s="984"/>
    </row>
    <row r="39" spans="1:7">
      <c r="A39" s="3670"/>
      <c r="B39" s="3674" t="s">
        <v>2483</v>
      </c>
      <c r="C39" s="3012" t="s">
        <v>2484</v>
      </c>
      <c r="D39" s="3013"/>
      <c r="E39" s="3014">
        <v>0.6</v>
      </c>
      <c r="F39" s="3011" t="s">
        <v>2485</v>
      </c>
      <c r="G39" s="984"/>
    </row>
    <row r="40" spans="1:7">
      <c r="A40" s="3670"/>
      <c r="B40" s="3673"/>
      <c r="C40" s="3012" t="s">
        <v>2486</v>
      </c>
      <c r="D40" s="3013"/>
      <c r="E40" s="3014">
        <v>0.6</v>
      </c>
      <c r="F40" s="3011" t="s">
        <v>2487</v>
      </c>
      <c r="G40" s="984"/>
    </row>
    <row r="41" spans="1:7" ht="14.25" thickBot="1">
      <c r="A41" s="3671"/>
      <c r="B41" s="3675"/>
      <c r="C41" s="3015" t="s">
        <v>2488</v>
      </c>
      <c r="D41" s="3016"/>
      <c r="E41" s="3017">
        <v>0.6</v>
      </c>
      <c r="F41" s="3011" t="s">
        <v>2489</v>
      </c>
      <c r="G41" s="984"/>
    </row>
    <row r="42" spans="1:7" ht="14.25" thickBot="1">
      <c r="A42" s="3018" t="s">
        <v>2440</v>
      </c>
      <c r="B42" s="3019" t="s">
        <v>2440</v>
      </c>
      <c r="C42" s="3020" t="s">
        <v>2490</v>
      </c>
      <c r="D42" s="3021"/>
      <c r="E42" s="3022">
        <v>1</v>
      </c>
      <c r="F42" s="3011" t="s">
        <v>2491</v>
      </c>
      <c r="G42" s="984"/>
    </row>
    <row r="43" spans="1:7">
      <c r="A43" s="3663" t="s">
        <v>2441</v>
      </c>
      <c r="B43" s="3672" t="s">
        <v>2492</v>
      </c>
      <c r="C43" s="3008" t="s">
        <v>2493</v>
      </c>
      <c r="D43" s="3009"/>
      <c r="E43" s="3010">
        <v>1</v>
      </c>
      <c r="F43" s="3011" t="s">
        <v>2494</v>
      </c>
      <c r="G43" s="984"/>
    </row>
    <row r="44" spans="1:7">
      <c r="A44" s="3664"/>
      <c r="B44" s="3673"/>
      <c r="C44" s="3012" t="s">
        <v>2495</v>
      </c>
      <c r="D44" s="3013"/>
      <c r="E44" s="3014">
        <v>1</v>
      </c>
      <c r="F44" s="3011" t="s">
        <v>2496</v>
      </c>
      <c r="G44" s="984"/>
    </row>
    <row r="45" spans="1:7">
      <c r="A45" s="3664"/>
      <c r="B45" s="3676"/>
      <c r="C45" s="3012" t="s">
        <v>2497</v>
      </c>
      <c r="D45" s="3013"/>
      <c r="E45" s="3014">
        <v>1.5</v>
      </c>
      <c r="F45" s="3011" t="s">
        <v>2498</v>
      </c>
      <c r="G45" s="984"/>
    </row>
    <row r="46" spans="1:7">
      <c r="A46" s="3664"/>
      <c r="B46" s="3023" t="s">
        <v>2443</v>
      </c>
      <c r="C46" s="3012" t="s">
        <v>2442</v>
      </c>
      <c r="D46" s="3013"/>
      <c r="E46" s="3014">
        <v>2</v>
      </c>
      <c r="F46" s="3011" t="s">
        <v>2499</v>
      </c>
      <c r="G46" s="984"/>
    </row>
    <row r="47" spans="1:7">
      <c r="A47" s="3664"/>
      <c r="B47" s="3674" t="s">
        <v>2500</v>
      </c>
      <c r="C47" s="3012" t="s">
        <v>2501</v>
      </c>
      <c r="D47" s="3013"/>
      <c r="E47" s="3014">
        <v>1</v>
      </c>
      <c r="F47" s="3011" t="s">
        <v>2502</v>
      </c>
      <c r="G47" s="984"/>
    </row>
    <row r="48" spans="1:7">
      <c r="A48" s="3664"/>
      <c r="B48" s="3673"/>
      <c r="C48" s="3012" t="s">
        <v>2503</v>
      </c>
      <c r="D48" s="3013"/>
      <c r="E48" s="3014">
        <v>1</v>
      </c>
      <c r="F48" s="3011" t="s">
        <v>2504</v>
      </c>
      <c r="G48" s="984"/>
    </row>
    <row r="49" spans="1:9">
      <c r="A49" s="3664"/>
      <c r="B49" s="3673"/>
      <c r="C49" s="3012" t="s">
        <v>2505</v>
      </c>
      <c r="D49" s="3013"/>
      <c r="E49" s="3014">
        <v>1</v>
      </c>
      <c r="F49" s="3011" t="s">
        <v>2506</v>
      </c>
      <c r="G49" s="984"/>
    </row>
    <row r="50" spans="1:9">
      <c r="A50" s="3664"/>
      <c r="B50" s="3673"/>
      <c r="C50" s="3012" t="s">
        <v>2507</v>
      </c>
      <c r="D50" s="3013"/>
      <c r="E50" s="3014">
        <v>1</v>
      </c>
      <c r="F50" s="3011" t="s">
        <v>2508</v>
      </c>
      <c r="G50" s="984"/>
    </row>
    <row r="51" spans="1:9">
      <c r="A51" s="3664"/>
      <c r="B51" s="3673"/>
      <c r="C51" s="3012" t="s">
        <v>2509</v>
      </c>
      <c r="D51" s="3013"/>
      <c r="E51" s="3014">
        <v>1</v>
      </c>
      <c r="F51" s="3011" t="s">
        <v>2510</v>
      </c>
      <c r="G51" s="984"/>
    </row>
    <row r="52" spans="1:9">
      <c r="A52" s="3664"/>
      <c r="B52" s="3673"/>
      <c r="C52" s="3012" t="s">
        <v>2511</v>
      </c>
      <c r="D52" s="3013"/>
      <c r="E52" s="3014">
        <v>1</v>
      </c>
      <c r="F52" s="3011" t="s">
        <v>2512</v>
      </c>
      <c r="G52" s="984"/>
    </row>
    <row r="53" spans="1:9" ht="14.25" thickBot="1">
      <c r="A53" s="3665"/>
      <c r="B53" s="3675"/>
      <c r="C53" s="3015" t="s">
        <v>2513</v>
      </c>
      <c r="D53" s="3016"/>
      <c r="E53" s="3017">
        <v>1</v>
      </c>
      <c r="F53" s="3011" t="s">
        <v>2514</v>
      </c>
      <c r="G53" s="984"/>
    </row>
    <row r="54" spans="1:9">
      <c r="A54" s="1327"/>
      <c r="B54" s="1327"/>
      <c r="C54" s="1327"/>
      <c r="D54" s="1327"/>
      <c r="E54" s="1327"/>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2763</v>
      </c>
      <c r="F58" s="981" t="s">
        <v>2763</v>
      </c>
      <c r="G58" s="981" t="s">
        <v>2763</v>
      </c>
      <c r="I58" s="958"/>
    </row>
    <row r="59" spans="1:9">
      <c r="A59" s="998" t="s">
        <v>836</v>
      </c>
      <c r="B59" s="3002">
        <v>0.7</v>
      </c>
      <c r="C59" s="3002">
        <v>0.4</v>
      </c>
      <c r="D59" s="3002">
        <v>0.3</v>
      </c>
      <c r="E59" s="3007">
        <v>0.3</v>
      </c>
      <c r="F59" s="3002">
        <v>0.3</v>
      </c>
      <c r="G59" s="3002">
        <v>0.2</v>
      </c>
      <c r="I59" s="958"/>
    </row>
    <row r="60" spans="1:9">
      <c r="A60" s="998" t="s">
        <v>837</v>
      </c>
      <c r="B60" s="3002">
        <v>0.7</v>
      </c>
      <c r="C60" s="3002">
        <v>0.4</v>
      </c>
      <c r="D60" s="3002">
        <v>0.3</v>
      </c>
      <c r="E60" s="3002">
        <v>0.3</v>
      </c>
      <c r="F60" s="3002">
        <v>0.3</v>
      </c>
      <c r="G60" s="3002">
        <v>0.2</v>
      </c>
      <c r="I60" s="958"/>
    </row>
    <row r="61" spans="1:9">
      <c r="A61" s="998" t="s">
        <v>838</v>
      </c>
      <c r="B61" s="3002">
        <v>0.6</v>
      </c>
      <c r="C61" s="3002">
        <v>0.3</v>
      </c>
      <c r="D61" s="3002">
        <v>0.25</v>
      </c>
      <c r="E61" s="3002">
        <v>0.25</v>
      </c>
      <c r="F61" s="3002">
        <v>0.25</v>
      </c>
      <c r="G61" s="3002">
        <v>0.15</v>
      </c>
      <c r="I61" s="958"/>
    </row>
    <row r="62" spans="1:9">
      <c r="A62" s="998" t="s">
        <v>839</v>
      </c>
      <c r="B62" s="3002">
        <v>0.6</v>
      </c>
      <c r="C62" s="3002">
        <v>0.3</v>
      </c>
      <c r="D62" s="3002">
        <v>0.25</v>
      </c>
      <c r="E62" s="3002">
        <v>0.25</v>
      </c>
      <c r="F62" s="3002">
        <v>0.25</v>
      </c>
      <c r="G62" s="3002">
        <v>0.15</v>
      </c>
      <c r="I62" s="958"/>
    </row>
    <row r="63" spans="1:9" s="974" customFormat="1">
      <c r="A63" s="998" t="s">
        <v>840</v>
      </c>
      <c r="B63" s="3002">
        <v>0.6</v>
      </c>
      <c r="C63" s="3002">
        <v>0.3</v>
      </c>
      <c r="D63" s="3002">
        <v>0.25</v>
      </c>
      <c r="E63" s="3002">
        <v>0.25</v>
      </c>
      <c r="F63" s="3002">
        <v>0.25</v>
      </c>
      <c r="G63" s="3002">
        <v>0.15</v>
      </c>
    </row>
    <row r="64" spans="1:9" s="974" customFormat="1">
      <c r="A64" s="998" t="s">
        <v>841</v>
      </c>
      <c r="B64" s="3002">
        <v>0.6</v>
      </c>
      <c r="C64" s="3002">
        <v>0.3</v>
      </c>
      <c r="D64" s="3002">
        <v>0.25</v>
      </c>
      <c r="E64" s="3002">
        <v>0.25</v>
      </c>
      <c r="F64" s="3002">
        <v>0.25</v>
      </c>
      <c r="G64" s="3002">
        <v>0.15</v>
      </c>
    </row>
    <row r="65" spans="1:8" s="974" customFormat="1">
      <c r="A65" s="998" t="s">
        <v>842</v>
      </c>
      <c r="B65" s="3002">
        <v>0.6</v>
      </c>
      <c r="C65" s="3002">
        <v>0.3</v>
      </c>
      <c r="D65" s="3002">
        <v>0.25</v>
      </c>
      <c r="E65" s="3002">
        <v>0.25</v>
      </c>
      <c r="F65" s="3002">
        <v>0.25</v>
      </c>
      <c r="G65" s="3002">
        <v>0.15</v>
      </c>
    </row>
    <row r="66" spans="1:8" s="974" customFormat="1">
      <c r="A66" s="998" t="s">
        <v>843</v>
      </c>
      <c r="B66" s="3002">
        <v>0.5</v>
      </c>
      <c r="C66" s="3002">
        <v>0.2</v>
      </c>
      <c r="D66" s="3002">
        <v>0.2</v>
      </c>
      <c r="E66" s="3002">
        <v>0.2</v>
      </c>
      <c r="F66" s="3002">
        <v>0.2</v>
      </c>
      <c r="G66" s="3002">
        <v>0.1</v>
      </c>
    </row>
    <row r="67" spans="1:8" s="974" customFormat="1">
      <c r="A67" s="998" t="s">
        <v>844</v>
      </c>
      <c r="B67" s="3002">
        <v>0.5</v>
      </c>
      <c r="C67" s="3002">
        <v>0.2</v>
      </c>
      <c r="D67" s="3002">
        <v>0.2</v>
      </c>
      <c r="E67" s="3002">
        <v>0.2</v>
      </c>
      <c r="F67" s="3002">
        <v>0.2</v>
      </c>
      <c r="G67" s="3002">
        <v>0.1</v>
      </c>
    </row>
    <row r="68" spans="1:8" s="974" customFormat="1">
      <c r="A68" s="998" t="s">
        <v>845</v>
      </c>
      <c r="B68" s="3002">
        <v>0.5</v>
      </c>
      <c r="C68" s="3002">
        <v>0.2</v>
      </c>
      <c r="D68" s="3002">
        <v>0.2</v>
      </c>
      <c r="E68" s="3002">
        <v>0.2</v>
      </c>
      <c r="F68" s="3002">
        <v>0.2</v>
      </c>
      <c r="G68" s="3002">
        <v>0.1</v>
      </c>
    </row>
    <row r="69" spans="1:8" s="974" customFormat="1">
      <c r="A69" s="998" t="s">
        <v>846</v>
      </c>
      <c r="B69" s="3002">
        <v>0.5</v>
      </c>
      <c r="C69" s="3002">
        <v>0.2</v>
      </c>
      <c r="D69" s="3002">
        <v>0.2</v>
      </c>
      <c r="E69" s="3002">
        <v>0.2</v>
      </c>
      <c r="F69" s="3002">
        <v>0.2</v>
      </c>
      <c r="G69" s="3002">
        <v>0.1</v>
      </c>
    </row>
    <row r="70" spans="1:8" s="974" customFormat="1">
      <c r="A70" s="998" t="s">
        <v>847</v>
      </c>
      <c r="B70" s="3002">
        <v>0.5</v>
      </c>
      <c r="C70" s="3002">
        <v>0.2</v>
      </c>
      <c r="D70" s="3002">
        <v>0.2</v>
      </c>
      <c r="E70" s="3002">
        <v>0.2</v>
      </c>
      <c r="F70" s="3002">
        <v>0.2</v>
      </c>
      <c r="G70" s="3002">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2515</v>
      </c>
      <c r="D74" s="1000"/>
      <c r="E74" s="988" t="s">
        <v>1159</v>
      </c>
      <c r="F74" s="1000" t="s">
        <v>1159</v>
      </c>
    </row>
    <row r="75" spans="1:8" s="974" customFormat="1">
      <c r="A75" s="3023">
        <v>1</v>
      </c>
      <c r="B75" s="3674" t="s">
        <v>2516</v>
      </c>
      <c r="C75" s="3002" t="s">
        <v>2517</v>
      </c>
      <c r="D75" s="3002" t="s">
        <v>2518</v>
      </c>
      <c r="E75" s="3024">
        <v>0.2</v>
      </c>
      <c r="F75" s="3023">
        <v>25</v>
      </c>
      <c r="H75" s="974">
        <f>SUMIF(C73:C141,基准地价!C8,E73:E141)</f>
        <v>0</v>
      </c>
    </row>
    <row r="76" spans="1:8" s="974" customFormat="1" ht="24">
      <c r="A76" s="3023">
        <v>2</v>
      </c>
      <c r="B76" s="3673"/>
      <c r="C76" s="3002" t="s">
        <v>2519</v>
      </c>
      <c r="D76" s="3002" t="s">
        <v>2520</v>
      </c>
      <c r="E76" s="3024">
        <v>0.2</v>
      </c>
      <c r="F76" s="3023">
        <v>25</v>
      </c>
    </row>
    <row r="77" spans="1:8" s="974" customFormat="1" ht="24">
      <c r="A77" s="3023">
        <v>3</v>
      </c>
      <c r="B77" s="3673"/>
      <c r="C77" s="3002" t="s">
        <v>2521</v>
      </c>
      <c r="D77" s="3002" t="s">
        <v>2522</v>
      </c>
      <c r="E77" s="3024">
        <v>0.2</v>
      </c>
      <c r="F77" s="3023">
        <v>25</v>
      </c>
    </row>
    <row r="78" spans="1:8" s="974" customFormat="1">
      <c r="A78" s="3023">
        <v>4</v>
      </c>
      <c r="B78" s="3673"/>
      <c r="C78" s="3002" t="s">
        <v>2523</v>
      </c>
      <c r="D78" s="3002" t="s">
        <v>2524</v>
      </c>
      <c r="E78" s="3024">
        <v>0.15</v>
      </c>
      <c r="F78" s="3023">
        <v>20</v>
      </c>
    </row>
    <row r="79" spans="1:8" s="974" customFormat="1" ht="24">
      <c r="A79" s="3023">
        <v>5</v>
      </c>
      <c r="B79" s="3673"/>
      <c r="C79" s="3002" t="s">
        <v>2525</v>
      </c>
      <c r="D79" s="3002" t="s">
        <v>2526</v>
      </c>
      <c r="E79" s="3024">
        <v>0.15</v>
      </c>
      <c r="F79" s="3023">
        <v>20</v>
      </c>
    </row>
    <row r="80" spans="1:8" s="974" customFormat="1" ht="24">
      <c r="A80" s="3023">
        <v>6</v>
      </c>
      <c r="B80" s="3673"/>
      <c r="C80" s="3002" t="s">
        <v>2527</v>
      </c>
      <c r="D80" s="3002" t="s">
        <v>2528</v>
      </c>
      <c r="E80" s="3024">
        <v>0.15</v>
      </c>
      <c r="F80" s="3023">
        <v>20</v>
      </c>
    </row>
    <row r="81" spans="1:6" s="974" customFormat="1" ht="24">
      <c r="A81" s="3023">
        <v>7</v>
      </c>
      <c r="B81" s="3673"/>
      <c r="C81" s="3002" t="s">
        <v>2529</v>
      </c>
      <c r="D81" s="3002" t="s">
        <v>2530</v>
      </c>
      <c r="E81" s="3024">
        <v>0.15</v>
      </c>
      <c r="F81" s="3023">
        <v>20</v>
      </c>
    </row>
    <row r="82" spans="1:6" s="974" customFormat="1" ht="24">
      <c r="A82" s="3023">
        <v>8</v>
      </c>
      <c r="B82" s="3673"/>
      <c r="C82" s="3002" t="s">
        <v>2531</v>
      </c>
      <c r="D82" s="3002" t="s">
        <v>2532</v>
      </c>
      <c r="E82" s="3024">
        <v>0.1</v>
      </c>
      <c r="F82" s="3023">
        <v>15</v>
      </c>
    </row>
    <row r="83" spans="1:6" s="974" customFormat="1" ht="24">
      <c r="A83" s="3023">
        <v>9</v>
      </c>
      <c r="B83" s="3673"/>
      <c r="C83" s="3002" t="s">
        <v>2533</v>
      </c>
      <c r="D83" s="3002" t="s">
        <v>2534</v>
      </c>
      <c r="E83" s="3024">
        <v>0.1</v>
      </c>
      <c r="F83" s="3023">
        <v>15</v>
      </c>
    </row>
    <row r="84" spans="1:6" s="974" customFormat="1" ht="24">
      <c r="A84" s="3023">
        <v>10</v>
      </c>
      <c r="B84" s="3673"/>
      <c r="C84" s="3002" t="s">
        <v>2535</v>
      </c>
      <c r="D84" s="3002" t="s">
        <v>2536</v>
      </c>
      <c r="E84" s="3024">
        <v>0.1</v>
      </c>
      <c r="F84" s="3023">
        <v>15</v>
      </c>
    </row>
    <row r="85" spans="1:6" s="974" customFormat="1" ht="24">
      <c r="A85" s="3023">
        <v>11</v>
      </c>
      <c r="B85" s="3673"/>
      <c r="C85" s="3002" t="s">
        <v>2537</v>
      </c>
      <c r="D85" s="3002" t="s">
        <v>2538</v>
      </c>
      <c r="E85" s="3024">
        <v>0.1</v>
      </c>
      <c r="F85" s="3023">
        <v>15</v>
      </c>
    </row>
    <row r="86" spans="1:6" s="974" customFormat="1" ht="24">
      <c r="A86" s="3023">
        <v>12</v>
      </c>
      <c r="B86" s="3673"/>
      <c r="C86" s="3002" t="s">
        <v>2539</v>
      </c>
      <c r="D86" s="3002" t="s">
        <v>2540</v>
      </c>
      <c r="E86" s="3024">
        <v>0.1</v>
      </c>
      <c r="F86" s="3023">
        <v>15</v>
      </c>
    </row>
    <row r="87" spans="1:6" s="974" customFormat="1">
      <c r="A87" s="3023">
        <v>13</v>
      </c>
      <c r="B87" s="3673"/>
      <c r="C87" s="3002" t="s">
        <v>2541</v>
      </c>
      <c r="D87" s="3002" t="s">
        <v>2542</v>
      </c>
      <c r="E87" s="3024">
        <v>0.1</v>
      </c>
      <c r="F87" s="3023">
        <v>15</v>
      </c>
    </row>
    <row r="88" spans="1:6" s="974" customFormat="1">
      <c r="A88" s="3023">
        <v>14</v>
      </c>
      <c r="B88" s="3673"/>
      <c r="C88" s="3002" t="s">
        <v>2543</v>
      </c>
      <c r="D88" s="3002" t="s">
        <v>2544</v>
      </c>
      <c r="E88" s="3024">
        <v>0.1</v>
      </c>
      <c r="F88" s="3023">
        <v>15</v>
      </c>
    </row>
    <row r="89" spans="1:6" s="974" customFormat="1">
      <c r="A89" s="3023">
        <v>15</v>
      </c>
      <c r="B89" s="3673"/>
      <c r="C89" s="3002" t="s">
        <v>2545</v>
      </c>
      <c r="D89" s="3002" t="s">
        <v>2546</v>
      </c>
      <c r="E89" s="3024">
        <v>0.1</v>
      </c>
      <c r="F89" s="3023">
        <v>15</v>
      </c>
    </row>
    <row r="90" spans="1:6" s="974" customFormat="1" ht="24">
      <c r="A90" s="3023">
        <v>16</v>
      </c>
      <c r="B90" s="3673"/>
      <c r="C90" s="3002" t="s">
        <v>2547</v>
      </c>
      <c r="D90" s="3002" t="s">
        <v>2548</v>
      </c>
      <c r="E90" s="3024">
        <v>0.1</v>
      </c>
      <c r="F90" s="3023">
        <v>15</v>
      </c>
    </row>
    <row r="91" spans="1:6" s="974" customFormat="1" ht="24">
      <c r="A91" s="3023">
        <v>17</v>
      </c>
      <c r="B91" s="3676"/>
      <c r="C91" s="3002" t="s">
        <v>2549</v>
      </c>
      <c r="D91" s="3002" t="s">
        <v>2550</v>
      </c>
      <c r="E91" s="3024">
        <v>0.1</v>
      </c>
      <c r="F91" s="3023">
        <v>15</v>
      </c>
    </row>
    <row r="92" spans="1:6" s="974" customFormat="1">
      <c r="A92" s="3023">
        <v>18</v>
      </c>
      <c r="B92" s="3674" t="s">
        <v>2551</v>
      </c>
      <c r="C92" s="3002" t="s">
        <v>2552</v>
      </c>
      <c r="D92" s="3002" t="s">
        <v>2553</v>
      </c>
      <c r="E92" s="3024">
        <v>0.2</v>
      </c>
      <c r="F92" s="3023">
        <v>25</v>
      </c>
    </row>
    <row r="93" spans="1:6" s="974" customFormat="1" ht="24">
      <c r="A93" s="3023">
        <v>19</v>
      </c>
      <c r="B93" s="3673"/>
      <c r="C93" s="3002" t="s">
        <v>2554</v>
      </c>
      <c r="D93" s="3002" t="s">
        <v>2555</v>
      </c>
      <c r="E93" s="3024">
        <v>0.2</v>
      </c>
      <c r="F93" s="3023">
        <v>25</v>
      </c>
    </row>
    <row r="94" spans="1:6" s="974" customFormat="1">
      <c r="A94" s="3023">
        <v>20</v>
      </c>
      <c r="B94" s="3673"/>
      <c r="C94" s="3002" t="s">
        <v>2556</v>
      </c>
      <c r="D94" s="3002" t="s">
        <v>2557</v>
      </c>
      <c r="E94" s="3024">
        <v>0.15</v>
      </c>
      <c r="F94" s="3023">
        <v>20</v>
      </c>
    </row>
    <row r="95" spans="1:6" s="974" customFormat="1" ht="24">
      <c r="A95" s="3023">
        <v>21</v>
      </c>
      <c r="B95" s="3673"/>
      <c r="C95" s="3002" t="s">
        <v>2558</v>
      </c>
      <c r="D95" s="3002" t="s">
        <v>2559</v>
      </c>
      <c r="E95" s="3024">
        <v>0.15</v>
      </c>
      <c r="F95" s="3023">
        <v>20</v>
      </c>
    </row>
    <row r="96" spans="1:6" s="974" customFormat="1" ht="24">
      <c r="A96" s="3023">
        <v>22</v>
      </c>
      <c r="B96" s="3673"/>
      <c r="C96" s="3002" t="s">
        <v>2560</v>
      </c>
      <c r="D96" s="3002" t="s">
        <v>2561</v>
      </c>
      <c r="E96" s="3024">
        <v>0.15</v>
      </c>
      <c r="F96" s="3023">
        <v>20</v>
      </c>
    </row>
    <row r="97" spans="1:6" s="974" customFormat="1" ht="36">
      <c r="A97" s="3023">
        <v>23</v>
      </c>
      <c r="B97" s="3673"/>
      <c r="C97" s="3002" t="s">
        <v>2562</v>
      </c>
      <c r="D97" s="3002" t="s">
        <v>2563</v>
      </c>
      <c r="E97" s="3024">
        <v>0.15</v>
      </c>
      <c r="F97" s="3023">
        <v>20</v>
      </c>
    </row>
    <row r="98" spans="1:6" s="974" customFormat="1">
      <c r="A98" s="3023">
        <v>24</v>
      </c>
      <c r="B98" s="3673"/>
      <c r="C98" s="3002" t="s">
        <v>2564</v>
      </c>
      <c r="D98" s="3002" t="s">
        <v>2565</v>
      </c>
      <c r="E98" s="3024">
        <v>0.1</v>
      </c>
      <c r="F98" s="3023">
        <v>15</v>
      </c>
    </row>
    <row r="99" spans="1:6" s="974" customFormat="1" ht="24">
      <c r="A99" s="3023">
        <v>25</v>
      </c>
      <c r="B99" s="3673"/>
      <c r="C99" s="3002" t="s">
        <v>2566</v>
      </c>
      <c r="D99" s="3002" t="s">
        <v>2567</v>
      </c>
      <c r="E99" s="3024">
        <v>0.1</v>
      </c>
      <c r="F99" s="3023">
        <v>15</v>
      </c>
    </row>
    <row r="100" spans="1:6" s="974" customFormat="1" ht="24">
      <c r="A100" s="3023">
        <v>26</v>
      </c>
      <c r="B100" s="3673"/>
      <c r="C100" s="3002" t="s">
        <v>2568</v>
      </c>
      <c r="D100" s="3002" t="s">
        <v>2569</v>
      </c>
      <c r="E100" s="3024">
        <v>0.1</v>
      </c>
      <c r="F100" s="3023">
        <v>15</v>
      </c>
    </row>
    <row r="101" spans="1:6" s="974" customFormat="1" ht="24">
      <c r="A101" s="3023">
        <v>27</v>
      </c>
      <c r="B101" s="3673"/>
      <c r="C101" s="3002" t="s">
        <v>2570</v>
      </c>
      <c r="D101" s="3002" t="s">
        <v>2571</v>
      </c>
      <c r="E101" s="3024">
        <v>0.1</v>
      </c>
      <c r="F101" s="3023">
        <v>15</v>
      </c>
    </row>
    <row r="102" spans="1:6" s="974" customFormat="1" ht="24">
      <c r="A102" s="3023">
        <v>28</v>
      </c>
      <c r="B102" s="3673"/>
      <c r="C102" s="3002" t="s">
        <v>2572</v>
      </c>
      <c r="D102" s="3002" t="s">
        <v>2573</v>
      </c>
      <c r="E102" s="3024">
        <v>0.1</v>
      </c>
      <c r="F102" s="3023">
        <v>15</v>
      </c>
    </row>
    <row r="103" spans="1:6" s="974" customFormat="1" ht="24">
      <c r="A103" s="3023">
        <v>29</v>
      </c>
      <c r="B103" s="3673"/>
      <c r="C103" s="3002" t="s">
        <v>2574</v>
      </c>
      <c r="D103" s="3002" t="s">
        <v>2575</v>
      </c>
      <c r="E103" s="3024">
        <v>0.1</v>
      </c>
      <c r="F103" s="3023">
        <v>15</v>
      </c>
    </row>
    <row r="104" spans="1:6" s="974" customFormat="1" ht="24">
      <c r="A104" s="3023">
        <v>30</v>
      </c>
      <c r="B104" s="3673"/>
      <c r="C104" s="3002" t="s">
        <v>2576</v>
      </c>
      <c r="D104" s="3002" t="s">
        <v>2577</v>
      </c>
      <c r="E104" s="3024">
        <v>0.1</v>
      </c>
      <c r="F104" s="3023">
        <v>15</v>
      </c>
    </row>
    <row r="105" spans="1:6" s="974" customFormat="1" ht="24">
      <c r="A105" s="3023">
        <v>31</v>
      </c>
      <c r="B105" s="3673"/>
      <c r="C105" s="3002" t="s">
        <v>2578</v>
      </c>
      <c r="D105" s="3002" t="s">
        <v>2579</v>
      </c>
      <c r="E105" s="3024">
        <v>0.1</v>
      </c>
      <c r="F105" s="3023">
        <v>15</v>
      </c>
    </row>
    <row r="106" spans="1:6" s="974" customFormat="1" ht="24">
      <c r="A106" s="3023">
        <v>32</v>
      </c>
      <c r="B106" s="3673"/>
      <c r="C106" s="3002" t="s">
        <v>2580</v>
      </c>
      <c r="D106" s="3002" t="s">
        <v>2581</v>
      </c>
      <c r="E106" s="3024">
        <v>0.1</v>
      </c>
      <c r="F106" s="3023">
        <v>15</v>
      </c>
    </row>
    <row r="107" spans="1:6" s="974" customFormat="1" ht="24">
      <c r="A107" s="3023">
        <v>33</v>
      </c>
      <c r="B107" s="3673"/>
      <c r="C107" s="3002" t="s">
        <v>2582</v>
      </c>
      <c r="D107" s="3002" t="s">
        <v>2583</v>
      </c>
      <c r="E107" s="3024">
        <v>0.1</v>
      </c>
      <c r="F107" s="3023">
        <v>15</v>
      </c>
    </row>
    <row r="108" spans="1:6" s="974" customFormat="1" ht="24">
      <c r="A108" s="3023">
        <v>34</v>
      </c>
      <c r="B108" s="3676"/>
      <c r="C108" s="3002" t="s">
        <v>2584</v>
      </c>
      <c r="D108" s="3002" t="s">
        <v>2585</v>
      </c>
      <c r="E108" s="3024">
        <v>0.1</v>
      </c>
      <c r="F108" s="3023">
        <v>15</v>
      </c>
    </row>
    <row r="109" spans="1:6" s="974" customFormat="1" ht="24">
      <c r="A109" s="3023">
        <v>35</v>
      </c>
      <c r="B109" s="3674" t="s">
        <v>2586</v>
      </c>
      <c r="C109" s="3023" t="s">
        <v>2587</v>
      </c>
      <c r="D109" s="3002" t="s">
        <v>2588</v>
      </c>
      <c r="E109" s="3024">
        <v>0.15</v>
      </c>
      <c r="F109" s="3023">
        <v>20</v>
      </c>
    </row>
    <row r="110" spans="1:6" s="974" customFormat="1" ht="24">
      <c r="A110" s="3023">
        <v>36</v>
      </c>
      <c r="B110" s="3673"/>
      <c r="C110" s="3023" t="s">
        <v>2589</v>
      </c>
      <c r="D110" s="3002" t="s">
        <v>2590</v>
      </c>
      <c r="E110" s="3024">
        <v>0.15</v>
      </c>
      <c r="F110" s="3023">
        <v>20</v>
      </c>
    </row>
    <row r="111" spans="1:6" s="974" customFormat="1" ht="24">
      <c r="A111" s="3023">
        <v>37</v>
      </c>
      <c r="B111" s="3673"/>
      <c r="C111" s="3023" t="s">
        <v>2591</v>
      </c>
      <c r="D111" s="3002" t="s">
        <v>2592</v>
      </c>
      <c r="E111" s="3024">
        <v>0.15</v>
      </c>
      <c r="F111" s="3023">
        <v>20</v>
      </c>
    </row>
    <row r="112" spans="1:6" s="974" customFormat="1">
      <c r="A112" s="3023">
        <v>38</v>
      </c>
      <c r="B112" s="3673"/>
      <c r="C112" s="3023" t="s">
        <v>2593</v>
      </c>
      <c r="D112" s="3002" t="s">
        <v>2594</v>
      </c>
      <c r="E112" s="3024">
        <v>0.1</v>
      </c>
      <c r="F112" s="3023">
        <v>15</v>
      </c>
    </row>
    <row r="113" spans="1:6" s="974" customFormat="1" ht="24">
      <c r="A113" s="3023">
        <v>39</v>
      </c>
      <c r="B113" s="3673"/>
      <c r="C113" s="3023" t="s">
        <v>2595</v>
      </c>
      <c r="D113" s="3002" t="s">
        <v>2596</v>
      </c>
      <c r="E113" s="3024">
        <v>0.1</v>
      </c>
      <c r="F113" s="3023">
        <v>15</v>
      </c>
    </row>
    <row r="114" spans="1:6" s="974" customFormat="1" ht="24">
      <c r="A114" s="3023">
        <v>40</v>
      </c>
      <c r="B114" s="3676"/>
      <c r="C114" s="3023" t="s">
        <v>2597</v>
      </c>
      <c r="D114" s="3002" t="s">
        <v>2598</v>
      </c>
      <c r="E114" s="3024">
        <v>0.1</v>
      </c>
      <c r="F114" s="3023">
        <v>15</v>
      </c>
    </row>
    <row r="115" spans="1:6" s="974" customFormat="1" ht="24">
      <c r="A115" s="3023">
        <v>41</v>
      </c>
      <c r="B115" s="3667" t="s">
        <v>2599</v>
      </c>
      <c r="C115" s="3023" t="s">
        <v>2600</v>
      </c>
      <c r="D115" s="3002" t="s">
        <v>2601</v>
      </c>
      <c r="E115" s="3024">
        <v>0.1</v>
      </c>
      <c r="F115" s="3023">
        <v>15</v>
      </c>
    </row>
    <row r="116" spans="1:6" s="974" customFormat="1">
      <c r="A116" s="3023">
        <v>42</v>
      </c>
      <c r="B116" s="3667"/>
      <c r="C116" s="3023" t="s">
        <v>2602</v>
      </c>
      <c r="D116" s="3002" t="s">
        <v>2603</v>
      </c>
      <c r="E116" s="3024">
        <v>0.1</v>
      </c>
      <c r="F116" s="3023">
        <v>15</v>
      </c>
    </row>
    <row r="117" spans="1:6" s="974" customFormat="1" ht="24">
      <c r="A117" s="3023">
        <v>43</v>
      </c>
      <c r="B117" s="3667"/>
      <c r="C117" s="3023" t="s">
        <v>2604</v>
      </c>
      <c r="D117" s="3002" t="s">
        <v>2605</v>
      </c>
      <c r="E117" s="3024">
        <v>0.1</v>
      </c>
      <c r="F117" s="3023">
        <v>15</v>
      </c>
    </row>
    <row r="118" spans="1:6" s="974" customFormat="1" ht="24">
      <c r="A118" s="3023">
        <v>44</v>
      </c>
      <c r="B118" s="3674" t="s">
        <v>2606</v>
      </c>
      <c r="C118" s="3023" t="s">
        <v>2607</v>
      </c>
      <c r="D118" s="3002" t="s">
        <v>2608</v>
      </c>
      <c r="E118" s="3024">
        <v>0.1</v>
      </c>
      <c r="F118" s="3023">
        <v>15</v>
      </c>
    </row>
    <row r="119" spans="1:6" s="974" customFormat="1" ht="24">
      <c r="A119" s="3023">
        <v>45</v>
      </c>
      <c r="B119" s="3676"/>
      <c r="C119" s="3002" t="s">
        <v>2609</v>
      </c>
      <c r="D119" s="3002" t="s">
        <v>2610</v>
      </c>
      <c r="E119" s="3024">
        <v>0.1</v>
      </c>
      <c r="F119" s="3023">
        <v>15</v>
      </c>
    </row>
    <row r="120" spans="1:6" s="974" customFormat="1" ht="24">
      <c r="A120" s="3023">
        <v>46</v>
      </c>
      <c r="B120" s="3674" t="s">
        <v>2611</v>
      </c>
      <c r="C120" s="3023" t="s">
        <v>2612</v>
      </c>
      <c r="D120" s="3002" t="s">
        <v>2613</v>
      </c>
      <c r="E120" s="3024">
        <v>0.1</v>
      </c>
      <c r="F120" s="3023">
        <v>15</v>
      </c>
    </row>
    <row r="121" spans="1:6" s="974" customFormat="1" ht="24">
      <c r="A121" s="3023">
        <v>47</v>
      </c>
      <c r="B121" s="3676"/>
      <c r="C121" s="3023" t="s">
        <v>2614</v>
      </c>
      <c r="D121" s="3002" t="s">
        <v>2615</v>
      </c>
      <c r="E121" s="3024">
        <v>0.1</v>
      </c>
      <c r="F121" s="3023">
        <v>15</v>
      </c>
    </row>
    <row r="122" spans="1:6" s="974" customFormat="1" ht="24">
      <c r="A122" s="3023">
        <v>48</v>
      </c>
      <c r="B122" s="3674" t="s">
        <v>2616</v>
      </c>
      <c r="C122" s="3023" t="s">
        <v>2617</v>
      </c>
      <c r="D122" s="3002" t="s">
        <v>2618</v>
      </c>
      <c r="E122" s="3024">
        <v>0.1</v>
      </c>
      <c r="F122" s="3023">
        <v>15</v>
      </c>
    </row>
    <row r="123" spans="1:6" s="974" customFormat="1">
      <c r="A123" s="3023">
        <v>49</v>
      </c>
      <c r="B123" s="3676"/>
      <c r="C123" s="3023" t="s">
        <v>2619</v>
      </c>
      <c r="D123" s="3002" t="s">
        <v>2620</v>
      </c>
      <c r="E123" s="3024">
        <v>0.1</v>
      </c>
      <c r="F123" s="3023">
        <v>15</v>
      </c>
    </row>
    <row r="124" spans="1:6" s="974" customFormat="1" ht="24">
      <c r="A124" s="3023">
        <v>50</v>
      </c>
      <c r="B124" s="3667" t="s">
        <v>2621</v>
      </c>
      <c r="C124" s="3023" t="s">
        <v>2622</v>
      </c>
      <c r="D124" s="3002" t="s">
        <v>2623</v>
      </c>
      <c r="E124" s="3024">
        <v>0.1</v>
      </c>
      <c r="F124" s="3023">
        <v>15</v>
      </c>
    </row>
    <row r="125" spans="1:6" s="974" customFormat="1" ht="24">
      <c r="A125" s="3023">
        <v>51</v>
      </c>
      <c r="B125" s="3667"/>
      <c r="C125" s="3023" t="s">
        <v>2624</v>
      </c>
      <c r="D125" s="3002" t="s">
        <v>2625</v>
      </c>
      <c r="E125" s="3024">
        <v>0.1</v>
      </c>
      <c r="F125" s="3023">
        <v>15</v>
      </c>
    </row>
    <row r="126" spans="1:6" s="974" customFormat="1" ht="24">
      <c r="A126" s="3023">
        <v>52</v>
      </c>
      <c r="B126" s="3667" t="s">
        <v>2626</v>
      </c>
      <c r="C126" s="3023" t="s">
        <v>2627</v>
      </c>
      <c r="D126" s="3002" t="s">
        <v>2628</v>
      </c>
      <c r="E126" s="3024">
        <v>0.1</v>
      </c>
      <c r="F126" s="3023">
        <v>15</v>
      </c>
    </row>
    <row r="127" spans="1:6" s="974" customFormat="1" ht="24">
      <c r="A127" s="3023">
        <v>53</v>
      </c>
      <c r="B127" s="3667"/>
      <c r="C127" s="3023" t="s">
        <v>2629</v>
      </c>
      <c r="D127" s="3002" t="s">
        <v>2630</v>
      </c>
      <c r="E127" s="3024">
        <v>0.1</v>
      </c>
      <c r="F127" s="3023">
        <v>15</v>
      </c>
    </row>
    <row r="128" spans="1:6" ht="24">
      <c r="A128" s="3023">
        <v>54</v>
      </c>
      <c r="B128" s="3023" t="s">
        <v>2631</v>
      </c>
      <c r="C128" s="3023" t="s">
        <v>2632</v>
      </c>
      <c r="D128" s="3002" t="s">
        <v>2633</v>
      </c>
      <c r="E128" s="3024">
        <v>0.1</v>
      </c>
      <c r="F128" s="3023">
        <v>15</v>
      </c>
    </row>
    <row r="129" spans="1:14">
      <c r="A129" s="3023">
        <v>55</v>
      </c>
      <c r="B129" s="3667" t="s">
        <v>2634</v>
      </c>
      <c r="C129" s="3023" t="s">
        <v>2635</v>
      </c>
      <c r="D129" s="3002" t="s">
        <v>2636</v>
      </c>
      <c r="E129" s="3024">
        <v>0.1</v>
      </c>
      <c r="F129" s="3023">
        <v>15</v>
      </c>
    </row>
    <row r="130" spans="1:14">
      <c r="A130" s="3023">
        <v>56</v>
      </c>
      <c r="B130" s="3667"/>
      <c r="C130" s="3023" t="s">
        <v>2637</v>
      </c>
      <c r="D130" s="3002" t="s">
        <v>2638</v>
      </c>
      <c r="E130" s="3024">
        <v>0.1</v>
      </c>
      <c r="F130" s="3023">
        <v>15</v>
      </c>
    </row>
    <row r="131" spans="1:14" ht="24">
      <c r="A131" s="3023">
        <v>57</v>
      </c>
      <c r="B131" s="3667"/>
      <c r="C131" s="3023" t="s">
        <v>2639</v>
      </c>
      <c r="D131" s="3002" t="s">
        <v>2640</v>
      </c>
      <c r="E131" s="3024">
        <v>0.1</v>
      </c>
      <c r="F131" s="3023">
        <v>15</v>
      </c>
    </row>
    <row r="132" spans="1:14" ht="24">
      <c r="A132" s="3023">
        <v>58</v>
      </c>
      <c r="B132" s="3667" t="s">
        <v>2641</v>
      </c>
      <c r="C132" s="3023" t="s">
        <v>2642</v>
      </c>
      <c r="D132" s="3002" t="s">
        <v>2643</v>
      </c>
      <c r="E132" s="3024">
        <v>0.1</v>
      </c>
      <c r="F132" s="3023">
        <v>15</v>
      </c>
    </row>
    <row r="133" spans="1:14" ht="24">
      <c r="A133" s="3023">
        <v>59</v>
      </c>
      <c r="B133" s="3667"/>
      <c r="C133" s="3023" t="s">
        <v>2644</v>
      </c>
      <c r="D133" s="3002" t="s">
        <v>2645</v>
      </c>
      <c r="E133" s="3024">
        <v>0.1</v>
      </c>
      <c r="F133" s="3023">
        <v>15</v>
      </c>
    </row>
    <row r="134" spans="1:14" ht="24">
      <c r="A134" s="3023">
        <v>60</v>
      </c>
      <c r="B134" s="3674" t="s">
        <v>2646</v>
      </c>
      <c r="C134" s="3023" t="s">
        <v>2647</v>
      </c>
      <c r="D134" s="3002" t="s">
        <v>2648</v>
      </c>
      <c r="E134" s="3024">
        <v>0.1</v>
      </c>
      <c r="F134" s="3023">
        <v>15</v>
      </c>
    </row>
    <row r="135" spans="1:14" ht="24">
      <c r="A135" s="3023">
        <v>61</v>
      </c>
      <c r="B135" s="3676"/>
      <c r="C135" s="3023" t="s">
        <v>2649</v>
      </c>
      <c r="D135" s="3002" t="s">
        <v>2650</v>
      </c>
      <c r="E135" s="3024">
        <v>0.1</v>
      </c>
      <c r="F135" s="3023">
        <v>15</v>
      </c>
    </row>
    <row r="136" spans="1:14" ht="24">
      <c r="A136" s="3023">
        <v>62</v>
      </c>
      <c r="B136" s="3023" t="s">
        <v>2651</v>
      </c>
      <c r="C136" s="3023" t="s">
        <v>2652</v>
      </c>
      <c r="D136" s="3002" t="s">
        <v>2653</v>
      </c>
      <c r="E136" s="3024">
        <v>0.1</v>
      </c>
      <c r="F136" s="3023">
        <v>15</v>
      </c>
    </row>
    <row r="137" spans="1:14" ht="24">
      <c r="A137" s="3023">
        <v>63</v>
      </c>
      <c r="B137" s="3667" t="s">
        <v>2654</v>
      </c>
      <c r="C137" s="3023" t="s">
        <v>2655</v>
      </c>
      <c r="D137" s="3002" t="s">
        <v>2656</v>
      </c>
      <c r="E137" s="3024">
        <v>0.1</v>
      </c>
      <c r="F137" s="3023">
        <v>15</v>
      </c>
    </row>
    <row r="138" spans="1:14">
      <c r="A138" s="3023">
        <v>64</v>
      </c>
      <c r="B138" s="3667"/>
      <c r="C138" s="3023" t="s">
        <v>2657</v>
      </c>
      <c r="D138" s="3002" t="s">
        <v>2658</v>
      </c>
      <c r="E138" s="3024">
        <v>0.1</v>
      </c>
      <c r="F138" s="3023">
        <v>15</v>
      </c>
    </row>
    <row r="139" spans="1:14" ht="24">
      <c r="A139" s="3023">
        <v>65</v>
      </c>
      <c r="B139" s="3023" t="s">
        <v>2659</v>
      </c>
      <c r="C139" s="3023" t="s">
        <v>2660</v>
      </c>
      <c r="D139" s="3002" t="s">
        <v>2661</v>
      </c>
      <c r="E139" s="3024">
        <v>0.1</v>
      </c>
      <c r="F139" s="3023">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1"/>
    <col min="9" max="9" width="9" style="958"/>
    <col min="10" max="10" width="17.375" style="3190" customWidth="1"/>
    <col min="11" max="21" width="17.375" style="3165" customWidth="1"/>
    <col min="22" max="16384" width="9" style="958"/>
  </cols>
  <sheetData>
    <row r="1" spans="1:21">
      <c r="A1" s="3677" t="s">
        <v>2800</v>
      </c>
      <c r="B1" s="3677"/>
      <c r="C1" s="3677"/>
      <c r="D1" s="3677"/>
      <c r="E1" s="3677"/>
      <c r="F1" s="3677"/>
      <c r="G1" s="3678"/>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2801</v>
      </c>
      <c r="B2" s="3151"/>
      <c r="C2" s="3151"/>
      <c r="D2" s="3151"/>
      <c r="E2" s="3151"/>
      <c r="F2" s="3151"/>
      <c r="G2" s="3146" t="s">
        <v>2802</v>
      </c>
      <c r="J2" s="3175" t="s">
        <v>2808</v>
      </c>
      <c r="K2" s="3155" t="s">
        <v>2810</v>
      </c>
      <c r="L2" s="3155" t="s">
        <v>2812</v>
      </c>
      <c r="M2" s="3155" t="s">
        <v>2818</v>
      </c>
      <c r="N2" s="3155" t="s">
        <v>2828</v>
      </c>
      <c r="O2" s="3155" t="s">
        <v>2843</v>
      </c>
      <c r="P2" s="3155" t="s">
        <v>2880</v>
      </c>
      <c r="Q2" s="3155" t="s">
        <v>2911</v>
      </c>
      <c r="R2" s="3155" t="s">
        <v>2939</v>
      </c>
      <c r="S2" s="3155" t="s">
        <v>2974</v>
      </c>
      <c r="T2" s="3155" t="s">
        <v>2994</v>
      </c>
      <c r="U2" s="3155" t="s">
        <v>3006</v>
      </c>
    </row>
    <row r="3" spans="1:21" s="962" customFormat="1" ht="19.5" customHeight="1">
      <c r="A3" s="3679" t="s">
        <v>2803</v>
      </c>
      <c r="B3" s="3147"/>
      <c r="C3" s="3148" t="s">
        <v>2781</v>
      </c>
      <c r="D3" s="3148" t="s">
        <v>2804</v>
      </c>
      <c r="E3" s="3148" t="s">
        <v>2783</v>
      </c>
      <c r="F3" s="3148" t="s">
        <v>2805</v>
      </c>
      <c r="G3" s="3148" t="s">
        <v>2726</v>
      </c>
      <c r="H3" s="965"/>
      <c r="J3" s="3175" t="s">
        <v>2809</v>
      </c>
      <c r="K3" s="3155" t="s">
        <v>973</v>
      </c>
      <c r="L3" s="3155" t="s">
        <v>974</v>
      </c>
      <c r="M3" s="3155" t="s">
        <v>975</v>
      </c>
      <c r="N3" s="3155" t="s">
        <v>976</v>
      </c>
      <c r="O3" s="3155" t="s">
        <v>977</v>
      </c>
      <c r="P3" s="3155" t="s">
        <v>978</v>
      </c>
      <c r="Q3" s="3155" t="s">
        <v>979</v>
      </c>
      <c r="R3" s="3155" t="s">
        <v>980</v>
      </c>
      <c r="S3" s="3155" t="s">
        <v>981</v>
      </c>
      <c r="T3" s="3155" t="s">
        <v>2995</v>
      </c>
      <c r="U3" s="3155" t="s">
        <v>3007</v>
      </c>
    </row>
    <row r="4" spans="1:21" s="962" customFormat="1" ht="19.5" customHeight="1" thickBot="1">
      <c r="A4" s="3680"/>
      <c r="B4" s="3149" t="s">
        <v>2806</v>
      </c>
      <c r="C4" s="3149" t="s">
        <v>2807</v>
      </c>
      <c r="D4" s="3149" t="s">
        <v>2807</v>
      </c>
      <c r="E4" s="3149" t="s">
        <v>2807</v>
      </c>
      <c r="F4" s="3150" t="s">
        <v>2807</v>
      </c>
      <c r="G4" s="3150" t="s">
        <v>2807</v>
      </c>
      <c r="H4" s="965"/>
      <c r="J4" s="3175" t="s">
        <v>982</v>
      </c>
      <c r="K4" s="3155" t="s">
        <v>983</v>
      </c>
      <c r="L4" s="3155" t="s">
        <v>984</v>
      </c>
      <c r="M4" s="3155" t="s">
        <v>985</v>
      </c>
      <c r="N4" s="3155" t="s">
        <v>986</v>
      </c>
      <c r="O4" s="3155" t="s">
        <v>987</v>
      </c>
      <c r="P4" s="3155" t="s">
        <v>988</v>
      </c>
      <c r="Q4" s="3155" t="s">
        <v>989</v>
      </c>
      <c r="R4" s="3155" t="s">
        <v>2940</v>
      </c>
      <c r="S4" s="3155" t="s">
        <v>2975</v>
      </c>
      <c r="T4" s="3155" t="s">
        <v>2996</v>
      </c>
      <c r="U4" s="3155" t="s">
        <v>3008</v>
      </c>
    </row>
    <row r="5" spans="1:21" ht="14.25" customHeight="1">
      <c r="A5" s="3152" t="s">
        <v>990</v>
      </c>
      <c r="B5" s="3153" t="s">
        <v>2808</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2941</v>
      </c>
      <c r="S5" s="3155" t="s">
        <v>2976</v>
      </c>
      <c r="T5" s="3155" t="s">
        <v>999</v>
      </c>
      <c r="U5" s="3155" t="s">
        <v>3009</v>
      </c>
    </row>
    <row r="6" spans="1:21" ht="14.25" customHeight="1">
      <c r="A6" s="3155" t="s">
        <v>990</v>
      </c>
      <c r="B6" s="3155" t="s">
        <v>2809</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2912</v>
      </c>
      <c r="R6" s="3155" t="s">
        <v>2942</v>
      </c>
      <c r="S6" s="3155" t="s">
        <v>1008</v>
      </c>
      <c r="T6" s="3155" t="s">
        <v>2997</v>
      </c>
      <c r="U6" s="3155" t="s">
        <v>3010</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2913</v>
      </c>
      <c r="R7" s="3155" t="s">
        <v>2943</v>
      </c>
      <c r="S7" s="3155" t="s">
        <v>2977</v>
      </c>
      <c r="T7" s="3155" t="s">
        <v>2998</v>
      </c>
      <c r="U7" s="1216" t="s">
        <v>3011</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2914</v>
      </c>
      <c r="R8" s="3155" t="s">
        <v>1021</v>
      </c>
      <c r="S8" s="3155" t="s">
        <v>2978</v>
      </c>
      <c r="T8" s="3155" t="s">
        <v>2999</v>
      </c>
      <c r="U8" s="3155" t="s">
        <v>3012</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2915</v>
      </c>
      <c r="R9" s="3155" t="s">
        <v>1029</v>
      </c>
      <c r="S9" s="3155" t="s">
        <v>1030</v>
      </c>
      <c r="T9" s="3155" t="s">
        <v>1047</v>
      </c>
    </row>
    <row r="10" spans="1:21" ht="14.25" customHeight="1">
      <c r="A10" s="3152" t="s">
        <v>1031</v>
      </c>
      <c r="B10" s="3153" t="s">
        <v>2810</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3000</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2881</v>
      </c>
      <c r="Q11" s="3155" t="s">
        <v>1038</v>
      </c>
      <c r="R11" s="3155" t="s">
        <v>1046</v>
      </c>
      <c r="S11" s="3155" t="s">
        <v>2979</v>
      </c>
      <c r="T11" s="3155" t="s">
        <v>3001</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2882</v>
      </c>
      <c r="Q12" s="3155" t="s">
        <v>2916</v>
      </c>
      <c r="R12" s="3155" t="s">
        <v>2944</v>
      </c>
      <c r="S12" s="3155" t="s">
        <v>2980</v>
      </c>
      <c r="T12" s="3155" t="s">
        <v>3002</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2883</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2945</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2884</v>
      </c>
      <c r="Q15" s="3155" t="s">
        <v>2917</v>
      </c>
      <c r="R15" s="3155" t="s">
        <v>1090</v>
      </c>
      <c r="S15" s="3155" t="s">
        <v>2981</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2885</v>
      </c>
      <c r="Q16" s="3155" t="s">
        <v>1075</v>
      </c>
      <c r="R16" s="3155" t="s">
        <v>1098</v>
      </c>
      <c r="S16" s="3155" t="s">
        <v>1054</v>
      </c>
      <c r="T16" s="3155" t="s">
        <v>3003</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2886</v>
      </c>
      <c r="Q17" s="3155" t="s">
        <v>2918</v>
      </c>
      <c r="R17" s="3155" t="s">
        <v>1104</v>
      </c>
      <c r="S17" s="3155" t="s">
        <v>2982</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2887</v>
      </c>
      <c r="Q18" s="3155" t="s">
        <v>1089</v>
      </c>
      <c r="R18" s="3155" t="s">
        <v>2946</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2888</v>
      </c>
      <c r="Q19" s="3155" t="s">
        <v>1097</v>
      </c>
      <c r="R19" s="3155" t="s">
        <v>2947</v>
      </c>
      <c r="S19" s="3155" t="s">
        <v>1113</v>
      </c>
      <c r="T19" s="3155" t="s">
        <v>3004</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2889</v>
      </c>
      <c r="Q20" s="3155" t="s">
        <v>2919</v>
      </c>
      <c r="R20" s="3155" t="s">
        <v>1139</v>
      </c>
      <c r="S20" s="3155" t="s">
        <v>2983</v>
      </c>
      <c r="T20" s="3155" t="s">
        <v>1126</v>
      </c>
    </row>
    <row r="21" spans="1:20" ht="14.25" customHeight="1">
      <c r="A21" s="3155" t="s">
        <v>1031</v>
      </c>
      <c r="B21" s="1216" t="s">
        <v>1055</v>
      </c>
      <c r="C21" s="3155">
        <v>32370</v>
      </c>
      <c r="D21" s="3155">
        <v>26730</v>
      </c>
      <c r="E21" s="3155">
        <v>26640</v>
      </c>
      <c r="F21" s="3161"/>
      <c r="G21" s="3162">
        <v>19440</v>
      </c>
      <c r="K21" s="3164" t="s">
        <v>2811</v>
      </c>
      <c r="L21" s="3155" t="s">
        <v>1115</v>
      </c>
      <c r="M21" s="3155" t="s">
        <v>1116</v>
      </c>
      <c r="N21" s="3155" t="s">
        <v>1117</v>
      </c>
      <c r="O21" s="3155" t="s">
        <v>1118</v>
      </c>
      <c r="P21" s="3155" t="s">
        <v>1112</v>
      </c>
      <c r="Q21" s="3155" t="s">
        <v>1132</v>
      </c>
      <c r="R21" s="3155" t="s">
        <v>1142</v>
      </c>
      <c r="S21" s="3155" t="s">
        <v>2984</v>
      </c>
      <c r="T21" s="3155" t="s">
        <v>3005</v>
      </c>
    </row>
    <row r="22" spans="1:20" ht="14.25" customHeight="1">
      <c r="A22" s="3155" t="s">
        <v>1031</v>
      </c>
      <c r="B22" s="1216" t="s">
        <v>1062</v>
      </c>
      <c r="C22" s="3155">
        <v>29830</v>
      </c>
      <c r="D22" s="3155">
        <v>27600</v>
      </c>
      <c r="E22" s="3155">
        <v>28150</v>
      </c>
      <c r="F22" s="3161"/>
      <c r="G22" s="3162">
        <v>20080</v>
      </c>
      <c r="L22" s="3164" t="s">
        <v>2813</v>
      </c>
      <c r="M22" s="3155" t="s">
        <v>1120</v>
      </c>
      <c r="N22" s="3155" t="s">
        <v>1121</v>
      </c>
      <c r="O22" s="3155" t="s">
        <v>1122</v>
      </c>
      <c r="P22" s="3155" t="s">
        <v>2890</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2814</v>
      </c>
      <c r="M23" s="3155" t="s">
        <v>1127</v>
      </c>
      <c r="N23" s="3155" t="s">
        <v>1128</v>
      </c>
      <c r="O23" s="3155" t="s">
        <v>2844</v>
      </c>
      <c r="P23" s="3155" t="s">
        <v>2891</v>
      </c>
      <c r="Q23" s="3155" t="s">
        <v>1138</v>
      </c>
      <c r="R23" s="3155" t="s">
        <v>1147</v>
      </c>
      <c r="S23" s="3155" t="s">
        <v>2985</v>
      </c>
    </row>
    <row r="24" spans="1:20" ht="14.25" customHeight="1">
      <c r="A24" s="3155" t="s">
        <v>1031</v>
      </c>
      <c r="B24" s="1216" t="s">
        <v>1078</v>
      </c>
      <c r="C24" s="3155">
        <v>27930</v>
      </c>
      <c r="D24" s="3155">
        <v>32260</v>
      </c>
      <c r="E24" s="3155">
        <v>32120</v>
      </c>
      <c r="F24" s="3161"/>
      <c r="G24" s="3162">
        <v>23470</v>
      </c>
      <c r="L24" s="3164" t="s">
        <v>2815</v>
      </c>
      <c r="M24" s="3155" t="s">
        <v>1130</v>
      </c>
      <c r="N24" s="3155" t="s">
        <v>1131</v>
      </c>
      <c r="O24" s="3155" t="s">
        <v>2845</v>
      </c>
      <c r="P24" s="3155" t="s">
        <v>1134</v>
      </c>
      <c r="Q24" s="3155" t="s">
        <v>2920</v>
      </c>
      <c r="R24" s="3155" t="s">
        <v>2948</v>
      </c>
      <c r="S24" s="3155" t="s">
        <v>2986</v>
      </c>
    </row>
    <row r="25" spans="1:20" ht="14.25" customHeight="1">
      <c r="A25" s="3155" t="s">
        <v>1031</v>
      </c>
      <c r="B25" s="1216" t="s">
        <v>1083</v>
      </c>
      <c r="C25" s="3155">
        <v>32230</v>
      </c>
      <c r="D25" s="3155">
        <v>29640</v>
      </c>
      <c r="E25" s="3155">
        <v>29510</v>
      </c>
      <c r="F25" s="3161"/>
      <c r="G25" s="3162">
        <v>21560</v>
      </c>
      <c r="L25" s="3164" t="s">
        <v>2816</v>
      </c>
      <c r="M25" s="3155" t="s">
        <v>2819</v>
      </c>
      <c r="N25" s="3155" t="s">
        <v>1133</v>
      </c>
      <c r="O25" s="3155" t="s">
        <v>1141</v>
      </c>
      <c r="P25" s="3155" t="s">
        <v>1137</v>
      </c>
      <c r="Q25" s="3155" t="s">
        <v>1124</v>
      </c>
      <c r="R25" s="3155" t="s">
        <v>1119</v>
      </c>
      <c r="S25" s="3155" t="s">
        <v>2987</v>
      </c>
    </row>
    <row r="26" spans="1:20" ht="14.25" customHeight="1">
      <c r="A26" s="3155" t="s">
        <v>1031</v>
      </c>
      <c r="B26" s="1216" t="s">
        <v>1092</v>
      </c>
      <c r="C26" s="3155">
        <v>31690</v>
      </c>
      <c r="D26" s="3155">
        <v>27650</v>
      </c>
      <c r="E26" s="3155">
        <v>28200</v>
      </c>
      <c r="F26" s="3161"/>
      <c r="G26" s="3162">
        <v>20110</v>
      </c>
      <c r="L26" s="3164" t="s">
        <v>2817</v>
      </c>
      <c r="M26" s="3155" t="s">
        <v>2820</v>
      </c>
      <c r="N26" s="3155" t="s">
        <v>1136</v>
      </c>
      <c r="O26" s="3155" t="s">
        <v>1143</v>
      </c>
      <c r="P26" s="3155" t="s">
        <v>2892</v>
      </c>
      <c r="Q26" s="3155" t="s">
        <v>2921</v>
      </c>
      <c r="R26" s="3155" t="s">
        <v>1125</v>
      </c>
      <c r="S26" s="3155" t="s">
        <v>2988</v>
      </c>
    </row>
    <row r="27" spans="1:20" ht="14.25" customHeight="1">
      <c r="A27" s="3155" t="s">
        <v>1031</v>
      </c>
      <c r="B27" s="1216" t="s">
        <v>1099</v>
      </c>
      <c r="C27" s="3155">
        <v>29610</v>
      </c>
      <c r="D27" s="3155">
        <v>27770</v>
      </c>
      <c r="E27" s="3155">
        <v>28300</v>
      </c>
      <c r="F27" s="3161"/>
      <c r="G27" s="3162">
        <v>20210</v>
      </c>
      <c r="M27" s="3155" t="s">
        <v>2821</v>
      </c>
      <c r="N27" s="3155" t="s">
        <v>1140</v>
      </c>
      <c r="O27" s="3155" t="s">
        <v>1146</v>
      </c>
      <c r="P27" s="3155" t="s">
        <v>1123</v>
      </c>
      <c r="Q27" s="3155" t="s">
        <v>2922</v>
      </c>
      <c r="R27" s="3155" t="s">
        <v>2949</v>
      </c>
      <c r="S27" s="3155" t="s">
        <v>2989</v>
      </c>
    </row>
    <row r="28" spans="1:20" ht="14.25" customHeight="1">
      <c r="A28" s="3169" t="s">
        <v>1031</v>
      </c>
      <c r="B28" s="2406" t="s">
        <v>1107</v>
      </c>
      <c r="C28" s="1214"/>
      <c r="D28" s="1214">
        <v>31520</v>
      </c>
      <c r="E28" s="1214">
        <v>31410</v>
      </c>
      <c r="F28" s="3166"/>
      <c r="G28" s="3167">
        <v>22940</v>
      </c>
      <c r="M28" s="3155" t="s">
        <v>2822</v>
      </c>
      <c r="N28" s="3155" t="s">
        <v>2829</v>
      </c>
      <c r="O28" s="3155" t="s">
        <v>2846</v>
      </c>
      <c r="P28" s="3155" t="s">
        <v>2893</v>
      </c>
      <c r="Q28" s="3155" t="s">
        <v>2923</v>
      </c>
      <c r="R28" s="3155" t="s">
        <v>2950</v>
      </c>
      <c r="S28" s="3164" t="s">
        <v>2990</v>
      </c>
    </row>
    <row r="29" spans="1:20" ht="14.25" customHeight="1" thickBot="1">
      <c r="A29" s="3170" t="s">
        <v>1031</v>
      </c>
      <c r="B29" s="3158" t="s">
        <v>2811</v>
      </c>
      <c r="C29" s="3158"/>
      <c r="D29" s="3158">
        <v>29460</v>
      </c>
      <c r="E29" s="3158">
        <v>28640</v>
      </c>
      <c r="F29" s="3159"/>
      <c r="G29" s="3171">
        <v>21430</v>
      </c>
      <c r="M29" s="3164" t="s">
        <v>2823</v>
      </c>
      <c r="N29" s="3155" t="s">
        <v>2830</v>
      </c>
      <c r="O29" s="3155" t="s">
        <v>2847</v>
      </c>
      <c r="P29" s="3155" t="s">
        <v>2894</v>
      </c>
      <c r="Q29" s="3155" t="s">
        <v>2924</v>
      </c>
      <c r="R29" s="3155" t="s">
        <v>2951</v>
      </c>
      <c r="S29" s="3164" t="s">
        <v>1129</v>
      </c>
    </row>
    <row r="30" spans="1:20" ht="14.25" customHeight="1">
      <c r="A30" s="3169" t="s">
        <v>1145</v>
      </c>
      <c r="B30" s="1216" t="s">
        <v>2812</v>
      </c>
      <c r="C30" s="1216">
        <v>26890</v>
      </c>
      <c r="D30" s="1216">
        <v>26770</v>
      </c>
      <c r="E30" s="1216">
        <v>25700</v>
      </c>
      <c r="F30" s="3156">
        <v>8180</v>
      </c>
      <c r="G30" s="3156">
        <v>18740</v>
      </c>
      <c r="I30" s="972"/>
      <c r="M30" s="3164" t="s">
        <v>2824</v>
      </c>
      <c r="N30" s="3155" t="s">
        <v>2831</v>
      </c>
      <c r="O30" s="3155" t="s">
        <v>2848</v>
      </c>
      <c r="P30" s="3155" t="s">
        <v>2895</v>
      </c>
      <c r="Q30" s="3155" t="s">
        <v>2925</v>
      </c>
      <c r="R30" s="3155" t="s">
        <v>2952</v>
      </c>
      <c r="S30" s="3164" t="s">
        <v>2991</v>
      </c>
    </row>
    <row r="31" spans="1:20" ht="14.25" customHeight="1">
      <c r="A31" s="3155" t="s">
        <v>1145</v>
      </c>
      <c r="B31" s="1216" t="s">
        <v>974</v>
      </c>
      <c r="C31" s="3155">
        <v>24550</v>
      </c>
      <c r="D31" s="3155">
        <v>23990</v>
      </c>
      <c r="E31" s="3155">
        <v>22930</v>
      </c>
      <c r="F31" s="3161">
        <v>7470</v>
      </c>
      <c r="G31" s="3161">
        <v>16790</v>
      </c>
      <c r="I31" s="972"/>
      <c r="M31" s="3164" t="s">
        <v>2825</v>
      </c>
      <c r="N31" s="3155" t="s">
        <v>2832</v>
      </c>
      <c r="O31" s="3155" t="s">
        <v>2849</v>
      </c>
      <c r="P31" s="3155" t="s">
        <v>2896</v>
      </c>
      <c r="Q31" s="3155" t="s">
        <v>2926</v>
      </c>
      <c r="R31" s="3155" t="s">
        <v>2953</v>
      </c>
      <c r="S31" s="3164" t="s">
        <v>2992</v>
      </c>
    </row>
    <row r="32" spans="1:20" ht="14.25" customHeight="1">
      <c r="A32" s="3155" t="s">
        <v>1145</v>
      </c>
      <c r="B32" s="1216" t="s">
        <v>984</v>
      </c>
      <c r="C32" s="3155">
        <v>27210</v>
      </c>
      <c r="D32" s="3155">
        <v>23240</v>
      </c>
      <c r="E32" s="3155">
        <v>23260</v>
      </c>
      <c r="F32" s="3161">
        <v>7130</v>
      </c>
      <c r="G32" s="3161">
        <v>16270</v>
      </c>
      <c r="I32" s="972"/>
      <c r="M32" s="3164" t="s">
        <v>2826</v>
      </c>
      <c r="N32" s="3155" t="s">
        <v>2833</v>
      </c>
      <c r="O32" s="3155" t="s">
        <v>1149</v>
      </c>
      <c r="P32" s="3155" t="s">
        <v>2897</v>
      </c>
      <c r="Q32" s="3155" t="s">
        <v>1148</v>
      </c>
      <c r="R32" s="3155" t="s">
        <v>2954</v>
      </c>
      <c r="S32" s="3164" t="s">
        <v>2993</v>
      </c>
    </row>
    <row r="33" spans="1:18" ht="14.25" customHeight="1">
      <c r="A33" s="3155" t="s">
        <v>1145</v>
      </c>
      <c r="B33" s="1216" t="s">
        <v>993</v>
      </c>
      <c r="C33" s="3155">
        <v>27300</v>
      </c>
      <c r="D33" s="3155">
        <v>22980</v>
      </c>
      <c r="E33" s="3155">
        <v>24260</v>
      </c>
      <c r="F33" s="3161">
        <v>5860</v>
      </c>
      <c r="G33" s="3161">
        <v>16090</v>
      </c>
      <c r="I33" s="972"/>
      <c r="M33" s="3164" t="s">
        <v>2827</v>
      </c>
      <c r="N33" s="3155" t="s">
        <v>2834</v>
      </c>
      <c r="O33" s="3155" t="s">
        <v>1150</v>
      </c>
      <c r="P33" s="3155" t="s">
        <v>2898</v>
      </c>
      <c r="Q33" s="3155" t="s">
        <v>2927</v>
      </c>
      <c r="R33" s="3155" t="s">
        <v>2955</v>
      </c>
    </row>
    <row r="34" spans="1:18" ht="14.25" customHeight="1">
      <c r="A34" s="3155" t="s">
        <v>1145</v>
      </c>
      <c r="B34" s="1216" t="s">
        <v>1003</v>
      </c>
      <c r="C34" s="3155">
        <v>23090</v>
      </c>
      <c r="D34" s="3155">
        <v>23390</v>
      </c>
      <c r="E34" s="3155">
        <v>23510</v>
      </c>
      <c r="F34" s="3161">
        <v>6700</v>
      </c>
      <c r="G34" s="3161">
        <v>16370</v>
      </c>
      <c r="I34" s="972"/>
      <c r="N34" s="3155" t="s">
        <v>2835</v>
      </c>
      <c r="O34" s="3155" t="s">
        <v>1151</v>
      </c>
      <c r="P34" s="3155" t="s">
        <v>2899</v>
      </c>
      <c r="Q34" s="3155" t="s">
        <v>2928</v>
      </c>
      <c r="R34" s="3155" t="s">
        <v>2956</v>
      </c>
    </row>
    <row r="35" spans="1:18" ht="14.25" customHeight="1">
      <c r="A35" s="3155" t="s">
        <v>1145</v>
      </c>
      <c r="B35" s="1216" t="s">
        <v>1010</v>
      </c>
      <c r="C35" s="3155">
        <v>27270</v>
      </c>
      <c r="D35" s="3155">
        <v>24270</v>
      </c>
      <c r="E35" s="3155">
        <v>24950</v>
      </c>
      <c r="F35" s="3161">
        <v>6600</v>
      </c>
      <c r="G35" s="3161">
        <v>16990</v>
      </c>
      <c r="I35" s="972"/>
      <c r="N35" s="3155" t="s">
        <v>2836</v>
      </c>
      <c r="O35" s="3155" t="s">
        <v>2850</v>
      </c>
      <c r="P35" s="3155" t="s">
        <v>2900</v>
      </c>
      <c r="Q35" s="3155" t="s">
        <v>2929</v>
      </c>
      <c r="R35" s="3155" t="s">
        <v>2957</v>
      </c>
    </row>
    <row r="36" spans="1:18" ht="14.25" customHeight="1">
      <c r="A36" s="3155" t="s">
        <v>1145</v>
      </c>
      <c r="B36" s="1216" t="s">
        <v>1016</v>
      </c>
      <c r="C36" s="3155">
        <v>23490</v>
      </c>
      <c r="D36" s="3155">
        <v>23020</v>
      </c>
      <c r="E36" s="3155">
        <v>25230</v>
      </c>
      <c r="F36" s="3161">
        <v>6780</v>
      </c>
      <c r="G36" s="3161">
        <v>16120</v>
      </c>
      <c r="I36" s="972"/>
      <c r="N36" s="3164" t="s">
        <v>2837</v>
      </c>
      <c r="O36" s="3191" t="s">
        <v>2851</v>
      </c>
      <c r="P36" s="3155" t="s">
        <v>2901</v>
      </c>
      <c r="Q36" s="3155" t="s">
        <v>2930</v>
      </c>
      <c r="R36" s="3155" t="s">
        <v>2958</v>
      </c>
    </row>
    <row r="37" spans="1:18" ht="14.25" customHeight="1">
      <c r="A37" s="3155" t="s">
        <v>1145</v>
      </c>
      <c r="B37" s="1216" t="s">
        <v>1023</v>
      </c>
      <c r="C37" s="3155">
        <v>24380</v>
      </c>
      <c r="D37" s="3155">
        <v>22240</v>
      </c>
      <c r="E37" s="3155">
        <v>25980</v>
      </c>
      <c r="F37" s="3161">
        <v>8160</v>
      </c>
      <c r="G37" s="3161">
        <v>15570</v>
      </c>
      <c r="I37" s="973"/>
      <c r="N37" s="3164" t="s">
        <v>2838</v>
      </c>
      <c r="O37" s="3191" t="s">
        <v>2852</v>
      </c>
      <c r="P37" s="3155" t="s">
        <v>2902</v>
      </c>
      <c r="Q37" s="3155" t="s">
        <v>2931</v>
      </c>
      <c r="R37" s="3155" t="s">
        <v>2959</v>
      </c>
    </row>
    <row r="38" spans="1:18" ht="14.25" customHeight="1">
      <c r="A38" s="3155" t="s">
        <v>1145</v>
      </c>
      <c r="B38" s="1216" t="s">
        <v>1033</v>
      </c>
      <c r="C38" s="3155">
        <v>23120</v>
      </c>
      <c r="D38" s="3155">
        <v>24630</v>
      </c>
      <c r="E38" s="3155">
        <v>25030</v>
      </c>
      <c r="F38" s="3161">
        <v>7710</v>
      </c>
      <c r="G38" s="3161">
        <v>17240</v>
      </c>
      <c r="I38" s="972"/>
      <c r="N38" s="3164" t="s">
        <v>2839</v>
      </c>
      <c r="O38" s="3191" t="s">
        <v>2853</v>
      </c>
      <c r="P38" s="3155" t="s">
        <v>2903</v>
      </c>
      <c r="Q38" s="3155" t="s">
        <v>2932</v>
      </c>
      <c r="R38" s="3155" t="s">
        <v>2960</v>
      </c>
    </row>
    <row r="39" spans="1:18" ht="14.25" customHeight="1">
      <c r="A39" s="3155" t="s">
        <v>1145</v>
      </c>
      <c r="B39" s="1216" t="s">
        <v>1042</v>
      </c>
      <c r="C39" s="3155">
        <v>22330</v>
      </c>
      <c r="D39" s="3155">
        <v>21140</v>
      </c>
      <c r="E39" s="3155">
        <v>23970</v>
      </c>
      <c r="F39" s="3161">
        <v>7940</v>
      </c>
      <c r="G39" s="3161">
        <v>14790</v>
      </c>
      <c r="I39" s="972"/>
      <c r="N39" s="3164" t="s">
        <v>2840</v>
      </c>
      <c r="O39" s="3191" t="s">
        <v>2854</v>
      </c>
      <c r="P39" s="3155" t="s">
        <v>2904</v>
      </c>
      <c r="Q39" s="3155" t="s">
        <v>2933</v>
      </c>
      <c r="R39" s="3155" t="s">
        <v>2961</v>
      </c>
    </row>
    <row r="40" spans="1:18" ht="14.25" customHeight="1">
      <c r="A40" s="3155" t="s">
        <v>1145</v>
      </c>
      <c r="B40" s="1216" t="s">
        <v>1049</v>
      </c>
      <c r="C40" s="3155">
        <v>24740</v>
      </c>
      <c r="D40" s="3155">
        <v>24690</v>
      </c>
      <c r="E40" s="3155">
        <v>22610</v>
      </c>
      <c r="F40" s="3161"/>
      <c r="G40" s="3161">
        <v>17280</v>
      </c>
      <c r="I40" s="972"/>
      <c r="N40" s="3164" t="s">
        <v>2841</v>
      </c>
      <c r="O40" s="3191" t="s">
        <v>2855</v>
      </c>
      <c r="P40" s="3155" t="s">
        <v>2905</v>
      </c>
      <c r="Q40" s="3155" t="s">
        <v>2934</v>
      </c>
      <c r="R40" s="3155" t="s">
        <v>2962</v>
      </c>
    </row>
    <row r="41" spans="1:18" ht="14.25" customHeight="1">
      <c r="A41" s="3155" t="s">
        <v>1145</v>
      </c>
      <c r="B41" s="1216" t="s">
        <v>1056</v>
      </c>
      <c r="C41" s="3155">
        <v>21220</v>
      </c>
      <c r="D41" s="3155">
        <v>21120</v>
      </c>
      <c r="E41" s="3155">
        <v>22590</v>
      </c>
      <c r="F41" s="3161"/>
      <c r="G41" s="3161">
        <v>14780</v>
      </c>
      <c r="I41" s="972"/>
      <c r="N41" s="3164" t="s">
        <v>2842</v>
      </c>
      <c r="O41" s="3192" t="s">
        <v>2856</v>
      </c>
      <c r="P41" s="1216" t="s">
        <v>2906</v>
      </c>
      <c r="Q41" s="3164" t="s">
        <v>2935</v>
      </c>
      <c r="R41" s="1216" t="s">
        <v>2963</v>
      </c>
    </row>
    <row r="42" spans="1:18" ht="14.25" customHeight="1">
      <c r="A42" s="3155" t="s">
        <v>1145</v>
      </c>
      <c r="B42" s="1216" t="s">
        <v>1063</v>
      </c>
      <c r="C42" s="3155">
        <v>24800</v>
      </c>
      <c r="D42" s="3155">
        <v>22280</v>
      </c>
      <c r="E42" s="3155">
        <v>24350</v>
      </c>
      <c r="F42" s="3161"/>
      <c r="G42" s="3161">
        <v>15590</v>
      </c>
      <c r="I42" s="972"/>
      <c r="O42" s="3155" t="s">
        <v>2857</v>
      </c>
      <c r="P42" s="3155" t="s">
        <v>2907</v>
      </c>
      <c r="Q42" s="3164" t="s">
        <v>2936</v>
      </c>
      <c r="R42" s="3155" t="s">
        <v>2964</v>
      </c>
    </row>
    <row r="43" spans="1:18" ht="14.25" customHeight="1">
      <c r="A43" s="3155" t="s">
        <v>1145</v>
      </c>
      <c r="B43" s="1216" t="s">
        <v>1071</v>
      </c>
      <c r="C43" s="3155">
        <v>21210</v>
      </c>
      <c r="D43" s="3155">
        <v>21160</v>
      </c>
      <c r="E43" s="3155">
        <v>22650</v>
      </c>
      <c r="F43" s="3161"/>
      <c r="G43" s="3161">
        <v>14800</v>
      </c>
      <c r="I43" s="972"/>
      <c r="O43" s="3155" t="s">
        <v>2858</v>
      </c>
      <c r="P43" s="3155" t="s">
        <v>2908</v>
      </c>
      <c r="Q43" s="3164" t="s">
        <v>2937</v>
      </c>
      <c r="R43" s="3155" t="s">
        <v>2965</v>
      </c>
    </row>
    <row r="44" spans="1:18" ht="14.25" customHeight="1">
      <c r="A44" s="3155" t="s">
        <v>1145</v>
      </c>
      <c r="B44" s="1216" t="s">
        <v>1079</v>
      </c>
      <c r="C44" s="3155">
        <v>22370</v>
      </c>
      <c r="D44" s="3155">
        <v>23140</v>
      </c>
      <c r="E44" s="3155">
        <v>25090</v>
      </c>
      <c r="F44" s="3161"/>
      <c r="G44" s="3161">
        <v>16190</v>
      </c>
      <c r="I44" s="972"/>
      <c r="O44" s="3155" t="s">
        <v>2859</v>
      </c>
      <c r="P44" s="3155" t="s">
        <v>2909</v>
      </c>
      <c r="Q44" s="3164" t="s">
        <v>2938</v>
      </c>
      <c r="R44" s="3155" t="s">
        <v>2966</v>
      </c>
    </row>
    <row r="45" spans="1:18" ht="14.25" customHeight="1">
      <c r="A45" s="3155" t="s">
        <v>1145</v>
      </c>
      <c r="B45" s="1216" t="s">
        <v>1084</v>
      </c>
      <c r="C45" s="3155">
        <v>21240</v>
      </c>
      <c r="D45" s="3155">
        <v>27050</v>
      </c>
      <c r="E45" s="3155">
        <v>28000</v>
      </c>
      <c r="F45" s="3161"/>
      <c r="G45" s="3161">
        <v>18940</v>
      </c>
      <c r="I45" s="972"/>
      <c r="O45" s="3155" t="s">
        <v>2860</v>
      </c>
      <c r="P45" s="3155" t="s">
        <v>2910</v>
      </c>
      <c r="R45" s="3155" t="s">
        <v>2967</v>
      </c>
    </row>
    <row r="46" spans="1:18" ht="14.25" customHeight="1">
      <c r="A46" s="3155" t="s">
        <v>1145</v>
      </c>
      <c r="B46" s="1216" t="s">
        <v>1093</v>
      </c>
      <c r="C46" s="3155">
        <v>23240</v>
      </c>
      <c r="D46" s="3155">
        <v>23000</v>
      </c>
      <c r="E46" s="3155">
        <v>24980</v>
      </c>
      <c r="F46" s="3161"/>
      <c r="G46" s="3161">
        <v>16100</v>
      </c>
      <c r="I46" s="972"/>
      <c r="O46" s="3155" t="s">
        <v>2861</v>
      </c>
      <c r="P46" s="3155"/>
      <c r="R46" s="3155" t="s">
        <v>2968</v>
      </c>
    </row>
    <row r="47" spans="1:18" ht="14.25" customHeight="1">
      <c r="A47" s="3155" t="s">
        <v>1145</v>
      </c>
      <c r="B47" s="2406" t="s">
        <v>1100</v>
      </c>
      <c r="C47" s="1214">
        <v>27150</v>
      </c>
      <c r="D47" s="1214">
        <v>23310</v>
      </c>
      <c r="E47" s="1214">
        <v>25150</v>
      </c>
      <c r="F47" s="3166"/>
      <c r="G47" s="3166">
        <v>16310</v>
      </c>
      <c r="I47" s="972"/>
      <c r="O47" s="3155" t="s">
        <v>2862</v>
      </c>
      <c r="P47" s="3155"/>
      <c r="R47" s="3164" t="s">
        <v>2969</v>
      </c>
    </row>
    <row r="48" spans="1:18" ht="14.25" customHeight="1">
      <c r="A48" s="3155" t="s">
        <v>1145</v>
      </c>
      <c r="B48" s="3155" t="s">
        <v>1108</v>
      </c>
      <c r="C48" s="3155">
        <v>23100</v>
      </c>
      <c r="D48" s="3155">
        <v>21110</v>
      </c>
      <c r="E48" s="3155">
        <v>23080</v>
      </c>
      <c r="F48" s="3161"/>
      <c r="G48" s="3168">
        <v>14780</v>
      </c>
      <c r="I48" s="972"/>
      <c r="O48" s="3155" t="s">
        <v>2863</v>
      </c>
      <c r="P48" s="3155"/>
      <c r="R48" s="3164" t="s">
        <v>2970</v>
      </c>
    </row>
    <row r="49" spans="1:18" ht="14.25" customHeight="1">
      <c r="A49" s="3155" t="s">
        <v>1145</v>
      </c>
      <c r="B49" s="1216" t="s">
        <v>1115</v>
      </c>
      <c r="C49" s="1216">
        <v>23400</v>
      </c>
      <c r="D49" s="1216">
        <v>22920</v>
      </c>
      <c r="E49" s="1216">
        <v>24900</v>
      </c>
      <c r="F49" s="3156"/>
      <c r="G49" s="3156">
        <v>16040</v>
      </c>
      <c r="I49" s="972"/>
      <c r="O49" s="3155" t="s">
        <v>2864</v>
      </c>
      <c r="P49" s="3155"/>
      <c r="R49" s="3164" t="s">
        <v>2971</v>
      </c>
    </row>
    <row r="50" spans="1:18" ht="14.25" customHeight="1">
      <c r="A50" s="3155" t="s">
        <v>1145</v>
      </c>
      <c r="B50" s="3155" t="s">
        <v>2813</v>
      </c>
      <c r="C50" s="3155">
        <v>21200</v>
      </c>
      <c r="D50" s="3155">
        <v>26540</v>
      </c>
      <c r="E50" s="3155">
        <v>23200</v>
      </c>
      <c r="F50" s="3161"/>
      <c r="G50" s="3161">
        <v>18580</v>
      </c>
      <c r="I50" s="972"/>
      <c r="O50" s="3164" t="s">
        <v>2865</v>
      </c>
      <c r="R50" s="3164" t="s">
        <v>2972</v>
      </c>
    </row>
    <row r="51" spans="1:18" ht="14.25" customHeight="1">
      <c r="A51" s="3155" t="s">
        <v>1145</v>
      </c>
      <c r="B51" s="3155" t="s">
        <v>2814</v>
      </c>
      <c r="C51" s="3155">
        <v>23000</v>
      </c>
      <c r="D51" s="3155">
        <v>23460</v>
      </c>
      <c r="E51" s="3155">
        <v>25290</v>
      </c>
      <c r="F51" s="3161"/>
      <c r="G51" s="3161">
        <v>16420</v>
      </c>
      <c r="I51" s="972"/>
      <c r="O51" s="3164" t="s">
        <v>2866</v>
      </c>
      <c r="R51" s="3164" t="s">
        <v>2973</v>
      </c>
    </row>
    <row r="52" spans="1:18" ht="14.25" customHeight="1">
      <c r="A52" s="3155" t="s">
        <v>1145</v>
      </c>
      <c r="B52" s="3155" t="s">
        <v>2815</v>
      </c>
      <c r="C52" s="3155">
        <v>26660</v>
      </c>
      <c r="D52" s="3155">
        <v>22350</v>
      </c>
      <c r="E52" s="3155">
        <v>22920</v>
      </c>
      <c r="F52" s="3161"/>
      <c r="G52" s="3161">
        <v>15640</v>
      </c>
      <c r="I52" s="972"/>
      <c r="O52" s="3164" t="s">
        <v>2867</v>
      </c>
    </row>
    <row r="53" spans="1:18" ht="14.25" customHeight="1">
      <c r="A53" s="3155" t="s">
        <v>1145</v>
      </c>
      <c r="B53" s="3155" t="s">
        <v>2816</v>
      </c>
      <c r="C53" s="3155">
        <v>23580</v>
      </c>
      <c r="D53" s="3155"/>
      <c r="E53" s="3155">
        <v>24280</v>
      </c>
      <c r="F53" s="3161"/>
      <c r="G53" s="3161"/>
      <c r="I53" s="972"/>
      <c r="O53" s="3164" t="s">
        <v>2868</v>
      </c>
    </row>
    <row r="54" spans="1:18" ht="14.25" customHeight="1" thickBot="1">
      <c r="A54" s="3170" t="s">
        <v>1145</v>
      </c>
      <c r="B54" s="3158" t="s">
        <v>2817</v>
      </c>
      <c r="C54" s="3158">
        <v>22460</v>
      </c>
      <c r="D54" s="3158"/>
      <c r="E54" s="3158"/>
      <c r="F54" s="3159"/>
      <c r="G54" s="3171"/>
      <c r="I54" s="972"/>
      <c r="O54" s="3164" t="s">
        <v>2869</v>
      </c>
    </row>
    <row r="55" spans="1:18" ht="14.25" customHeight="1">
      <c r="A55" s="3169" t="s">
        <v>853</v>
      </c>
      <c r="B55" s="1216" t="s">
        <v>2818</v>
      </c>
      <c r="C55" s="1216">
        <v>21970</v>
      </c>
      <c r="D55" s="1216">
        <v>20370</v>
      </c>
      <c r="E55" s="1216">
        <v>20180</v>
      </c>
      <c r="F55" s="3156">
        <v>5730</v>
      </c>
      <c r="G55" s="3156">
        <v>13820</v>
      </c>
      <c r="I55" s="972"/>
      <c r="O55" s="3164" t="s">
        <v>2870</v>
      </c>
    </row>
    <row r="56" spans="1:18" ht="14.25" customHeight="1">
      <c r="A56" s="3155" t="s">
        <v>853</v>
      </c>
      <c r="B56" s="3155" t="s">
        <v>975</v>
      </c>
      <c r="C56" s="3155">
        <v>20470</v>
      </c>
      <c r="D56" s="3155">
        <v>20700</v>
      </c>
      <c r="E56" s="3155">
        <v>20380</v>
      </c>
      <c r="F56" s="3161">
        <v>4760</v>
      </c>
      <c r="G56" s="3161">
        <v>14050</v>
      </c>
      <c r="I56" s="972"/>
      <c r="O56" s="3164" t="s">
        <v>2871</v>
      </c>
    </row>
    <row r="57" spans="1:18" ht="14.25" customHeight="1">
      <c r="A57" s="3155" t="s">
        <v>853</v>
      </c>
      <c r="B57" s="3155" t="s">
        <v>985</v>
      </c>
      <c r="C57" s="3155">
        <v>20790</v>
      </c>
      <c r="D57" s="3155">
        <v>21370</v>
      </c>
      <c r="E57" s="3155">
        <v>20890</v>
      </c>
      <c r="F57" s="3161">
        <v>4910</v>
      </c>
      <c r="G57" s="3161">
        <v>14510</v>
      </c>
      <c r="I57" s="972"/>
      <c r="O57" s="3164" t="s">
        <v>2872</v>
      </c>
    </row>
    <row r="58" spans="1:18" ht="14.25" customHeight="1">
      <c r="A58" s="3155" t="s">
        <v>853</v>
      </c>
      <c r="B58" s="3155" t="s">
        <v>994</v>
      </c>
      <c r="C58" s="3155">
        <v>21460</v>
      </c>
      <c r="D58" s="3155">
        <v>20920</v>
      </c>
      <c r="E58" s="3155">
        <v>23410</v>
      </c>
      <c r="F58" s="3161">
        <v>5100</v>
      </c>
      <c r="G58" s="3161">
        <v>14200</v>
      </c>
      <c r="I58" s="972"/>
      <c r="O58" s="3164" t="s">
        <v>2873</v>
      </c>
    </row>
    <row r="59" spans="1:18" ht="14.25" customHeight="1">
      <c r="A59" s="3155" t="s">
        <v>853</v>
      </c>
      <c r="B59" s="3155" t="s">
        <v>1004</v>
      </c>
      <c r="C59" s="3155">
        <v>21000</v>
      </c>
      <c r="D59" s="3155">
        <v>21550</v>
      </c>
      <c r="E59" s="3155">
        <v>21150</v>
      </c>
      <c r="F59" s="3161">
        <v>5250</v>
      </c>
      <c r="G59" s="3161">
        <v>14630</v>
      </c>
      <c r="I59" s="972"/>
      <c r="O59" s="3164" t="s">
        <v>2874</v>
      </c>
    </row>
    <row r="60" spans="1:18" ht="14.25" customHeight="1">
      <c r="A60" s="3155" t="s">
        <v>853</v>
      </c>
      <c r="B60" s="3155" t="s">
        <v>1011</v>
      </c>
      <c r="C60" s="3155">
        <v>21640</v>
      </c>
      <c r="D60" s="3155">
        <v>21260</v>
      </c>
      <c r="E60" s="3155">
        <v>24040</v>
      </c>
      <c r="F60" s="3161">
        <v>4470</v>
      </c>
      <c r="G60" s="3161">
        <v>14430</v>
      </c>
      <c r="I60" s="972"/>
      <c r="O60" s="3164" t="s">
        <v>2875</v>
      </c>
    </row>
    <row r="61" spans="1:18" ht="14.25" customHeight="1">
      <c r="A61" s="3155" t="s">
        <v>853</v>
      </c>
      <c r="B61" s="3155" t="s">
        <v>1017</v>
      </c>
      <c r="C61" s="3155">
        <v>21330</v>
      </c>
      <c r="D61" s="3155">
        <v>18640</v>
      </c>
      <c r="E61" s="3155">
        <v>21190</v>
      </c>
      <c r="F61" s="3161">
        <v>4180</v>
      </c>
      <c r="G61" s="3163">
        <v>12650</v>
      </c>
      <c r="I61" s="972"/>
      <c r="O61" s="3164" t="s">
        <v>2876</v>
      </c>
    </row>
    <row r="62" spans="1:18" ht="14.25" customHeight="1">
      <c r="A62" s="3155" t="s">
        <v>853</v>
      </c>
      <c r="B62" s="3155" t="s">
        <v>1024</v>
      </c>
      <c r="C62" s="3155">
        <v>18710</v>
      </c>
      <c r="D62" s="3155">
        <v>19400</v>
      </c>
      <c r="E62" s="3155">
        <v>23750</v>
      </c>
      <c r="F62" s="3161">
        <v>4860</v>
      </c>
      <c r="G62" s="3163">
        <v>13170</v>
      </c>
      <c r="I62" s="972"/>
      <c r="O62" s="3164" t="s">
        <v>2877</v>
      </c>
    </row>
    <row r="63" spans="1:18" ht="14.25" customHeight="1">
      <c r="A63" s="3155" t="s">
        <v>853</v>
      </c>
      <c r="B63" s="3155" t="s">
        <v>1034</v>
      </c>
      <c r="C63" s="3155">
        <v>19480</v>
      </c>
      <c r="D63" s="3155">
        <v>16830</v>
      </c>
      <c r="E63" s="3155">
        <v>21590</v>
      </c>
      <c r="F63" s="3161">
        <v>4560</v>
      </c>
      <c r="G63" s="3163">
        <v>11420</v>
      </c>
      <c r="I63" s="972"/>
      <c r="O63" s="3164" t="s">
        <v>2878</v>
      </c>
    </row>
    <row r="64" spans="1:18" ht="14.25" customHeight="1">
      <c r="A64" s="3155" t="s">
        <v>853</v>
      </c>
      <c r="B64" s="3155" t="s">
        <v>1043</v>
      </c>
      <c r="C64" s="3155">
        <v>16920</v>
      </c>
      <c r="D64" s="3155">
        <v>19190</v>
      </c>
      <c r="E64" s="3155">
        <v>22200</v>
      </c>
      <c r="F64" s="3161">
        <v>4390</v>
      </c>
      <c r="G64" s="3163">
        <v>13030</v>
      </c>
      <c r="I64" s="972"/>
      <c r="O64" s="3164" t="s">
        <v>2879</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2819</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2820</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2821</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2822</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2823</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2824</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2825</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2826</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2827</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2828</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2829</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2830</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2831</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2832</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2833</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2834</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2835</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2836</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2837</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2838</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2839</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2840</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2841</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2842</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2843</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2844</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2845</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2846</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2847</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2848</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2849</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2850</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2851</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2852</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2853</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2854</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2855</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2856</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2857</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2858</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2859</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2860</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2861</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2862</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2863</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2864</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2865</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2866</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2867</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2868</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2869</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2870</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2871</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2872</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2873</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2874</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2875</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2876</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2877</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2878</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2879</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2880</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2881</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2882</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2883</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2884</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2885</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2886</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2887</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2888</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2889</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2890</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2891</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2892</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2893</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2894</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2895</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2896</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2897</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2898</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2899</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2900</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2901</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2902</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2903</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2904</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2905</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2906</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2907</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2908</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2909</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2910</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2911</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2912</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2913</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2914</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2915</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2916</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2917</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2918</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2919</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2920</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2921</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2922</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2923</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2924</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2925</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2926</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2927</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2928</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2929</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2930</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2931</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2932</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2933</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2934</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2935</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2936</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2937</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2938</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2939</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2940</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2941</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2942</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2943</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2944</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2945</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2946</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2947</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2948</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2949</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2950</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2951</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2952</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2953</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2954</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2955</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2956</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2957</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2958</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2959</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2960</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2961</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2962</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2963</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2964</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2965</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2966</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2967</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2968</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2969</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2970</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2971</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2972</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2973</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6" t="s">
        <v>2974</v>
      </c>
      <c r="C327" s="2406">
        <v>3750</v>
      </c>
      <c r="D327" s="2406">
        <v>3710</v>
      </c>
      <c r="E327" s="2406">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2975</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2976</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2977</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2978</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2979</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2980</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2981</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2982</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2983</v>
      </c>
      <c r="C345" s="3164">
        <v>3190</v>
      </c>
      <c r="D345" s="3164">
        <v>3140</v>
      </c>
      <c r="E345" s="3164">
        <v>3450</v>
      </c>
      <c r="F345" s="3164">
        <v>720</v>
      </c>
      <c r="G345" s="3164">
        <v>1880</v>
      </c>
      <c r="H345" s="958"/>
    </row>
    <row r="346" spans="1:21">
      <c r="A346" s="3164" t="s">
        <v>1157</v>
      </c>
      <c r="B346" s="3164" t="s">
        <v>2984</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2985</v>
      </c>
      <c r="C348" s="3164">
        <v>4000</v>
      </c>
      <c r="D348" s="3164">
        <v>3950</v>
      </c>
      <c r="E348" s="3164">
        <v>4430</v>
      </c>
      <c r="F348" s="3164">
        <v>760</v>
      </c>
      <c r="G348" s="3164">
        <v>2360</v>
      </c>
      <c r="H348" s="958"/>
    </row>
    <row r="349" spans="1:21">
      <c r="A349" s="3164" t="s">
        <v>1157</v>
      </c>
      <c r="B349" s="3164" t="s">
        <v>2986</v>
      </c>
      <c r="C349" s="3164">
        <v>3820</v>
      </c>
      <c r="D349" s="3164">
        <v>3780</v>
      </c>
      <c r="E349" s="3164">
        <v>4170</v>
      </c>
      <c r="F349" s="3164">
        <v>710</v>
      </c>
      <c r="G349" s="3164">
        <v>2260</v>
      </c>
      <c r="H349" s="958"/>
    </row>
    <row r="350" spans="1:21">
      <c r="A350" s="3164" t="s">
        <v>1157</v>
      </c>
      <c r="B350" s="3164" t="s">
        <v>2987</v>
      </c>
      <c r="C350" s="3164">
        <v>3760</v>
      </c>
      <c r="D350" s="3164">
        <v>3730</v>
      </c>
      <c r="E350" s="3164">
        <v>4100</v>
      </c>
      <c r="F350" s="3164">
        <v>800</v>
      </c>
      <c r="G350" s="3164">
        <v>2230</v>
      </c>
      <c r="H350" s="958"/>
    </row>
    <row r="351" spans="1:21">
      <c r="A351" s="3164" t="s">
        <v>1157</v>
      </c>
      <c r="B351" s="3164" t="s">
        <v>2988</v>
      </c>
      <c r="C351" s="3164">
        <v>3610</v>
      </c>
      <c r="D351" s="3164">
        <v>3580</v>
      </c>
      <c r="E351" s="3164">
        <v>3930</v>
      </c>
      <c r="F351" s="3164">
        <v>700</v>
      </c>
      <c r="G351" s="3164">
        <v>2140</v>
      </c>
      <c r="H351" s="958"/>
    </row>
    <row r="352" spans="1:21">
      <c r="A352" s="3164" t="s">
        <v>1157</v>
      </c>
      <c r="B352" s="3164" t="s">
        <v>2989</v>
      </c>
      <c r="C352" s="3164">
        <v>3670</v>
      </c>
      <c r="D352" s="3164">
        <v>3630</v>
      </c>
      <c r="E352" s="3164">
        <v>4000</v>
      </c>
      <c r="F352" s="3164">
        <v>750</v>
      </c>
      <c r="G352" s="3164">
        <v>2180</v>
      </c>
      <c r="H352" s="958"/>
    </row>
    <row r="353" spans="1:8">
      <c r="A353" s="3164" t="s">
        <v>1157</v>
      </c>
      <c r="B353" s="3164" t="s">
        <v>2990</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2991</v>
      </c>
      <c r="C355" s="3164">
        <v>3650</v>
      </c>
      <c r="D355" s="3164">
        <v>3610</v>
      </c>
      <c r="E355" s="3164">
        <v>4200</v>
      </c>
      <c r="F355" s="3164">
        <v>640</v>
      </c>
      <c r="G355" s="3164">
        <v>2160</v>
      </c>
      <c r="H355" s="958"/>
    </row>
    <row r="356" spans="1:8">
      <c r="A356" s="3164" t="s">
        <v>1157</v>
      </c>
      <c r="B356" s="3164" t="s">
        <v>2992</v>
      </c>
      <c r="C356" s="3164">
        <v>3260</v>
      </c>
      <c r="D356" s="3164">
        <v>3230</v>
      </c>
      <c r="E356" s="3164">
        <v>3740</v>
      </c>
      <c r="F356" s="3164">
        <v>600</v>
      </c>
      <c r="G356" s="3164">
        <v>1930</v>
      </c>
      <c r="H356" s="958"/>
    </row>
    <row r="357" spans="1:8" ht="14.25" thickBot="1">
      <c r="A357" s="3179" t="s">
        <v>1157</v>
      </c>
      <c r="B357" s="3179" t="s">
        <v>2993</v>
      </c>
      <c r="C357" s="3179">
        <v>3690</v>
      </c>
      <c r="D357" s="3179">
        <v>3650</v>
      </c>
      <c r="E357" s="3179">
        <v>4020</v>
      </c>
      <c r="F357" s="3179">
        <v>700</v>
      </c>
      <c r="G357" s="3179">
        <v>2190</v>
      </c>
      <c r="H357" s="958"/>
    </row>
    <row r="358" spans="1:8">
      <c r="A358" s="3180" t="s">
        <v>2751</v>
      </c>
      <c r="B358" s="3181" t="s">
        <v>2994</v>
      </c>
      <c r="C358" s="3181">
        <v>2080</v>
      </c>
      <c r="D358" s="3181">
        <v>2040</v>
      </c>
      <c r="E358" s="3181">
        <v>2010</v>
      </c>
      <c r="F358" s="3181">
        <v>530</v>
      </c>
      <c r="G358" s="3182">
        <v>1230</v>
      </c>
      <c r="H358" s="958"/>
    </row>
    <row r="359" spans="1:8">
      <c r="A359" s="3183" t="s">
        <v>2751</v>
      </c>
      <c r="B359" s="3164" t="s">
        <v>2995</v>
      </c>
      <c r="C359" s="3164">
        <v>1850</v>
      </c>
      <c r="D359" s="3164">
        <v>1820</v>
      </c>
      <c r="E359" s="3164">
        <v>1780</v>
      </c>
      <c r="F359" s="3164">
        <v>520</v>
      </c>
      <c r="G359" s="3176">
        <v>1100</v>
      </c>
      <c r="H359" s="958"/>
    </row>
    <row r="360" spans="1:8">
      <c r="A360" s="3183" t="s">
        <v>2751</v>
      </c>
      <c r="B360" s="3164" t="s">
        <v>2996</v>
      </c>
      <c r="C360" s="3164">
        <v>2020</v>
      </c>
      <c r="D360" s="3164">
        <v>1990</v>
      </c>
      <c r="E360" s="3164">
        <v>1950</v>
      </c>
      <c r="F360" s="3164">
        <v>500</v>
      </c>
      <c r="G360" s="3176">
        <v>1200</v>
      </c>
      <c r="H360" s="958"/>
    </row>
    <row r="361" spans="1:8">
      <c r="A361" s="3183" t="s">
        <v>2751</v>
      </c>
      <c r="B361" s="3164" t="s">
        <v>999</v>
      </c>
      <c r="C361" s="3164">
        <v>2260</v>
      </c>
      <c r="D361" s="3164">
        <v>2220</v>
      </c>
      <c r="E361" s="3164">
        <v>2180</v>
      </c>
      <c r="F361" s="3164">
        <v>580</v>
      </c>
      <c r="G361" s="3176">
        <v>1340</v>
      </c>
      <c r="H361" s="958"/>
    </row>
    <row r="362" spans="1:8">
      <c r="A362" s="3183" t="s">
        <v>2751</v>
      </c>
      <c r="B362" s="3164" t="s">
        <v>2997</v>
      </c>
      <c r="C362" s="3164">
        <v>2650</v>
      </c>
      <c r="D362" s="3164">
        <v>2610</v>
      </c>
      <c r="E362" s="3164">
        <v>2570</v>
      </c>
      <c r="F362" s="3164">
        <v>630</v>
      </c>
      <c r="G362" s="3176">
        <v>1570</v>
      </c>
      <c r="H362" s="958"/>
    </row>
    <row r="363" spans="1:8">
      <c r="A363" s="3183" t="s">
        <v>2751</v>
      </c>
      <c r="B363" s="3164" t="s">
        <v>2998</v>
      </c>
      <c r="C363" s="3164">
        <v>2390</v>
      </c>
      <c r="D363" s="3164">
        <v>2360</v>
      </c>
      <c r="E363" s="3164">
        <v>2320</v>
      </c>
      <c r="F363" s="3164">
        <v>600</v>
      </c>
      <c r="G363" s="3176">
        <v>1420</v>
      </c>
      <c r="H363" s="958"/>
    </row>
    <row r="364" spans="1:8">
      <c r="A364" s="3183" t="s">
        <v>2751</v>
      </c>
      <c r="B364" s="3164" t="s">
        <v>2999</v>
      </c>
      <c r="C364" s="3164">
        <v>2050</v>
      </c>
      <c r="D364" s="3164">
        <v>2030</v>
      </c>
      <c r="E364" s="3164">
        <v>1990</v>
      </c>
      <c r="F364" s="3164">
        <v>550</v>
      </c>
      <c r="G364" s="3176">
        <v>1220</v>
      </c>
      <c r="H364" s="958"/>
    </row>
    <row r="365" spans="1:8">
      <c r="A365" s="3183" t="s">
        <v>2751</v>
      </c>
      <c r="B365" s="3164" t="s">
        <v>1047</v>
      </c>
      <c r="C365" s="3164">
        <v>2140</v>
      </c>
      <c r="D365" s="3164">
        <v>2100</v>
      </c>
      <c r="E365" s="3164">
        <v>2060</v>
      </c>
      <c r="F365" s="3164">
        <v>540</v>
      </c>
      <c r="G365" s="3176">
        <v>1270</v>
      </c>
      <c r="H365" s="958"/>
    </row>
    <row r="366" spans="1:8">
      <c r="A366" s="3183" t="s">
        <v>2751</v>
      </c>
      <c r="B366" s="3164" t="s">
        <v>3000</v>
      </c>
      <c r="C366" s="3164">
        <v>2410</v>
      </c>
      <c r="D366" s="3164">
        <v>2370</v>
      </c>
      <c r="E366" s="3164">
        <v>2330</v>
      </c>
      <c r="F366" s="3164">
        <v>570</v>
      </c>
      <c r="G366" s="3176">
        <v>1440</v>
      </c>
      <c r="H366" s="958"/>
    </row>
    <row r="367" spans="1:8">
      <c r="A367" s="3183" t="s">
        <v>2751</v>
      </c>
      <c r="B367" s="3164" t="s">
        <v>3001</v>
      </c>
      <c r="C367" s="3164">
        <v>2300</v>
      </c>
      <c r="D367" s="3164">
        <v>2260</v>
      </c>
      <c r="E367" s="3164">
        <v>2220</v>
      </c>
      <c r="F367" s="3164">
        <v>560</v>
      </c>
      <c r="G367" s="3176">
        <v>1370</v>
      </c>
      <c r="H367" s="958"/>
    </row>
    <row r="368" spans="1:8">
      <c r="A368" s="3183" t="s">
        <v>2751</v>
      </c>
      <c r="B368" s="3164" t="s">
        <v>3002</v>
      </c>
      <c r="C368" s="3164">
        <v>2430</v>
      </c>
      <c r="D368" s="3164">
        <v>2390</v>
      </c>
      <c r="E368" s="3164">
        <v>2350</v>
      </c>
      <c r="F368" s="3164">
        <v>570</v>
      </c>
      <c r="G368" s="3176">
        <v>1450</v>
      </c>
      <c r="H368" s="958"/>
    </row>
    <row r="369" spans="1:8">
      <c r="A369" s="3183" t="s">
        <v>2751</v>
      </c>
      <c r="B369" s="3164" t="s">
        <v>1061</v>
      </c>
      <c r="C369" s="3164">
        <v>2320</v>
      </c>
      <c r="D369" s="3164">
        <v>2290</v>
      </c>
      <c r="E369" s="3164">
        <v>2250</v>
      </c>
      <c r="F369" s="3164">
        <v>550</v>
      </c>
      <c r="G369" s="3176">
        <v>1380</v>
      </c>
      <c r="H369" s="958"/>
    </row>
    <row r="370" spans="1:8">
      <c r="A370" s="3183" t="s">
        <v>2751</v>
      </c>
      <c r="B370" s="3164" t="s">
        <v>1069</v>
      </c>
      <c r="C370" s="3164">
        <v>2190</v>
      </c>
      <c r="D370" s="3164">
        <v>2170</v>
      </c>
      <c r="E370" s="3164">
        <v>2130</v>
      </c>
      <c r="F370" s="3164">
        <v>530</v>
      </c>
      <c r="G370" s="3176">
        <v>1310</v>
      </c>
      <c r="H370" s="958"/>
    </row>
    <row r="371" spans="1:8">
      <c r="A371" s="3183" t="s">
        <v>2751</v>
      </c>
      <c r="B371" s="3164" t="s">
        <v>1077</v>
      </c>
      <c r="C371" s="3164">
        <v>2460</v>
      </c>
      <c r="D371" s="3164">
        <v>2420</v>
      </c>
      <c r="E371" s="3164">
        <v>2370</v>
      </c>
      <c r="F371" s="3164">
        <v>560</v>
      </c>
      <c r="G371" s="3176">
        <v>1470</v>
      </c>
      <c r="H371" s="958"/>
    </row>
    <row r="372" spans="1:8">
      <c r="A372" s="3183" t="s">
        <v>2751</v>
      </c>
      <c r="B372" s="3164" t="s">
        <v>3003</v>
      </c>
      <c r="C372" s="3164">
        <v>2250</v>
      </c>
      <c r="D372" s="3164">
        <v>2210</v>
      </c>
      <c r="E372" s="3164">
        <v>2180</v>
      </c>
      <c r="F372" s="3164">
        <v>550</v>
      </c>
      <c r="G372" s="3176">
        <v>1340</v>
      </c>
      <c r="H372" s="958"/>
    </row>
    <row r="373" spans="1:8">
      <c r="A373" s="3183" t="s">
        <v>2751</v>
      </c>
      <c r="B373" s="3164" t="s">
        <v>1106</v>
      </c>
      <c r="C373" s="3164">
        <v>2210</v>
      </c>
      <c r="D373" s="3164">
        <v>2190</v>
      </c>
      <c r="E373" s="3164">
        <v>2150</v>
      </c>
      <c r="F373" s="3164">
        <v>530</v>
      </c>
      <c r="G373" s="3176">
        <v>1320</v>
      </c>
      <c r="H373" s="958"/>
    </row>
    <row r="374" spans="1:8">
      <c r="A374" s="3183" t="s">
        <v>2751</v>
      </c>
      <c r="B374" s="3164" t="s">
        <v>1114</v>
      </c>
      <c r="C374" s="3164">
        <v>2320</v>
      </c>
      <c r="D374" s="3164">
        <v>2280</v>
      </c>
      <c r="E374" s="3164">
        <v>2230</v>
      </c>
      <c r="F374" s="3164">
        <v>580</v>
      </c>
      <c r="G374" s="3176">
        <v>1380</v>
      </c>
      <c r="H374" s="958"/>
    </row>
    <row r="375" spans="1:8">
      <c r="A375" s="3183" t="s">
        <v>2751</v>
      </c>
      <c r="B375" s="3164" t="s">
        <v>3004</v>
      </c>
      <c r="C375" s="3164">
        <v>2090</v>
      </c>
      <c r="D375" s="3164">
        <v>2050</v>
      </c>
      <c r="E375" s="3164">
        <v>2020</v>
      </c>
      <c r="F375" s="3164">
        <v>520</v>
      </c>
      <c r="G375" s="3176">
        <v>1240</v>
      </c>
      <c r="H375" s="958"/>
    </row>
    <row r="376" spans="1:8">
      <c r="A376" s="3183" t="s">
        <v>2751</v>
      </c>
      <c r="B376" s="3164" t="s">
        <v>1126</v>
      </c>
      <c r="C376" s="3164">
        <v>2010</v>
      </c>
      <c r="D376" s="3164">
        <v>1980</v>
      </c>
      <c r="E376" s="3164">
        <v>1940</v>
      </c>
      <c r="F376" s="3164">
        <v>540</v>
      </c>
      <c r="G376" s="3176">
        <v>1190</v>
      </c>
      <c r="H376" s="958"/>
    </row>
    <row r="377" spans="1:8" ht="14.25" thickBot="1">
      <c r="A377" s="3185" t="s">
        <v>2751</v>
      </c>
      <c r="B377" s="3179" t="s">
        <v>3005</v>
      </c>
      <c r="C377" s="3179">
        <v>1930</v>
      </c>
      <c r="D377" s="3179">
        <v>1890</v>
      </c>
      <c r="E377" s="3179">
        <v>1860</v>
      </c>
      <c r="F377" s="3179">
        <v>530</v>
      </c>
      <c r="G377" s="3186">
        <v>1150</v>
      </c>
      <c r="H377" s="958"/>
    </row>
    <row r="378" spans="1:8">
      <c r="A378" s="3180" t="s">
        <v>2752</v>
      </c>
      <c r="B378" s="3181" t="s">
        <v>3006</v>
      </c>
      <c r="C378" s="3181">
        <v>1520</v>
      </c>
      <c r="D378" s="3181">
        <v>1490</v>
      </c>
      <c r="E378" s="3181">
        <v>1460</v>
      </c>
      <c r="F378" s="3181">
        <v>460</v>
      </c>
      <c r="G378" s="3182">
        <v>940</v>
      </c>
      <c r="H378" s="958"/>
    </row>
    <row r="379" spans="1:8">
      <c r="A379" s="3183" t="s">
        <v>2752</v>
      </c>
      <c r="B379" s="3164" t="s">
        <v>3007</v>
      </c>
      <c r="C379" s="3164">
        <v>1500</v>
      </c>
      <c r="D379" s="3164">
        <v>1470</v>
      </c>
      <c r="E379" s="3164">
        <v>1430</v>
      </c>
      <c r="F379" s="3164">
        <v>460</v>
      </c>
      <c r="G379" s="3176">
        <v>920</v>
      </c>
      <c r="H379" s="958"/>
    </row>
    <row r="380" spans="1:8">
      <c r="A380" s="3183" t="s">
        <v>2752</v>
      </c>
      <c r="B380" s="3164" t="s">
        <v>3008</v>
      </c>
      <c r="C380" s="3164">
        <v>1620</v>
      </c>
      <c r="D380" s="3164">
        <v>1590</v>
      </c>
      <c r="E380" s="3164">
        <v>1560</v>
      </c>
      <c r="F380" s="3164">
        <v>480</v>
      </c>
      <c r="G380" s="3176">
        <v>1000</v>
      </c>
      <c r="H380" s="958"/>
    </row>
    <row r="381" spans="1:8">
      <c r="A381" s="3183" t="s">
        <v>2752</v>
      </c>
      <c r="B381" s="3164" t="s">
        <v>3009</v>
      </c>
      <c r="C381" s="3164">
        <v>1460</v>
      </c>
      <c r="D381" s="3164">
        <v>1430</v>
      </c>
      <c r="E381" s="3164">
        <v>1390</v>
      </c>
      <c r="F381" s="3164">
        <v>450</v>
      </c>
      <c r="G381" s="3176">
        <v>900</v>
      </c>
      <c r="H381" s="958"/>
    </row>
    <row r="382" spans="1:8">
      <c r="A382" s="3183" t="s">
        <v>2752</v>
      </c>
      <c r="B382" s="3164" t="s">
        <v>3010</v>
      </c>
      <c r="C382" s="3164">
        <v>1310</v>
      </c>
      <c r="D382" s="3164">
        <v>1280</v>
      </c>
      <c r="E382" s="3164">
        <v>1250</v>
      </c>
      <c r="F382" s="3164">
        <v>440</v>
      </c>
      <c r="G382" s="3176">
        <v>800</v>
      </c>
      <c r="H382" s="958"/>
    </row>
    <row r="383" spans="1:8">
      <c r="A383" s="3183" t="s">
        <v>2752</v>
      </c>
      <c r="B383" s="3164" t="s">
        <v>3011</v>
      </c>
      <c r="C383" s="3164">
        <v>1260</v>
      </c>
      <c r="D383" s="3164">
        <v>1230</v>
      </c>
      <c r="E383" s="3164">
        <v>1200</v>
      </c>
      <c r="F383" s="3164">
        <v>420</v>
      </c>
      <c r="G383" s="3176">
        <v>770</v>
      </c>
      <c r="H383" s="958"/>
    </row>
    <row r="384" spans="1:8" ht="14.25" thickBot="1">
      <c r="A384" s="3184" t="s">
        <v>2752</v>
      </c>
      <c r="B384" s="3178" t="s">
        <v>3012</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81" t="s">
        <v>3175</v>
      </c>
      <c r="B1" s="3681"/>
      <c r="C1" s="3681"/>
      <c r="D1" s="3681"/>
      <c r="E1" s="3681"/>
      <c r="F1" s="3682"/>
    </row>
    <row r="2" spans="1:6">
      <c r="A2" s="3229" t="s">
        <v>3176</v>
      </c>
      <c r="B2" s="1490"/>
      <c r="C2" s="1490"/>
      <c r="D2" s="1490"/>
      <c r="E2" s="1490"/>
      <c r="F2" s="1490"/>
    </row>
    <row r="3" spans="1:6">
      <c r="A3" s="3229" t="s">
        <v>3177</v>
      </c>
      <c r="B3" s="1490"/>
      <c r="C3" s="1490"/>
      <c r="D3" s="1490"/>
      <c r="E3" s="1490"/>
      <c r="F3" s="3230" t="s">
        <v>3178</v>
      </c>
    </row>
    <row r="4" spans="1:6">
      <c r="A4" s="3231" t="s">
        <v>3173</v>
      </c>
      <c r="B4" s="3231" t="s">
        <v>2727</v>
      </c>
      <c r="C4" s="3231" t="s">
        <v>1212</v>
      </c>
      <c r="D4" s="3231" t="s">
        <v>3174</v>
      </c>
      <c r="E4" s="3231" t="s">
        <v>905</v>
      </c>
      <c r="F4" s="3231" t="s">
        <v>3179</v>
      </c>
    </row>
    <row r="5" spans="1:6">
      <c r="A5" s="3232" t="s">
        <v>2750</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2751</v>
      </c>
      <c r="B16" s="3234">
        <v>2230</v>
      </c>
      <c r="C16" s="3234">
        <v>2200</v>
      </c>
      <c r="D16" s="3234">
        <v>2180</v>
      </c>
      <c r="E16" s="3234">
        <v>570</v>
      </c>
      <c r="F16" s="3234">
        <v>1330</v>
      </c>
    </row>
    <row r="17" spans="1:6">
      <c r="A17" s="3232" t="s">
        <v>2752</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2" t="s">
        <v>2764</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2751</v>
      </c>
      <c r="M2" s="926" t="s">
        <v>2752</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2" t="s">
        <v>2765</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2751</v>
      </c>
      <c r="M94" s="932" t="s">
        <v>2752</v>
      </c>
      <c r="N94" s="922" t="e">
        <f>SUMPRODUCT((A95:A184=ROUNDDOWN([4]基准地价修正!G3,1))*(B94:M94=[4]基准地价修正!G2)*(B95:M184))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2" t="s">
        <v>2766</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2751</v>
      </c>
      <c r="M186" s="932" t="s">
        <v>2752</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2" t="s">
        <v>2767</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2751</v>
      </c>
      <c r="M278" s="932" t="s">
        <v>2752</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2" t="s">
        <v>2768</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2751</v>
      </c>
      <c r="M370" s="932" t="s">
        <v>2752</v>
      </c>
      <c r="N370" s="922" t="e">
        <f>SUMPRODUCT((A371:A460=ROUNDDOWN([4]基准地价修正!G3,1))*(B370:M370=[4]基准地价修正!G2)*(B371:M460))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683" t="s">
        <v>3013</v>
      </c>
      <c r="B1" s="3683"/>
    </row>
    <row r="2" spans="1:7" ht="14.25" thickBot="1">
      <c r="A2" s="3195"/>
      <c r="B2" s="3195"/>
    </row>
    <row r="3" spans="1:7" ht="14.25" thickBot="1">
      <c r="A3" s="3195"/>
      <c r="B3" s="3195"/>
      <c r="C3" s="3196" t="s">
        <v>3014</v>
      </c>
      <c r="D3" s="3196" t="s">
        <v>3015</v>
      </c>
      <c r="E3" s="3196" t="s">
        <v>3016</v>
      </c>
      <c r="F3" s="3196" t="s">
        <v>3017</v>
      </c>
      <c r="G3" s="3196" t="s">
        <v>3018</v>
      </c>
    </row>
    <row r="4" spans="1:7" ht="14.25" thickBot="1">
      <c r="A4" s="3197" t="s">
        <v>3019</v>
      </c>
      <c r="B4" s="3198" t="s">
        <v>3020</v>
      </c>
      <c r="C4" s="3196"/>
      <c r="D4" s="3196"/>
      <c r="E4" s="3196"/>
      <c r="F4" s="3196"/>
      <c r="G4" s="3196"/>
    </row>
    <row r="5" spans="1:7">
      <c r="A5" s="3199" t="s">
        <v>3021</v>
      </c>
      <c r="B5" s="3200" t="s">
        <v>3022</v>
      </c>
      <c r="C5" s="3201">
        <v>9.8000000000000004E-2</v>
      </c>
      <c r="D5" s="3201">
        <v>8.6999999999999994E-2</v>
      </c>
      <c r="E5" s="3201">
        <v>8.6999999999999994E-2</v>
      </c>
      <c r="F5" s="3201">
        <v>9.8000000000000004E-2</v>
      </c>
      <c r="G5" s="3202">
        <v>9.5000000000000001E-2</v>
      </c>
    </row>
    <row r="6" spans="1:7">
      <c r="A6" s="3203" t="s">
        <v>990</v>
      </c>
      <c r="B6" s="3204" t="s">
        <v>3023</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3024</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3025</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2811</v>
      </c>
      <c r="C29" s="3213"/>
      <c r="D29" s="3209">
        <v>5.1999999999999998E-2</v>
      </c>
      <c r="E29" s="3209">
        <v>7.0000000000000007E-2</v>
      </c>
      <c r="F29" s="3213"/>
      <c r="G29" s="3211">
        <v>7.0999999999999994E-2</v>
      </c>
    </row>
    <row r="30" spans="1:7">
      <c r="A30" s="3214" t="s">
        <v>1145</v>
      </c>
      <c r="B30" s="3200" t="s">
        <v>3026</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3027</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2813</v>
      </c>
      <c r="C50" s="3205">
        <v>9.8000000000000004E-2</v>
      </c>
      <c r="D50" s="3205">
        <v>7.2999999999999995E-2</v>
      </c>
      <c r="E50" s="3205">
        <v>7.0999999999999994E-2</v>
      </c>
      <c r="F50" s="3216"/>
      <c r="G50" s="3206">
        <v>7.2999999999999995E-2</v>
      </c>
    </row>
    <row r="51" spans="1:7">
      <c r="A51" s="3215" t="s">
        <v>1145</v>
      </c>
      <c r="B51" s="3204" t="s">
        <v>2814</v>
      </c>
      <c r="C51" s="3205">
        <v>9.9000000000000005E-2</v>
      </c>
      <c r="D51" s="3205">
        <v>8.5000000000000006E-2</v>
      </c>
      <c r="E51" s="3205">
        <v>6.3E-2</v>
      </c>
      <c r="F51" s="3216"/>
      <c r="G51" s="3206">
        <v>9.6000000000000002E-2</v>
      </c>
    </row>
    <row r="52" spans="1:7">
      <c r="A52" s="3215" t="s">
        <v>1145</v>
      </c>
      <c r="B52" s="3204" t="s">
        <v>2815</v>
      </c>
      <c r="C52" s="3205">
        <v>7.3999999999999996E-2</v>
      </c>
      <c r="D52" s="3205">
        <v>9.6000000000000002E-2</v>
      </c>
      <c r="E52" s="3205">
        <v>0.05</v>
      </c>
      <c r="F52" s="3216"/>
      <c r="G52" s="3206">
        <v>9.8000000000000004E-2</v>
      </c>
    </row>
    <row r="53" spans="1:7">
      <c r="A53" s="3215" t="s">
        <v>1145</v>
      </c>
      <c r="B53" s="3204" t="s">
        <v>2816</v>
      </c>
      <c r="C53" s="3205">
        <v>8.5999999999999993E-2</v>
      </c>
      <c r="D53" s="3216"/>
      <c r="E53" s="3205">
        <v>9.1999999999999998E-2</v>
      </c>
      <c r="F53" s="3216"/>
      <c r="G53" s="3217"/>
    </row>
    <row r="54" spans="1:7" ht="14.25" thickBot="1">
      <c r="A54" s="3218" t="s">
        <v>1145</v>
      </c>
      <c r="B54" s="3208" t="s">
        <v>2817</v>
      </c>
      <c r="C54" s="3209">
        <v>9.6000000000000002E-2</v>
      </c>
      <c r="D54" s="3210"/>
      <c r="E54" s="3219"/>
      <c r="F54" s="3210"/>
      <c r="G54" s="3220"/>
    </row>
    <row r="55" spans="1:7">
      <c r="A55" s="3214" t="s">
        <v>853</v>
      </c>
      <c r="B55" s="3200" t="s">
        <v>3028</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2819</v>
      </c>
      <c r="C78" s="3205">
        <v>0.1</v>
      </c>
      <c r="D78" s="3205">
        <v>8.5000000000000006E-2</v>
      </c>
      <c r="E78" s="3205">
        <v>9.6000000000000002E-2</v>
      </c>
      <c r="F78" s="3216"/>
      <c r="G78" s="3206">
        <v>9.6000000000000002E-2</v>
      </c>
    </row>
    <row r="79" spans="1:7">
      <c r="A79" s="3215" t="s">
        <v>853</v>
      </c>
      <c r="B79" s="3204" t="s">
        <v>2820</v>
      </c>
      <c r="C79" s="3205">
        <v>0.05</v>
      </c>
      <c r="D79" s="3205">
        <v>9.6000000000000002E-2</v>
      </c>
      <c r="E79" s="3205">
        <v>9.5000000000000001E-2</v>
      </c>
      <c r="F79" s="3216"/>
      <c r="G79" s="3206">
        <v>9.8000000000000004E-2</v>
      </c>
    </row>
    <row r="80" spans="1:7">
      <c r="A80" s="3215" t="s">
        <v>853</v>
      </c>
      <c r="B80" s="3204" t="s">
        <v>2821</v>
      </c>
      <c r="C80" s="3205">
        <v>8.5999999999999993E-2</v>
      </c>
      <c r="D80" s="3221"/>
      <c r="E80" s="3205">
        <v>0.1</v>
      </c>
      <c r="F80" s="3216"/>
      <c r="G80" s="3217"/>
    </row>
    <row r="81" spans="1:7">
      <c r="A81" s="3215" t="s">
        <v>853</v>
      </c>
      <c r="B81" s="3204" t="s">
        <v>2822</v>
      </c>
      <c r="C81" s="3205">
        <v>9.6000000000000002E-2</v>
      </c>
      <c r="D81" s="3216"/>
      <c r="E81" s="3205">
        <v>9.8000000000000004E-2</v>
      </c>
      <c r="F81" s="3216"/>
      <c r="G81" s="3217"/>
    </row>
    <row r="82" spans="1:7">
      <c r="A82" s="3215" t="s">
        <v>853</v>
      </c>
      <c r="B82" s="3204" t="s">
        <v>2823</v>
      </c>
      <c r="C82" s="3221"/>
      <c r="D82" s="3216"/>
      <c r="E82" s="3205">
        <v>7.6999999999999999E-2</v>
      </c>
      <c r="F82" s="3216"/>
      <c r="G82" s="3217"/>
    </row>
    <row r="83" spans="1:7">
      <c r="A83" s="3215" t="s">
        <v>853</v>
      </c>
      <c r="B83" s="3204" t="s">
        <v>3029</v>
      </c>
      <c r="C83" s="3216"/>
      <c r="D83" s="3216"/>
      <c r="E83" s="3216"/>
      <c r="F83" s="3205">
        <v>0.1</v>
      </c>
      <c r="G83" s="3222"/>
    </row>
    <row r="84" spans="1:7">
      <c r="A84" s="3215" t="s">
        <v>853</v>
      </c>
      <c r="B84" s="3204" t="s">
        <v>3030</v>
      </c>
      <c r="C84" s="3216"/>
      <c r="D84" s="3216"/>
      <c r="E84" s="3216"/>
      <c r="F84" s="3205">
        <v>0.1</v>
      </c>
      <c r="G84" s="3222"/>
    </row>
    <row r="85" spans="1:7">
      <c r="A85" s="3215" t="s">
        <v>853</v>
      </c>
      <c r="B85" s="3204" t="s">
        <v>3031</v>
      </c>
      <c r="C85" s="3216"/>
      <c r="D85" s="3216"/>
      <c r="E85" s="3216"/>
      <c r="F85" s="3205">
        <v>0.1</v>
      </c>
      <c r="G85" s="3222"/>
    </row>
    <row r="86" spans="1:7" ht="14.25" thickBot="1">
      <c r="A86" s="3218" t="s">
        <v>853</v>
      </c>
      <c r="B86" s="3208" t="s">
        <v>3032</v>
      </c>
      <c r="C86" s="3209">
        <v>9.8000000000000004E-2</v>
      </c>
      <c r="D86" s="3209">
        <v>9.8000000000000004E-2</v>
      </c>
      <c r="E86" s="3209">
        <v>9.6000000000000002E-2</v>
      </c>
      <c r="F86" s="3219"/>
      <c r="G86" s="3211">
        <v>0.1</v>
      </c>
    </row>
    <row r="87" spans="1:7">
      <c r="A87" s="3214" t="s">
        <v>1152</v>
      </c>
      <c r="B87" s="3200" t="s">
        <v>3033</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2829</v>
      </c>
      <c r="C113" s="3205">
        <v>0.1</v>
      </c>
      <c r="D113" s="3205">
        <v>0.1</v>
      </c>
      <c r="E113" s="3216"/>
      <c r="F113" s="3216"/>
      <c r="G113" s="3206">
        <v>0.1</v>
      </c>
    </row>
    <row r="114" spans="1:7">
      <c r="A114" s="3215" t="s">
        <v>1152</v>
      </c>
      <c r="B114" s="3204" t="s">
        <v>2830</v>
      </c>
      <c r="C114" s="3205">
        <v>9.7000000000000003E-2</v>
      </c>
      <c r="D114" s="3205">
        <v>9.7000000000000003E-2</v>
      </c>
      <c r="E114" s="3216"/>
      <c r="F114" s="3216"/>
      <c r="G114" s="3206">
        <v>9.9000000000000005E-2</v>
      </c>
    </row>
    <row r="115" spans="1:7">
      <c r="A115" s="3215" t="s">
        <v>1152</v>
      </c>
      <c r="B115" s="3204" t="s">
        <v>2831</v>
      </c>
      <c r="C115" s="3205">
        <v>0.1</v>
      </c>
      <c r="D115" s="3205">
        <v>0.1</v>
      </c>
      <c r="E115" s="3216"/>
      <c r="F115" s="3216"/>
      <c r="G115" s="3206">
        <v>0.1</v>
      </c>
    </row>
    <row r="116" spans="1:7">
      <c r="A116" s="3215" t="s">
        <v>1152</v>
      </c>
      <c r="B116" s="3204" t="s">
        <v>2832</v>
      </c>
      <c r="C116" s="3205">
        <v>0.1</v>
      </c>
      <c r="D116" s="3205">
        <v>0.1</v>
      </c>
      <c r="E116" s="3216"/>
      <c r="F116" s="3216"/>
      <c r="G116" s="3206">
        <v>0.1</v>
      </c>
    </row>
    <row r="117" spans="1:7">
      <c r="A117" s="3215" t="s">
        <v>1152</v>
      </c>
      <c r="B117" s="3204" t="s">
        <v>2833</v>
      </c>
      <c r="C117" s="3205">
        <v>9.7000000000000003E-2</v>
      </c>
      <c r="D117" s="3205">
        <v>9.7000000000000003E-2</v>
      </c>
      <c r="E117" s="3216"/>
      <c r="F117" s="3216"/>
      <c r="G117" s="3206">
        <v>9.7000000000000003E-2</v>
      </c>
    </row>
    <row r="118" spans="1:7">
      <c r="A118" s="3215" t="s">
        <v>1152</v>
      </c>
      <c r="B118" s="3204" t="s">
        <v>2834</v>
      </c>
      <c r="C118" s="3205">
        <v>0.1</v>
      </c>
      <c r="D118" s="3205">
        <v>0.1</v>
      </c>
      <c r="E118" s="3216"/>
      <c r="F118" s="3216"/>
      <c r="G118" s="3206">
        <v>0.1</v>
      </c>
    </row>
    <row r="119" spans="1:7">
      <c r="A119" s="3215" t="s">
        <v>1152</v>
      </c>
      <c r="B119" s="3204" t="s">
        <v>2835</v>
      </c>
      <c r="C119" s="3205">
        <v>5.0999999999999997E-2</v>
      </c>
      <c r="D119" s="3205">
        <v>5.1999999999999998E-2</v>
      </c>
      <c r="E119" s="3216"/>
      <c r="F119" s="3221"/>
      <c r="G119" s="3206">
        <v>0.06</v>
      </c>
    </row>
    <row r="120" spans="1:7">
      <c r="A120" s="3215" t="s">
        <v>1152</v>
      </c>
      <c r="B120" s="3204" t="s">
        <v>3034</v>
      </c>
      <c r="C120" s="3216"/>
      <c r="D120" s="3216"/>
      <c r="E120" s="3216"/>
      <c r="F120" s="3205">
        <v>0.1</v>
      </c>
      <c r="G120" s="3222"/>
    </row>
    <row r="121" spans="1:7">
      <c r="A121" s="3215" t="s">
        <v>1152</v>
      </c>
      <c r="B121" s="3204" t="s">
        <v>3035</v>
      </c>
      <c r="C121" s="3216"/>
      <c r="D121" s="3216"/>
      <c r="E121" s="3216"/>
      <c r="F121" s="3205">
        <v>0.1</v>
      </c>
      <c r="G121" s="3222"/>
    </row>
    <row r="122" spans="1:7">
      <c r="A122" s="3215" t="s">
        <v>1152</v>
      </c>
      <c r="B122" s="3204" t="s">
        <v>3036</v>
      </c>
      <c r="C122" s="3205">
        <v>0.1</v>
      </c>
      <c r="D122" s="3205">
        <v>0.1</v>
      </c>
      <c r="E122" s="3205">
        <v>9.8000000000000004E-2</v>
      </c>
      <c r="F122" s="3205">
        <v>0.1</v>
      </c>
      <c r="G122" s="3206">
        <v>0.1</v>
      </c>
    </row>
    <row r="123" spans="1:7">
      <c r="A123" s="3215" t="s">
        <v>1152</v>
      </c>
      <c r="B123" s="3204" t="s">
        <v>2839</v>
      </c>
      <c r="C123" s="3205">
        <v>0.1</v>
      </c>
      <c r="D123" s="3205">
        <v>0.1</v>
      </c>
      <c r="E123" s="3205">
        <v>9.8000000000000004E-2</v>
      </c>
      <c r="F123" s="3205">
        <v>0.1</v>
      </c>
      <c r="G123" s="3206">
        <v>0.1</v>
      </c>
    </row>
    <row r="124" spans="1:7">
      <c r="A124" s="3215" t="s">
        <v>1152</v>
      </c>
      <c r="B124" s="3204" t="s">
        <v>2840</v>
      </c>
      <c r="C124" s="3205">
        <v>0.1</v>
      </c>
      <c r="D124" s="3205">
        <v>0.1</v>
      </c>
      <c r="E124" s="3205">
        <v>9.8000000000000004E-2</v>
      </c>
      <c r="F124" s="3221"/>
      <c r="G124" s="3206">
        <v>0.1</v>
      </c>
    </row>
    <row r="125" spans="1:7">
      <c r="A125" s="3215" t="s">
        <v>1152</v>
      </c>
      <c r="B125" s="3204" t="s">
        <v>2841</v>
      </c>
      <c r="C125" s="3205">
        <v>9.8000000000000004E-2</v>
      </c>
      <c r="D125" s="3205">
        <v>9.8000000000000004E-2</v>
      </c>
      <c r="E125" s="3205">
        <v>9.6000000000000002E-2</v>
      </c>
      <c r="F125" s="3221"/>
      <c r="G125" s="3206">
        <v>0.1</v>
      </c>
    </row>
    <row r="126" spans="1:7" ht="14.25" thickBot="1">
      <c r="A126" s="3218" t="s">
        <v>1152</v>
      </c>
      <c r="B126" s="3208" t="s">
        <v>3037</v>
      </c>
      <c r="C126" s="3209">
        <v>0.1</v>
      </c>
      <c r="D126" s="3209">
        <v>0.1</v>
      </c>
      <c r="E126" s="3209">
        <v>9.8000000000000004E-2</v>
      </c>
      <c r="F126" s="3209">
        <v>0.1</v>
      </c>
      <c r="G126" s="3211">
        <v>0.1</v>
      </c>
    </row>
    <row r="127" spans="1:7">
      <c r="A127" s="3214" t="s">
        <v>1153</v>
      </c>
      <c r="B127" s="3200" t="s">
        <v>3038</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3039</v>
      </c>
      <c r="C148" s="3205">
        <v>0.13</v>
      </c>
      <c r="D148" s="3205">
        <v>0.13</v>
      </c>
      <c r="E148" s="3205">
        <v>0.13</v>
      </c>
      <c r="F148" s="3216"/>
      <c r="G148" s="3206">
        <v>0.13</v>
      </c>
    </row>
    <row r="149" spans="1:7">
      <c r="A149" s="3215" t="s">
        <v>1153</v>
      </c>
      <c r="B149" s="3204" t="s">
        <v>3040</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2846</v>
      </c>
      <c r="C153" s="3205">
        <v>0.13</v>
      </c>
      <c r="D153" s="3205">
        <v>0.13</v>
      </c>
      <c r="E153" s="3205">
        <v>0.13</v>
      </c>
      <c r="F153" s="3205">
        <v>0.13</v>
      </c>
      <c r="G153" s="3206">
        <v>0.13</v>
      </c>
    </row>
    <row r="154" spans="1:7">
      <c r="A154" s="3215" t="s">
        <v>1153</v>
      </c>
      <c r="B154" s="3204" t="s">
        <v>3041</v>
      </c>
      <c r="C154" s="3205">
        <v>0.121</v>
      </c>
      <c r="D154" s="3205">
        <v>0.121</v>
      </c>
      <c r="E154" s="3205">
        <v>0.105</v>
      </c>
      <c r="F154" s="3205">
        <v>0.121</v>
      </c>
      <c r="G154" s="3206">
        <v>0.123</v>
      </c>
    </row>
    <row r="155" spans="1:7">
      <c r="A155" s="3215" t="s">
        <v>1153</v>
      </c>
      <c r="B155" s="3204" t="s">
        <v>2848</v>
      </c>
      <c r="C155" s="3205">
        <v>0.1</v>
      </c>
      <c r="D155" s="3205">
        <v>0.1</v>
      </c>
      <c r="E155" s="3205">
        <v>0.1</v>
      </c>
      <c r="F155" s="3205">
        <v>0.1</v>
      </c>
      <c r="G155" s="3206">
        <v>0.1</v>
      </c>
    </row>
    <row r="156" spans="1:7">
      <c r="A156" s="3215" t="s">
        <v>1153</v>
      </c>
      <c r="B156" s="3204" t="s">
        <v>3042</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3043</v>
      </c>
      <c r="C160" s="3205">
        <v>0.13</v>
      </c>
      <c r="D160" s="3205">
        <v>0.13</v>
      </c>
      <c r="E160" s="3205">
        <v>0.124</v>
      </c>
      <c r="F160" s="3205">
        <v>0.126</v>
      </c>
      <c r="G160" s="3206">
        <v>0.13</v>
      </c>
    </row>
    <row r="161" spans="1:7">
      <c r="A161" s="3215" t="s">
        <v>1153</v>
      </c>
      <c r="B161" s="3204" t="s">
        <v>2851</v>
      </c>
      <c r="C161" s="3205">
        <v>0.13</v>
      </c>
      <c r="D161" s="3205">
        <v>0.13</v>
      </c>
      <c r="E161" s="3205">
        <v>0.124</v>
      </c>
      <c r="F161" s="3205">
        <v>0.127</v>
      </c>
      <c r="G161" s="3206">
        <v>0.13</v>
      </c>
    </row>
    <row r="162" spans="1:7">
      <c r="A162" s="3215" t="s">
        <v>1153</v>
      </c>
      <c r="B162" s="3204" t="s">
        <v>2852</v>
      </c>
      <c r="C162" s="3205">
        <v>0.1</v>
      </c>
      <c r="D162" s="3205">
        <v>0.1</v>
      </c>
      <c r="E162" s="3205">
        <v>0.1</v>
      </c>
      <c r="F162" s="3205">
        <v>0.121</v>
      </c>
      <c r="G162" s="3206">
        <v>0.105</v>
      </c>
    </row>
    <row r="163" spans="1:7">
      <c r="A163" s="3215" t="s">
        <v>1153</v>
      </c>
      <c r="B163" s="3204" t="s">
        <v>2853</v>
      </c>
      <c r="C163" s="3205">
        <v>0.1</v>
      </c>
      <c r="D163" s="3205">
        <v>0.1</v>
      </c>
      <c r="E163" s="3205">
        <v>0.1</v>
      </c>
      <c r="F163" s="3205">
        <v>0.1</v>
      </c>
      <c r="G163" s="3206">
        <v>0.1</v>
      </c>
    </row>
    <row r="164" spans="1:7">
      <c r="A164" s="3215" t="s">
        <v>1153</v>
      </c>
      <c r="B164" s="3204" t="s">
        <v>2854</v>
      </c>
      <c r="C164" s="3221"/>
      <c r="D164" s="3221"/>
      <c r="E164" s="3221"/>
      <c r="F164" s="3205">
        <v>0.1</v>
      </c>
      <c r="G164" s="3217"/>
    </row>
    <row r="165" spans="1:7">
      <c r="A165" s="3215" t="s">
        <v>1153</v>
      </c>
      <c r="B165" s="3204" t="s">
        <v>3044</v>
      </c>
      <c r="C165" s="3205">
        <v>0.126</v>
      </c>
      <c r="D165" s="3205">
        <v>0.126</v>
      </c>
      <c r="E165" s="3205">
        <v>0.11899999999999999</v>
      </c>
      <c r="F165" s="3205">
        <v>0.13</v>
      </c>
      <c r="G165" s="3206">
        <v>0.128</v>
      </c>
    </row>
    <row r="166" spans="1:7">
      <c r="A166" s="3215" t="s">
        <v>1153</v>
      </c>
      <c r="B166" s="3204" t="s">
        <v>2856</v>
      </c>
      <c r="C166" s="3205">
        <v>0.129</v>
      </c>
      <c r="D166" s="3205">
        <v>0.129</v>
      </c>
      <c r="E166" s="3205">
        <v>0.123</v>
      </c>
      <c r="F166" s="3205">
        <v>0.128</v>
      </c>
      <c r="G166" s="3206">
        <v>0.13</v>
      </c>
    </row>
    <row r="167" spans="1:7">
      <c r="A167" s="3215" t="s">
        <v>1153</v>
      </c>
      <c r="B167" s="3204" t="s">
        <v>2857</v>
      </c>
      <c r="C167" s="3205">
        <v>0.125</v>
      </c>
      <c r="D167" s="3205">
        <v>0.125</v>
      </c>
      <c r="E167" s="3205">
        <v>0.11700000000000001</v>
      </c>
      <c r="F167" s="3205">
        <v>0.13</v>
      </c>
      <c r="G167" s="3206">
        <v>0.126</v>
      </c>
    </row>
    <row r="168" spans="1:7">
      <c r="A168" s="3215" t="s">
        <v>1153</v>
      </c>
      <c r="B168" s="3204" t="s">
        <v>2858</v>
      </c>
      <c r="C168" s="3205">
        <v>0.128</v>
      </c>
      <c r="D168" s="3205">
        <v>0.128</v>
      </c>
      <c r="E168" s="3205">
        <v>0.123</v>
      </c>
      <c r="F168" s="3216"/>
      <c r="G168" s="3206">
        <v>0.13</v>
      </c>
    </row>
    <row r="169" spans="1:7">
      <c r="A169" s="3215" t="s">
        <v>1153</v>
      </c>
      <c r="B169" s="3204" t="s">
        <v>3045</v>
      </c>
      <c r="C169" s="3221"/>
      <c r="D169" s="3221"/>
      <c r="E169" s="3221"/>
      <c r="F169" s="3205">
        <v>0.05</v>
      </c>
      <c r="G169" s="3217"/>
    </row>
    <row r="170" spans="1:7">
      <c r="A170" s="3215" t="s">
        <v>1153</v>
      </c>
      <c r="B170" s="3204" t="s">
        <v>3046</v>
      </c>
      <c r="C170" s="3221"/>
      <c r="D170" s="3221"/>
      <c r="E170" s="3221"/>
      <c r="F170" s="3205">
        <v>0.05</v>
      </c>
      <c r="G170" s="3217"/>
    </row>
    <row r="171" spans="1:7">
      <c r="A171" s="3215" t="s">
        <v>1153</v>
      </c>
      <c r="B171" s="3204" t="s">
        <v>3047</v>
      </c>
      <c r="C171" s="3221"/>
      <c r="D171" s="3221"/>
      <c r="E171" s="3221"/>
      <c r="F171" s="3205">
        <v>0.05</v>
      </c>
      <c r="G171" s="3222"/>
    </row>
    <row r="172" spans="1:7">
      <c r="A172" s="3215" t="s">
        <v>1153</v>
      </c>
      <c r="B172" s="3204" t="s">
        <v>3048</v>
      </c>
      <c r="C172" s="3221"/>
      <c r="D172" s="3221"/>
      <c r="E172" s="3221"/>
      <c r="F172" s="3205">
        <v>0.05</v>
      </c>
      <c r="G172" s="3222"/>
    </row>
    <row r="173" spans="1:7">
      <c r="A173" s="3215" t="s">
        <v>1153</v>
      </c>
      <c r="B173" s="3204" t="s">
        <v>3049</v>
      </c>
      <c r="C173" s="3221"/>
      <c r="D173" s="3221"/>
      <c r="E173" s="3221"/>
      <c r="F173" s="3205">
        <v>0.05</v>
      </c>
      <c r="G173" s="3217"/>
    </row>
    <row r="174" spans="1:7">
      <c r="A174" s="3215" t="s">
        <v>1153</v>
      </c>
      <c r="B174" s="3204" t="s">
        <v>3050</v>
      </c>
      <c r="C174" s="3221"/>
      <c r="D174" s="3221"/>
      <c r="E174" s="3221"/>
      <c r="F174" s="3205">
        <v>0.05</v>
      </c>
      <c r="G174" s="3217"/>
    </row>
    <row r="175" spans="1:7">
      <c r="A175" s="3215" t="s">
        <v>1153</v>
      </c>
      <c r="B175" s="3204" t="s">
        <v>3051</v>
      </c>
      <c r="C175" s="3221"/>
      <c r="D175" s="3221"/>
      <c r="E175" s="3221"/>
      <c r="F175" s="3205">
        <v>0.05</v>
      </c>
      <c r="G175" s="3217"/>
    </row>
    <row r="176" spans="1:7">
      <c r="A176" s="3215" t="s">
        <v>1153</v>
      </c>
      <c r="B176" s="3204" t="s">
        <v>3052</v>
      </c>
      <c r="C176" s="3221"/>
      <c r="D176" s="3221"/>
      <c r="E176" s="3221"/>
      <c r="F176" s="3205">
        <v>0.05</v>
      </c>
      <c r="G176" s="3217"/>
    </row>
    <row r="177" spans="1:7">
      <c r="A177" s="3215" t="s">
        <v>1153</v>
      </c>
      <c r="B177" s="3204" t="s">
        <v>3053</v>
      </c>
      <c r="C177" s="3216"/>
      <c r="D177" s="3216"/>
      <c r="E177" s="3216"/>
      <c r="F177" s="3205">
        <v>0.05</v>
      </c>
      <c r="G177" s="3222"/>
    </row>
    <row r="178" spans="1:7">
      <c r="A178" s="3215" t="s">
        <v>1153</v>
      </c>
      <c r="B178" s="3204" t="s">
        <v>3054</v>
      </c>
      <c r="C178" s="3216"/>
      <c r="D178" s="3216"/>
      <c r="E178" s="3216"/>
      <c r="F178" s="3205">
        <v>0.05</v>
      </c>
      <c r="G178" s="3222"/>
    </row>
    <row r="179" spans="1:7">
      <c r="A179" s="3215" t="s">
        <v>1153</v>
      </c>
      <c r="B179" s="3204" t="s">
        <v>3055</v>
      </c>
      <c r="C179" s="3216"/>
      <c r="D179" s="3216"/>
      <c r="E179" s="3216"/>
      <c r="F179" s="3205">
        <v>0.05</v>
      </c>
      <c r="G179" s="3222"/>
    </row>
    <row r="180" spans="1:7">
      <c r="A180" s="3215" t="s">
        <v>1153</v>
      </c>
      <c r="B180" s="3204" t="s">
        <v>3056</v>
      </c>
      <c r="C180" s="3216"/>
      <c r="D180" s="3216"/>
      <c r="E180" s="3216"/>
      <c r="F180" s="3205">
        <v>0.05</v>
      </c>
      <c r="G180" s="3222"/>
    </row>
    <row r="181" spans="1:7">
      <c r="A181" s="3215" t="s">
        <v>1153</v>
      </c>
      <c r="B181" s="3204" t="s">
        <v>3057</v>
      </c>
      <c r="C181" s="3216"/>
      <c r="D181" s="3216"/>
      <c r="E181" s="3216"/>
      <c r="F181" s="3205">
        <v>0.05</v>
      </c>
      <c r="G181" s="3222"/>
    </row>
    <row r="182" spans="1:7">
      <c r="A182" s="3215" t="s">
        <v>1153</v>
      </c>
      <c r="B182" s="3204" t="s">
        <v>3058</v>
      </c>
      <c r="C182" s="3216"/>
      <c r="D182" s="3216"/>
      <c r="E182" s="3216"/>
      <c r="F182" s="3205">
        <v>0.05</v>
      </c>
      <c r="G182" s="3222"/>
    </row>
    <row r="183" spans="1:7">
      <c r="A183" s="3215" t="s">
        <v>1153</v>
      </c>
      <c r="B183" s="3204" t="s">
        <v>3059</v>
      </c>
      <c r="C183" s="3216"/>
      <c r="D183" s="3216"/>
      <c r="E183" s="3216"/>
      <c r="F183" s="3205">
        <v>0.05</v>
      </c>
      <c r="G183" s="3222"/>
    </row>
    <row r="184" spans="1:7">
      <c r="A184" s="3215" t="s">
        <v>1153</v>
      </c>
      <c r="B184" s="3204" t="s">
        <v>3060</v>
      </c>
      <c r="C184" s="3216"/>
      <c r="D184" s="3216"/>
      <c r="E184" s="3216"/>
      <c r="F184" s="3205">
        <v>0.05</v>
      </c>
      <c r="G184" s="3222"/>
    </row>
    <row r="185" spans="1:7">
      <c r="A185" s="3215" t="s">
        <v>1153</v>
      </c>
      <c r="B185" s="3204" t="s">
        <v>3061</v>
      </c>
      <c r="C185" s="3216"/>
      <c r="D185" s="3216"/>
      <c r="E185" s="3216"/>
      <c r="F185" s="3205">
        <v>0.05</v>
      </c>
      <c r="G185" s="3222"/>
    </row>
    <row r="186" spans="1:7">
      <c r="A186" s="3215" t="s">
        <v>1153</v>
      </c>
      <c r="B186" s="3204" t="s">
        <v>3062</v>
      </c>
      <c r="C186" s="3216"/>
      <c r="D186" s="3216"/>
      <c r="E186" s="3216"/>
      <c r="F186" s="3205">
        <v>0.05</v>
      </c>
      <c r="G186" s="3222"/>
    </row>
    <row r="187" spans="1:7">
      <c r="A187" s="3215" t="s">
        <v>1153</v>
      </c>
      <c r="B187" s="3204" t="s">
        <v>3063</v>
      </c>
      <c r="C187" s="3216"/>
      <c r="D187" s="3216"/>
      <c r="E187" s="3216"/>
      <c r="F187" s="3205">
        <v>0.05</v>
      </c>
      <c r="G187" s="3222"/>
    </row>
    <row r="188" spans="1:7">
      <c r="A188" s="3215" t="s">
        <v>1153</v>
      </c>
      <c r="B188" s="3204" t="s">
        <v>3064</v>
      </c>
      <c r="C188" s="3216"/>
      <c r="D188" s="3216"/>
      <c r="E188" s="3216"/>
      <c r="F188" s="3205">
        <v>0.05</v>
      </c>
      <c r="G188" s="3222"/>
    </row>
    <row r="189" spans="1:7" ht="14.25" thickBot="1">
      <c r="A189" s="3218" t="s">
        <v>1153</v>
      </c>
      <c r="B189" s="3208" t="s">
        <v>3065</v>
      </c>
      <c r="C189" s="3210"/>
      <c r="D189" s="3210"/>
      <c r="E189" s="3210"/>
      <c r="F189" s="3209">
        <v>0.05</v>
      </c>
      <c r="G189" s="3223"/>
    </row>
    <row r="190" spans="1:7">
      <c r="A190" s="3214" t="s">
        <v>1154</v>
      </c>
      <c r="B190" s="3200" t="s">
        <v>3066</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3067</v>
      </c>
      <c r="C199" s="3205">
        <v>0.13</v>
      </c>
      <c r="D199" s="3205">
        <v>0.13</v>
      </c>
      <c r="E199" s="3205">
        <v>0.13</v>
      </c>
      <c r="F199" s="3205">
        <v>0.13</v>
      </c>
      <c r="G199" s="3206">
        <v>0.13</v>
      </c>
    </row>
    <row r="200" spans="1:7">
      <c r="A200" s="3215" t="s">
        <v>1154</v>
      </c>
      <c r="B200" s="3204" t="s">
        <v>2882</v>
      </c>
      <c r="C200" s="3221"/>
      <c r="D200" s="3221"/>
      <c r="E200" s="3221"/>
      <c r="F200" s="3205">
        <v>0.13</v>
      </c>
      <c r="G200" s="3217"/>
    </row>
    <row r="201" spans="1:7">
      <c r="A201" s="3215" t="s">
        <v>1154</v>
      </c>
      <c r="B201" s="3204" t="s">
        <v>3068</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3069</v>
      </c>
      <c r="C203" s="3205">
        <v>0.129</v>
      </c>
      <c r="D203" s="3205">
        <v>0.129</v>
      </c>
      <c r="E203" s="3205">
        <v>0.13</v>
      </c>
      <c r="F203" s="3205">
        <v>0.13</v>
      </c>
      <c r="G203" s="3206">
        <v>0.13</v>
      </c>
    </row>
    <row r="204" spans="1:7">
      <c r="A204" s="3215" t="s">
        <v>1154</v>
      </c>
      <c r="B204" s="3204" t="s">
        <v>2885</v>
      </c>
      <c r="C204" s="3205">
        <v>0.129</v>
      </c>
      <c r="D204" s="3205">
        <v>0.129</v>
      </c>
      <c r="E204" s="3205">
        <v>0.123</v>
      </c>
      <c r="F204" s="3205">
        <v>0.13</v>
      </c>
      <c r="G204" s="3206">
        <v>0.13</v>
      </c>
    </row>
    <row r="205" spans="1:7">
      <c r="A205" s="3215" t="s">
        <v>1154</v>
      </c>
      <c r="B205" s="3204" t="s">
        <v>2886</v>
      </c>
      <c r="C205" s="3205">
        <v>0.13</v>
      </c>
      <c r="D205" s="3205">
        <v>0.13</v>
      </c>
      <c r="E205" s="3205">
        <v>0.13</v>
      </c>
      <c r="F205" s="3205">
        <v>0.13</v>
      </c>
      <c r="G205" s="3206">
        <v>0.13</v>
      </c>
    </row>
    <row r="206" spans="1:7">
      <c r="A206" s="3215" t="s">
        <v>1154</v>
      </c>
      <c r="B206" s="3204" t="s">
        <v>2887</v>
      </c>
      <c r="C206" s="3205">
        <v>0.13</v>
      </c>
      <c r="D206" s="3205">
        <v>0.13</v>
      </c>
      <c r="E206" s="3205">
        <v>0.13</v>
      </c>
      <c r="F206" s="3205">
        <v>0.128</v>
      </c>
      <c r="G206" s="3206">
        <v>0.13</v>
      </c>
    </row>
    <row r="207" spans="1:7">
      <c r="A207" s="3215" t="s">
        <v>1154</v>
      </c>
      <c r="B207" s="3204" t="s">
        <v>2888</v>
      </c>
      <c r="C207" s="3205">
        <v>0.13</v>
      </c>
      <c r="D207" s="3205">
        <v>0.13</v>
      </c>
      <c r="E207" s="3205">
        <v>0.13</v>
      </c>
      <c r="F207" s="3205">
        <v>0.13</v>
      </c>
      <c r="G207" s="3206">
        <v>0.13</v>
      </c>
    </row>
    <row r="208" spans="1:7">
      <c r="A208" s="3215" t="s">
        <v>1154</v>
      </c>
      <c r="B208" s="3204" t="s">
        <v>3070</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2890</v>
      </c>
      <c r="C210" s="3205">
        <v>0.121</v>
      </c>
      <c r="D210" s="3205">
        <v>0.121</v>
      </c>
      <c r="E210" s="3205">
        <v>0.125</v>
      </c>
      <c r="F210" s="3205">
        <v>0.13</v>
      </c>
      <c r="G210" s="3206">
        <v>0.123</v>
      </c>
    </row>
    <row r="211" spans="1:7">
      <c r="A211" s="3215" t="s">
        <v>1154</v>
      </c>
      <c r="B211" s="3204" t="s">
        <v>3071</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3072</v>
      </c>
      <c r="C214" s="3205">
        <v>0.128</v>
      </c>
      <c r="D214" s="3205">
        <v>0.128</v>
      </c>
      <c r="E214" s="3205">
        <v>0.13</v>
      </c>
      <c r="F214" s="3205">
        <v>0.13</v>
      </c>
      <c r="G214" s="3206">
        <v>0.13</v>
      </c>
    </row>
    <row r="215" spans="1:7">
      <c r="A215" s="3215" t="s">
        <v>1154</v>
      </c>
      <c r="B215" s="3204" t="s">
        <v>3073</v>
      </c>
      <c r="C215" s="3205">
        <v>0.13</v>
      </c>
      <c r="D215" s="3205">
        <v>0.13</v>
      </c>
      <c r="E215" s="3205">
        <v>0.13</v>
      </c>
      <c r="F215" s="3205">
        <v>0.129</v>
      </c>
      <c r="G215" s="3206">
        <v>0.13</v>
      </c>
    </row>
    <row r="216" spans="1:7">
      <c r="A216" s="3215" t="s">
        <v>1154</v>
      </c>
      <c r="B216" s="3204" t="s">
        <v>3074</v>
      </c>
      <c r="C216" s="3205">
        <v>0.13</v>
      </c>
      <c r="D216" s="3205">
        <v>0.13</v>
      </c>
      <c r="E216" s="3205">
        <v>0.13</v>
      </c>
      <c r="F216" s="3205">
        <v>0.13</v>
      </c>
      <c r="G216" s="3206">
        <v>0.13</v>
      </c>
    </row>
    <row r="217" spans="1:7">
      <c r="A217" s="3215" t="s">
        <v>1154</v>
      </c>
      <c r="B217" s="3204" t="s">
        <v>2894</v>
      </c>
      <c r="C217" s="3205">
        <v>0.129</v>
      </c>
      <c r="D217" s="3205">
        <v>0.129</v>
      </c>
      <c r="E217" s="3205">
        <v>0.13</v>
      </c>
      <c r="F217" s="3205">
        <v>0.13</v>
      </c>
      <c r="G217" s="3206">
        <v>0.13</v>
      </c>
    </row>
    <row r="218" spans="1:7">
      <c r="A218" s="3215" t="s">
        <v>1154</v>
      </c>
      <c r="B218" s="3204" t="s">
        <v>3075</v>
      </c>
      <c r="C218" s="3216"/>
      <c r="D218" s="3216"/>
      <c r="E218" s="3216"/>
      <c r="F218" s="3205">
        <v>0.05</v>
      </c>
      <c r="G218" s="3222"/>
    </row>
    <row r="219" spans="1:7">
      <c r="A219" s="3215" t="s">
        <v>1154</v>
      </c>
      <c r="B219" s="3204" t="s">
        <v>3076</v>
      </c>
      <c r="C219" s="3216"/>
      <c r="D219" s="3216"/>
      <c r="E219" s="3216"/>
      <c r="F219" s="3205">
        <v>0.05</v>
      </c>
      <c r="G219" s="3222"/>
    </row>
    <row r="220" spans="1:7">
      <c r="A220" s="3215" t="s">
        <v>1154</v>
      </c>
      <c r="B220" s="3204" t="s">
        <v>3077</v>
      </c>
      <c r="C220" s="3216"/>
      <c r="D220" s="3216"/>
      <c r="E220" s="3216"/>
      <c r="F220" s="3205">
        <v>0.05</v>
      </c>
      <c r="G220" s="3222"/>
    </row>
    <row r="221" spans="1:7">
      <c r="A221" s="3215" t="s">
        <v>1154</v>
      </c>
      <c r="B221" s="3204" t="s">
        <v>3078</v>
      </c>
      <c r="C221" s="3216"/>
      <c r="D221" s="3216"/>
      <c r="E221" s="3216"/>
      <c r="F221" s="3205">
        <v>0.05</v>
      </c>
      <c r="G221" s="3222"/>
    </row>
    <row r="222" spans="1:7">
      <c r="A222" s="3215" t="s">
        <v>1154</v>
      </c>
      <c r="B222" s="3204" t="s">
        <v>3079</v>
      </c>
      <c r="C222" s="3216"/>
      <c r="D222" s="3216"/>
      <c r="E222" s="3216"/>
      <c r="F222" s="3205">
        <v>0.05</v>
      </c>
      <c r="G222" s="3222"/>
    </row>
    <row r="223" spans="1:7">
      <c r="A223" s="3215" t="s">
        <v>1154</v>
      </c>
      <c r="B223" s="3204" t="s">
        <v>3080</v>
      </c>
      <c r="C223" s="3216"/>
      <c r="D223" s="3216"/>
      <c r="E223" s="3216"/>
      <c r="F223" s="3205">
        <v>0.05</v>
      </c>
      <c r="G223" s="3222"/>
    </row>
    <row r="224" spans="1:7">
      <c r="A224" s="3215" t="s">
        <v>1154</v>
      </c>
      <c r="B224" s="3204" t="s">
        <v>3081</v>
      </c>
      <c r="C224" s="3216"/>
      <c r="D224" s="3216"/>
      <c r="E224" s="3216"/>
      <c r="F224" s="3205">
        <v>0.05</v>
      </c>
      <c r="G224" s="3222"/>
    </row>
    <row r="225" spans="1:7">
      <c r="A225" s="3215" t="s">
        <v>1154</v>
      </c>
      <c r="B225" s="3204" t="s">
        <v>3082</v>
      </c>
      <c r="C225" s="3216"/>
      <c r="D225" s="3216"/>
      <c r="E225" s="3216"/>
      <c r="F225" s="3205">
        <v>0.05</v>
      </c>
      <c r="G225" s="3222"/>
    </row>
    <row r="226" spans="1:7">
      <c r="A226" s="3215" t="s">
        <v>1154</v>
      </c>
      <c r="B226" s="3204" t="s">
        <v>3083</v>
      </c>
      <c r="C226" s="3216"/>
      <c r="D226" s="3216"/>
      <c r="E226" s="3216"/>
      <c r="F226" s="3205">
        <v>0.05</v>
      </c>
      <c r="G226" s="3222"/>
    </row>
    <row r="227" spans="1:7">
      <c r="A227" s="3215" t="s">
        <v>1154</v>
      </c>
      <c r="B227" s="3204" t="s">
        <v>3084</v>
      </c>
      <c r="C227" s="3216"/>
      <c r="D227" s="3216"/>
      <c r="E227" s="3216"/>
      <c r="F227" s="3205">
        <v>0.05</v>
      </c>
      <c r="G227" s="3222"/>
    </row>
    <row r="228" spans="1:7">
      <c r="A228" s="3215" t="s">
        <v>1154</v>
      </c>
      <c r="B228" s="3204" t="s">
        <v>3085</v>
      </c>
      <c r="C228" s="3216"/>
      <c r="D228" s="3216"/>
      <c r="E228" s="3216"/>
      <c r="F228" s="3205">
        <v>0.05</v>
      </c>
      <c r="G228" s="3222"/>
    </row>
    <row r="229" spans="1:7">
      <c r="A229" s="3215" t="s">
        <v>1154</v>
      </c>
      <c r="B229" s="3204" t="s">
        <v>3086</v>
      </c>
      <c r="C229" s="3216"/>
      <c r="D229" s="3216"/>
      <c r="E229" s="3216"/>
      <c r="F229" s="3205">
        <v>0.05</v>
      </c>
      <c r="G229" s="3222"/>
    </row>
    <row r="230" spans="1:7">
      <c r="A230" s="3215" t="s">
        <v>1154</v>
      </c>
      <c r="B230" s="3204" t="s">
        <v>3087</v>
      </c>
      <c r="C230" s="3216"/>
      <c r="D230" s="3216"/>
      <c r="E230" s="3216"/>
      <c r="F230" s="3205">
        <v>0.05</v>
      </c>
      <c r="G230" s="3222"/>
    </row>
    <row r="231" spans="1:7">
      <c r="A231" s="3215" t="s">
        <v>1154</v>
      </c>
      <c r="B231" s="3204" t="s">
        <v>3088</v>
      </c>
      <c r="C231" s="3216"/>
      <c r="D231" s="3216"/>
      <c r="E231" s="3216"/>
      <c r="F231" s="3205">
        <v>0.05</v>
      </c>
      <c r="G231" s="3222"/>
    </row>
    <row r="232" spans="1:7">
      <c r="A232" s="3215" t="s">
        <v>1154</v>
      </c>
      <c r="B232" s="3204" t="s">
        <v>3089</v>
      </c>
      <c r="C232" s="3216"/>
      <c r="D232" s="3216"/>
      <c r="E232" s="3216"/>
      <c r="F232" s="3205">
        <v>0.05</v>
      </c>
      <c r="G232" s="3222"/>
    </row>
    <row r="233" spans="1:7" ht="14.25" thickBot="1">
      <c r="A233" s="3218" t="s">
        <v>1154</v>
      </c>
      <c r="B233" s="3208" t="s">
        <v>3090</v>
      </c>
      <c r="C233" s="3210"/>
      <c r="D233" s="3210"/>
      <c r="E233" s="3210"/>
      <c r="F233" s="3209">
        <v>0.05</v>
      </c>
      <c r="G233" s="3223"/>
    </row>
    <row r="234" spans="1:7">
      <c r="A234" s="3214" t="s">
        <v>1155</v>
      </c>
      <c r="B234" s="3200" t="s">
        <v>3091</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2912</v>
      </c>
      <c r="C238" s="3205">
        <v>0.14899999999999999</v>
      </c>
      <c r="D238" s="3205">
        <v>0.14899999999999999</v>
      </c>
      <c r="E238" s="3205">
        <v>0.15</v>
      </c>
      <c r="F238" s="3205">
        <v>0.15</v>
      </c>
      <c r="G238" s="3206">
        <v>0.15</v>
      </c>
    </row>
    <row r="239" spans="1:7">
      <c r="A239" s="3215" t="s">
        <v>1155</v>
      </c>
      <c r="B239" s="3204" t="s">
        <v>3092</v>
      </c>
      <c r="C239" s="3205">
        <v>0.15</v>
      </c>
      <c r="D239" s="3205">
        <v>0.15</v>
      </c>
      <c r="E239" s="3205">
        <v>0.15</v>
      </c>
      <c r="F239" s="3205">
        <v>0.15</v>
      </c>
      <c r="G239" s="3206">
        <v>0.15</v>
      </c>
    </row>
    <row r="240" spans="1:7">
      <c r="A240" s="3215" t="s">
        <v>1155</v>
      </c>
      <c r="B240" s="3204" t="s">
        <v>3093</v>
      </c>
      <c r="C240" s="3205">
        <v>0.15</v>
      </c>
      <c r="D240" s="3205">
        <v>0.15</v>
      </c>
      <c r="E240" s="3205">
        <v>0.15</v>
      </c>
      <c r="F240" s="3205">
        <v>0.15</v>
      </c>
      <c r="G240" s="3206">
        <v>0.15</v>
      </c>
    </row>
    <row r="241" spans="1:7">
      <c r="A241" s="3215" t="s">
        <v>1155</v>
      </c>
      <c r="B241" s="3204" t="s">
        <v>3094</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3095</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3096</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3097</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3098</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3099</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2921</v>
      </c>
      <c r="C258" s="3205">
        <v>0.14299999999999999</v>
      </c>
      <c r="D258" s="3205">
        <v>0.14299999999999999</v>
      </c>
      <c r="E258" s="3205">
        <v>0.15</v>
      </c>
      <c r="F258" s="3205">
        <v>0.14799999999999999</v>
      </c>
      <c r="G258" s="3206">
        <v>0.14599999999999999</v>
      </c>
    </row>
    <row r="259" spans="1:7">
      <c r="A259" s="3215" t="s">
        <v>1155</v>
      </c>
      <c r="B259" s="3204" t="s">
        <v>3100</v>
      </c>
      <c r="C259" s="3205">
        <v>0.14399999999999999</v>
      </c>
      <c r="D259" s="3205">
        <v>0.14399999999999999</v>
      </c>
      <c r="E259" s="3205">
        <v>0.14899999999999999</v>
      </c>
      <c r="F259" s="3205">
        <v>0.14699999999999999</v>
      </c>
      <c r="G259" s="3206">
        <v>0.14599999999999999</v>
      </c>
    </row>
    <row r="260" spans="1:7">
      <c r="A260" s="3215" t="s">
        <v>1155</v>
      </c>
      <c r="B260" s="3204" t="s">
        <v>3101</v>
      </c>
      <c r="C260" s="3205">
        <v>0.109</v>
      </c>
      <c r="D260" s="3205">
        <v>0.111</v>
      </c>
      <c r="E260" s="3205">
        <v>0.13100000000000001</v>
      </c>
      <c r="F260" s="3205">
        <v>0.126</v>
      </c>
      <c r="G260" s="3206">
        <v>0.11899999999999999</v>
      </c>
    </row>
    <row r="261" spans="1:7">
      <c r="A261" s="3215" t="s">
        <v>1155</v>
      </c>
      <c r="B261" s="3204" t="s">
        <v>3102</v>
      </c>
      <c r="C261" s="3205">
        <v>0.1</v>
      </c>
      <c r="D261" s="3205">
        <v>0.1</v>
      </c>
      <c r="E261" s="3205">
        <v>0.11799999999999999</v>
      </c>
      <c r="F261" s="3205">
        <v>0.108</v>
      </c>
      <c r="G261" s="3206">
        <v>0.107</v>
      </c>
    </row>
    <row r="262" spans="1:7">
      <c r="A262" s="3215" t="s">
        <v>1155</v>
      </c>
      <c r="B262" s="3204" t="s">
        <v>3103</v>
      </c>
      <c r="C262" s="3205">
        <v>0.1</v>
      </c>
      <c r="D262" s="3205">
        <v>0.1</v>
      </c>
      <c r="E262" s="3205">
        <v>0.1</v>
      </c>
      <c r="F262" s="3205">
        <v>0.14099999999999999</v>
      </c>
      <c r="G262" s="3206">
        <v>0.1</v>
      </c>
    </row>
    <row r="263" spans="1:7">
      <c r="A263" s="3215" t="s">
        <v>1155</v>
      </c>
      <c r="B263" s="3204" t="s">
        <v>3104</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3105</v>
      </c>
      <c r="C265" s="3216"/>
      <c r="D265" s="3216"/>
      <c r="E265" s="3216"/>
      <c r="F265" s="3205">
        <v>0.05</v>
      </c>
      <c r="G265" s="3222"/>
    </row>
    <row r="266" spans="1:7">
      <c r="A266" s="3215" t="s">
        <v>1155</v>
      </c>
      <c r="B266" s="3204" t="s">
        <v>3106</v>
      </c>
      <c r="C266" s="3216"/>
      <c r="D266" s="3216"/>
      <c r="E266" s="3216"/>
      <c r="F266" s="3205">
        <v>0.05</v>
      </c>
      <c r="G266" s="3222"/>
    </row>
    <row r="267" spans="1:7">
      <c r="A267" s="3215" t="s">
        <v>1155</v>
      </c>
      <c r="B267" s="3204" t="s">
        <v>3107</v>
      </c>
      <c r="C267" s="3216"/>
      <c r="D267" s="3216"/>
      <c r="E267" s="3216"/>
      <c r="F267" s="3205">
        <v>0.05</v>
      </c>
      <c r="G267" s="3222"/>
    </row>
    <row r="268" spans="1:7">
      <c r="A268" s="3215" t="s">
        <v>1155</v>
      </c>
      <c r="B268" s="3204" t="s">
        <v>3108</v>
      </c>
      <c r="C268" s="3216"/>
      <c r="D268" s="3216"/>
      <c r="E268" s="3216"/>
      <c r="F268" s="3205">
        <v>0.05</v>
      </c>
      <c r="G268" s="3222"/>
    </row>
    <row r="269" spans="1:7">
      <c r="A269" s="3215" t="s">
        <v>1155</v>
      </c>
      <c r="B269" s="3204" t="s">
        <v>3109</v>
      </c>
      <c r="C269" s="3216"/>
      <c r="D269" s="3216"/>
      <c r="E269" s="3216"/>
      <c r="F269" s="3205">
        <v>0.05</v>
      </c>
      <c r="G269" s="3222"/>
    </row>
    <row r="270" spans="1:7">
      <c r="A270" s="3215" t="s">
        <v>1155</v>
      </c>
      <c r="B270" s="3204" t="s">
        <v>3110</v>
      </c>
      <c r="C270" s="3216"/>
      <c r="D270" s="3216"/>
      <c r="E270" s="3216"/>
      <c r="F270" s="3205">
        <v>0.05</v>
      </c>
      <c r="G270" s="3222"/>
    </row>
    <row r="271" spans="1:7">
      <c r="A271" s="3215" t="s">
        <v>1155</v>
      </c>
      <c r="B271" s="3204" t="s">
        <v>3111</v>
      </c>
      <c r="C271" s="3216"/>
      <c r="D271" s="3216"/>
      <c r="E271" s="3216"/>
      <c r="F271" s="3205">
        <v>0.05</v>
      </c>
      <c r="G271" s="3222"/>
    </row>
    <row r="272" spans="1:7">
      <c r="A272" s="3215" t="s">
        <v>1155</v>
      </c>
      <c r="B272" s="3204" t="s">
        <v>3112</v>
      </c>
      <c r="C272" s="3216"/>
      <c r="D272" s="3216"/>
      <c r="E272" s="3216"/>
      <c r="F272" s="3205">
        <v>0.05</v>
      </c>
      <c r="G272" s="3222"/>
    </row>
    <row r="273" spans="1:7">
      <c r="A273" s="3215" t="s">
        <v>1155</v>
      </c>
      <c r="B273" s="3204" t="s">
        <v>3113</v>
      </c>
      <c r="C273" s="3216"/>
      <c r="D273" s="3216"/>
      <c r="E273" s="3216"/>
      <c r="F273" s="3205">
        <v>0.05</v>
      </c>
      <c r="G273" s="3222"/>
    </row>
    <row r="274" spans="1:7">
      <c r="A274" s="3215" t="s">
        <v>1155</v>
      </c>
      <c r="B274" s="3204" t="s">
        <v>3114</v>
      </c>
      <c r="C274" s="3216"/>
      <c r="D274" s="3216"/>
      <c r="E274" s="3216"/>
      <c r="F274" s="3205">
        <v>0.05</v>
      </c>
      <c r="G274" s="3222"/>
    </row>
    <row r="275" spans="1:7">
      <c r="A275" s="3215" t="s">
        <v>1155</v>
      </c>
      <c r="B275" s="3204" t="s">
        <v>3115</v>
      </c>
      <c r="C275" s="3216"/>
      <c r="D275" s="3216"/>
      <c r="E275" s="3216"/>
      <c r="F275" s="3205">
        <v>0.05</v>
      </c>
      <c r="G275" s="3222"/>
    </row>
    <row r="276" spans="1:7" ht="14.25" thickBot="1">
      <c r="A276" s="3218" t="s">
        <v>1155</v>
      </c>
      <c r="B276" s="3208" t="s">
        <v>3116</v>
      </c>
      <c r="C276" s="3210"/>
      <c r="D276" s="3210"/>
      <c r="E276" s="3210"/>
      <c r="F276" s="3209">
        <v>0.05</v>
      </c>
      <c r="G276" s="3223"/>
    </row>
    <row r="277" spans="1:7">
      <c r="A277" s="3214" t="s">
        <v>1156</v>
      </c>
      <c r="B277" s="3200" t="s">
        <v>3117</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3118</v>
      </c>
      <c r="C279" s="3205">
        <v>0.15</v>
      </c>
      <c r="D279" s="3205">
        <v>0.15</v>
      </c>
      <c r="E279" s="3205">
        <v>0.15</v>
      </c>
      <c r="F279" s="3205">
        <v>0.15</v>
      </c>
      <c r="G279" s="3206">
        <v>0.15</v>
      </c>
    </row>
    <row r="280" spans="1:7">
      <c r="A280" s="3215" t="s">
        <v>1156</v>
      </c>
      <c r="B280" s="3204" t="s">
        <v>3119</v>
      </c>
      <c r="C280" s="3205">
        <v>0.15</v>
      </c>
      <c r="D280" s="3205">
        <v>0.15</v>
      </c>
      <c r="E280" s="3205">
        <v>0.15</v>
      </c>
      <c r="F280" s="3205">
        <v>0.15</v>
      </c>
      <c r="G280" s="3206">
        <v>0.15</v>
      </c>
    </row>
    <row r="281" spans="1:7">
      <c r="A281" s="3215" t="s">
        <v>1156</v>
      </c>
      <c r="B281" s="3204" t="s">
        <v>3120</v>
      </c>
      <c r="C281" s="3205">
        <v>0.15</v>
      </c>
      <c r="D281" s="3205">
        <v>0.15</v>
      </c>
      <c r="E281" s="3205">
        <v>0.15</v>
      </c>
      <c r="F281" s="3205">
        <v>0.15</v>
      </c>
      <c r="G281" s="3206">
        <v>0.15</v>
      </c>
    </row>
    <row r="282" spans="1:7">
      <c r="A282" s="3215" t="s">
        <v>1156</v>
      </c>
      <c r="B282" s="3204" t="s">
        <v>3121</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3122</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3123</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2946</v>
      </c>
      <c r="C293" s="3205">
        <v>0.15</v>
      </c>
      <c r="D293" s="3205">
        <v>0.15</v>
      </c>
      <c r="E293" s="3205">
        <v>0.15</v>
      </c>
      <c r="F293" s="3205">
        <v>0.14499999999999999</v>
      </c>
      <c r="G293" s="3206">
        <v>0.15</v>
      </c>
    </row>
    <row r="294" spans="1:7">
      <c r="A294" s="3215" t="s">
        <v>1156</v>
      </c>
      <c r="B294" s="3204" t="s">
        <v>3124</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2948</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3125</v>
      </c>
      <c r="C302" s="3205">
        <v>0.15</v>
      </c>
      <c r="D302" s="3205">
        <v>0.15</v>
      </c>
      <c r="E302" s="3205">
        <v>0.15</v>
      </c>
      <c r="F302" s="3205">
        <v>0.14699999999999999</v>
      </c>
      <c r="G302" s="3206">
        <v>0.15</v>
      </c>
    </row>
    <row r="303" spans="1:7">
      <c r="A303" s="3215" t="s">
        <v>1156</v>
      </c>
      <c r="B303" s="3204" t="s">
        <v>2950</v>
      </c>
      <c r="C303" s="3205">
        <v>0.15</v>
      </c>
      <c r="D303" s="3205">
        <v>0.15</v>
      </c>
      <c r="E303" s="3205">
        <v>0.15</v>
      </c>
      <c r="F303" s="3205">
        <v>0.14199999999999999</v>
      </c>
      <c r="G303" s="3206">
        <v>0.15</v>
      </c>
    </row>
    <row r="304" spans="1:7">
      <c r="A304" s="3215" t="s">
        <v>1156</v>
      </c>
      <c r="B304" s="3204" t="s">
        <v>2951</v>
      </c>
      <c r="C304" s="3205">
        <v>0.15</v>
      </c>
      <c r="D304" s="3205">
        <v>0.15</v>
      </c>
      <c r="E304" s="3205">
        <v>0.15</v>
      </c>
      <c r="F304" s="3205">
        <v>0.14499999999999999</v>
      </c>
      <c r="G304" s="3206">
        <v>0.15</v>
      </c>
    </row>
    <row r="305" spans="1:7">
      <c r="A305" s="3215" t="s">
        <v>1156</v>
      </c>
      <c r="B305" s="3204" t="s">
        <v>2952</v>
      </c>
      <c r="C305" s="3205">
        <v>0.15</v>
      </c>
      <c r="D305" s="3205">
        <v>0.15</v>
      </c>
      <c r="E305" s="3205">
        <v>0.15</v>
      </c>
      <c r="F305" s="3205">
        <v>0.111</v>
      </c>
      <c r="G305" s="3206">
        <v>0.15</v>
      </c>
    </row>
    <row r="306" spans="1:7">
      <c r="A306" s="3215" t="s">
        <v>1156</v>
      </c>
      <c r="B306" s="3204" t="s">
        <v>3126</v>
      </c>
      <c r="C306" s="3205">
        <v>0.15</v>
      </c>
      <c r="D306" s="3205">
        <v>0.15</v>
      </c>
      <c r="E306" s="3205">
        <v>0.15</v>
      </c>
      <c r="F306" s="3205">
        <v>0.126</v>
      </c>
      <c r="G306" s="3206">
        <v>0.15</v>
      </c>
    </row>
    <row r="307" spans="1:7">
      <c r="A307" s="3215" t="s">
        <v>1156</v>
      </c>
      <c r="B307" s="3204" t="s">
        <v>2954</v>
      </c>
      <c r="C307" s="3205">
        <v>0.15</v>
      </c>
      <c r="D307" s="3205">
        <v>0.15</v>
      </c>
      <c r="E307" s="3205">
        <v>0.15</v>
      </c>
      <c r="F307" s="3205">
        <v>0.12</v>
      </c>
      <c r="G307" s="3206">
        <v>0.15</v>
      </c>
    </row>
    <row r="308" spans="1:7">
      <c r="A308" s="3215" t="s">
        <v>1156</v>
      </c>
      <c r="B308" s="3204" t="s">
        <v>3127</v>
      </c>
      <c r="C308" s="3205">
        <v>0.15</v>
      </c>
      <c r="D308" s="3205">
        <v>0.15</v>
      </c>
      <c r="E308" s="3205">
        <v>0.15</v>
      </c>
      <c r="F308" s="3205">
        <v>0.13</v>
      </c>
      <c r="G308" s="3206">
        <v>0.15</v>
      </c>
    </row>
    <row r="309" spans="1:7">
      <c r="A309" s="3215" t="s">
        <v>1156</v>
      </c>
      <c r="B309" s="3204" t="s">
        <v>3128</v>
      </c>
      <c r="C309" s="3205">
        <v>0.15</v>
      </c>
      <c r="D309" s="3205">
        <v>0.15</v>
      </c>
      <c r="E309" s="3205">
        <v>0.15</v>
      </c>
      <c r="F309" s="3205">
        <v>0.14099999999999999</v>
      </c>
      <c r="G309" s="3206">
        <v>0.15</v>
      </c>
    </row>
    <row r="310" spans="1:7">
      <c r="A310" s="3215" t="s">
        <v>1156</v>
      </c>
      <c r="B310" s="3204" t="s">
        <v>2957</v>
      </c>
      <c r="C310" s="3205">
        <v>0.15</v>
      </c>
      <c r="D310" s="3205">
        <v>0.15</v>
      </c>
      <c r="E310" s="3205">
        <v>0.15</v>
      </c>
      <c r="F310" s="3205">
        <v>0.15</v>
      </c>
      <c r="G310" s="3206">
        <v>0.15</v>
      </c>
    </row>
    <row r="311" spans="1:7">
      <c r="A311" s="3215" t="s">
        <v>1156</v>
      </c>
      <c r="B311" s="3204" t="s">
        <v>3129</v>
      </c>
      <c r="C311" s="3205">
        <v>0.13200000000000001</v>
      </c>
      <c r="D311" s="3205">
        <v>0.13300000000000001</v>
      </c>
      <c r="E311" s="3205">
        <v>0.14499999999999999</v>
      </c>
      <c r="F311" s="3205">
        <v>0.14199999999999999</v>
      </c>
      <c r="G311" s="3206">
        <v>0.14000000000000001</v>
      </c>
    </row>
    <row r="312" spans="1:7">
      <c r="A312" s="3215" t="s">
        <v>1156</v>
      </c>
      <c r="B312" s="3204" t="s">
        <v>2959</v>
      </c>
      <c r="C312" s="3205">
        <v>0.13800000000000001</v>
      </c>
      <c r="D312" s="3205">
        <v>0.14000000000000001</v>
      </c>
      <c r="E312" s="3205">
        <v>0.14599999999999999</v>
      </c>
      <c r="F312" s="3205">
        <v>0.14899999999999999</v>
      </c>
      <c r="G312" s="3206">
        <v>0.14199999999999999</v>
      </c>
    </row>
    <row r="313" spans="1:7">
      <c r="A313" s="3215" t="s">
        <v>1156</v>
      </c>
      <c r="B313" s="3204" t="s">
        <v>2960</v>
      </c>
      <c r="C313" s="3205">
        <v>0.125</v>
      </c>
      <c r="D313" s="3205">
        <v>0.127</v>
      </c>
      <c r="E313" s="3205">
        <v>0.14399999999999999</v>
      </c>
      <c r="F313" s="3205">
        <v>0.115</v>
      </c>
      <c r="G313" s="3206">
        <v>0.13600000000000001</v>
      </c>
    </row>
    <row r="314" spans="1:7">
      <c r="A314" s="3215" t="s">
        <v>1156</v>
      </c>
      <c r="B314" s="3204" t="s">
        <v>3130</v>
      </c>
      <c r="C314" s="3221"/>
      <c r="D314" s="3221"/>
      <c r="E314" s="3221"/>
      <c r="F314" s="3205">
        <v>0.05</v>
      </c>
      <c r="G314" s="3222"/>
    </row>
    <row r="315" spans="1:7">
      <c r="A315" s="3215" t="s">
        <v>1156</v>
      </c>
      <c r="B315" s="3204" t="s">
        <v>3131</v>
      </c>
      <c r="C315" s="3221"/>
      <c r="D315" s="3221"/>
      <c r="E315" s="3221"/>
      <c r="F315" s="3205">
        <v>0.05</v>
      </c>
      <c r="G315" s="3222"/>
    </row>
    <row r="316" spans="1:7">
      <c r="A316" s="3215" t="s">
        <v>1156</v>
      </c>
      <c r="B316" s="3204" t="s">
        <v>3132</v>
      </c>
      <c r="C316" s="3216"/>
      <c r="D316" s="3216"/>
      <c r="E316" s="3216"/>
      <c r="F316" s="3205">
        <v>0.05</v>
      </c>
      <c r="G316" s="3222"/>
    </row>
    <row r="317" spans="1:7">
      <c r="A317" s="3215" t="s">
        <v>1156</v>
      </c>
      <c r="B317" s="3204" t="s">
        <v>3133</v>
      </c>
      <c r="C317" s="3216"/>
      <c r="D317" s="3216"/>
      <c r="E317" s="3216"/>
      <c r="F317" s="3205">
        <v>0.05</v>
      </c>
      <c r="G317" s="3222"/>
    </row>
    <row r="318" spans="1:7">
      <c r="A318" s="3215" t="s">
        <v>1156</v>
      </c>
      <c r="B318" s="3204" t="s">
        <v>3134</v>
      </c>
      <c r="C318" s="3216"/>
      <c r="D318" s="3216"/>
      <c r="E318" s="3216"/>
      <c r="F318" s="3205">
        <v>0.05</v>
      </c>
      <c r="G318" s="3222"/>
    </row>
    <row r="319" spans="1:7">
      <c r="A319" s="3215" t="s">
        <v>1156</v>
      </c>
      <c r="B319" s="3204" t="s">
        <v>3135</v>
      </c>
      <c r="C319" s="3216"/>
      <c r="D319" s="3216"/>
      <c r="E319" s="3216"/>
      <c r="F319" s="3205">
        <v>0.05</v>
      </c>
      <c r="G319" s="3222"/>
    </row>
    <row r="320" spans="1:7">
      <c r="A320" s="3215" t="s">
        <v>1156</v>
      </c>
      <c r="B320" s="3204" t="s">
        <v>3136</v>
      </c>
      <c r="C320" s="3216"/>
      <c r="D320" s="3216"/>
      <c r="E320" s="3216"/>
      <c r="F320" s="3205">
        <v>0.05</v>
      </c>
      <c r="G320" s="3222"/>
    </row>
    <row r="321" spans="1:7">
      <c r="A321" s="3215" t="s">
        <v>1156</v>
      </c>
      <c r="B321" s="3204" t="s">
        <v>3137</v>
      </c>
      <c r="C321" s="3216"/>
      <c r="D321" s="3216"/>
      <c r="E321" s="3216"/>
      <c r="F321" s="3205">
        <v>0.05</v>
      </c>
      <c r="G321" s="3222"/>
    </row>
    <row r="322" spans="1:7">
      <c r="A322" s="3215" t="s">
        <v>1156</v>
      </c>
      <c r="B322" s="3204" t="s">
        <v>3138</v>
      </c>
      <c r="C322" s="3216"/>
      <c r="D322" s="3216"/>
      <c r="E322" s="3216"/>
      <c r="F322" s="3205">
        <v>0.05</v>
      </c>
      <c r="G322" s="3222"/>
    </row>
    <row r="323" spans="1:7">
      <c r="A323" s="3215" t="s">
        <v>1156</v>
      </c>
      <c r="B323" s="3204" t="s">
        <v>3139</v>
      </c>
      <c r="C323" s="3216"/>
      <c r="D323" s="3216"/>
      <c r="E323" s="3216"/>
      <c r="F323" s="3205">
        <v>0.05</v>
      </c>
      <c r="G323" s="3222"/>
    </row>
    <row r="324" spans="1:7">
      <c r="A324" s="3215" t="s">
        <v>1156</v>
      </c>
      <c r="B324" s="3204" t="s">
        <v>3140</v>
      </c>
      <c r="C324" s="3216"/>
      <c r="D324" s="3216"/>
      <c r="E324" s="3216"/>
      <c r="F324" s="3205">
        <v>0.05</v>
      </c>
      <c r="G324" s="3222"/>
    </row>
    <row r="325" spans="1:7">
      <c r="A325" s="3215" t="s">
        <v>1156</v>
      </c>
      <c r="B325" s="3204" t="s">
        <v>3141</v>
      </c>
      <c r="C325" s="3216"/>
      <c r="D325" s="3216"/>
      <c r="E325" s="3216"/>
      <c r="F325" s="3205">
        <v>0.05</v>
      </c>
      <c r="G325" s="3222"/>
    </row>
    <row r="326" spans="1:7" ht="14.25" thickBot="1">
      <c r="A326" s="3218" t="s">
        <v>1156</v>
      </c>
      <c r="B326" s="3208" t="s">
        <v>3142</v>
      </c>
      <c r="C326" s="3210"/>
      <c r="D326" s="3210"/>
      <c r="E326" s="3210"/>
      <c r="F326" s="3209">
        <v>0.05</v>
      </c>
      <c r="G326" s="3223"/>
    </row>
    <row r="327" spans="1:7">
      <c r="A327" s="3214" t="s">
        <v>1157</v>
      </c>
      <c r="B327" s="3200" t="s">
        <v>3143</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3144</v>
      </c>
      <c r="C329" s="3205">
        <v>0.15</v>
      </c>
      <c r="D329" s="3205">
        <v>0.15</v>
      </c>
      <c r="E329" s="3205">
        <v>0.15</v>
      </c>
      <c r="F329" s="3205">
        <v>0.15</v>
      </c>
      <c r="G329" s="3206">
        <v>0.15</v>
      </c>
    </row>
    <row r="330" spans="1:7">
      <c r="A330" s="3215" t="s">
        <v>1157</v>
      </c>
      <c r="B330" s="3204" t="s">
        <v>3145</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2977</v>
      </c>
      <c r="C332" s="3205">
        <v>0.15</v>
      </c>
      <c r="D332" s="3205">
        <v>0.15</v>
      </c>
      <c r="E332" s="3205">
        <v>0.15</v>
      </c>
      <c r="F332" s="3205">
        <v>0.15</v>
      </c>
      <c r="G332" s="3206">
        <v>0.15</v>
      </c>
    </row>
    <row r="333" spans="1:7">
      <c r="A333" s="3215" t="s">
        <v>1157</v>
      </c>
      <c r="B333" s="3204" t="s">
        <v>3146</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2979</v>
      </c>
      <c r="C336" s="3205">
        <v>0.15</v>
      </c>
      <c r="D336" s="3205">
        <v>0.15</v>
      </c>
      <c r="E336" s="3205">
        <v>0.15</v>
      </c>
      <c r="F336" s="3205">
        <v>0.14199999999999999</v>
      </c>
      <c r="G336" s="3206">
        <v>0.15</v>
      </c>
    </row>
    <row r="337" spans="1:7">
      <c r="A337" s="3215" t="s">
        <v>1157</v>
      </c>
      <c r="B337" s="3204" t="s">
        <v>3147</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3148</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3149</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2983</v>
      </c>
      <c r="C345" s="3205">
        <v>0.15</v>
      </c>
      <c r="D345" s="3205">
        <v>0.15</v>
      </c>
      <c r="E345" s="3205">
        <v>0.15</v>
      </c>
      <c r="F345" s="3205">
        <v>0.13800000000000001</v>
      </c>
      <c r="G345" s="3206">
        <v>0.15</v>
      </c>
    </row>
    <row r="346" spans="1:7">
      <c r="A346" s="3215" t="s">
        <v>1157</v>
      </c>
      <c r="B346" s="3204" t="s">
        <v>3150</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2985</v>
      </c>
      <c r="C348" s="3205">
        <v>0.15</v>
      </c>
      <c r="D348" s="3205">
        <v>0.15</v>
      </c>
      <c r="E348" s="3205">
        <v>0.15</v>
      </c>
      <c r="F348" s="3205">
        <v>0.14399999999999999</v>
      </c>
      <c r="G348" s="3206">
        <v>0.15</v>
      </c>
    </row>
    <row r="349" spans="1:7">
      <c r="A349" s="3215" t="s">
        <v>1157</v>
      </c>
      <c r="B349" s="3204" t="s">
        <v>2986</v>
      </c>
      <c r="C349" s="3205">
        <v>0.15</v>
      </c>
      <c r="D349" s="3205">
        <v>0.15</v>
      </c>
      <c r="E349" s="3205">
        <v>0.15</v>
      </c>
      <c r="F349" s="3205">
        <v>0.15</v>
      </c>
      <c r="G349" s="3206">
        <v>0.15</v>
      </c>
    </row>
    <row r="350" spans="1:7">
      <c r="A350" s="3215" t="s">
        <v>1157</v>
      </c>
      <c r="B350" s="3204" t="s">
        <v>3151</v>
      </c>
      <c r="C350" s="3205">
        <v>0.15</v>
      </c>
      <c r="D350" s="3205">
        <v>0.15</v>
      </c>
      <c r="E350" s="3205">
        <v>0.15</v>
      </c>
      <c r="F350" s="3205">
        <v>0.14699999999999999</v>
      </c>
      <c r="G350" s="3206">
        <v>0.15</v>
      </c>
    </row>
    <row r="351" spans="1:7">
      <c r="A351" s="3215" t="s">
        <v>1157</v>
      </c>
      <c r="B351" s="3204" t="s">
        <v>2988</v>
      </c>
      <c r="C351" s="3205">
        <v>0.15</v>
      </c>
      <c r="D351" s="3205">
        <v>0.15</v>
      </c>
      <c r="E351" s="3205">
        <v>0.15</v>
      </c>
      <c r="F351" s="3205">
        <v>0.13</v>
      </c>
      <c r="G351" s="3206">
        <v>0.15</v>
      </c>
    </row>
    <row r="352" spans="1:7">
      <c r="A352" s="3215" t="s">
        <v>1157</v>
      </c>
      <c r="B352" s="3204" t="s">
        <v>2989</v>
      </c>
      <c r="C352" s="3205">
        <v>0.15</v>
      </c>
      <c r="D352" s="3205">
        <v>0.15</v>
      </c>
      <c r="E352" s="3205">
        <v>0.15</v>
      </c>
      <c r="F352" s="3205">
        <v>0.14599999999999999</v>
      </c>
      <c r="G352" s="3206">
        <v>0.15</v>
      </c>
    </row>
    <row r="353" spans="1:7">
      <c r="A353" s="3215" t="s">
        <v>1157</v>
      </c>
      <c r="B353" s="3204" t="s">
        <v>3152</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2991</v>
      </c>
      <c r="C355" s="3205">
        <v>0.15</v>
      </c>
      <c r="D355" s="3205">
        <v>0.15</v>
      </c>
      <c r="E355" s="3205">
        <v>0.15</v>
      </c>
      <c r="F355" s="3205">
        <v>0.15</v>
      </c>
      <c r="G355" s="3206">
        <v>0.15</v>
      </c>
    </row>
    <row r="356" spans="1:7">
      <c r="A356" s="3215" t="s">
        <v>1157</v>
      </c>
      <c r="B356" s="3204" t="s">
        <v>2992</v>
      </c>
      <c r="C356" s="3205">
        <v>0.15</v>
      </c>
      <c r="D356" s="3205">
        <v>0.15</v>
      </c>
      <c r="E356" s="3205">
        <v>0.15</v>
      </c>
      <c r="F356" s="3205">
        <v>0.15</v>
      </c>
      <c r="G356" s="3206">
        <v>0.15</v>
      </c>
    </row>
    <row r="357" spans="1:7" ht="14.25" thickBot="1">
      <c r="A357" s="3218" t="s">
        <v>1157</v>
      </c>
      <c r="B357" s="3208" t="s">
        <v>3153</v>
      </c>
      <c r="C357" s="3209">
        <v>0.126</v>
      </c>
      <c r="D357" s="3209">
        <v>0.127</v>
      </c>
      <c r="E357" s="3209">
        <v>0.14299999999999999</v>
      </c>
      <c r="F357" s="3209">
        <v>0.125</v>
      </c>
      <c r="G357" s="3211">
        <v>0.129</v>
      </c>
    </row>
    <row r="358" spans="1:7">
      <c r="A358" s="3214" t="s">
        <v>3154</v>
      </c>
      <c r="B358" s="3200" t="s">
        <v>3155</v>
      </c>
      <c r="C358" s="3201">
        <v>0.15</v>
      </c>
      <c r="D358" s="3201">
        <v>0.15</v>
      </c>
      <c r="E358" s="3201">
        <v>0.15</v>
      </c>
      <c r="F358" s="3201">
        <v>0.15</v>
      </c>
      <c r="G358" s="3202">
        <v>0.15</v>
      </c>
    </row>
    <row r="359" spans="1:7">
      <c r="A359" s="3215" t="s">
        <v>3154</v>
      </c>
      <c r="B359" s="3204" t="s">
        <v>3156</v>
      </c>
      <c r="C359" s="3205">
        <v>0.1</v>
      </c>
      <c r="D359" s="3205">
        <v>0.1</v>
      </c>
      <c r="E359" s="3205">
        <v>0.1</v>
      </c>
      <c r="F359" s="3205">
        <v>0.1</v>
      </c>
      <c r="G359" s="3206">
        <v>0.1</v>
      </c>
    </row>
    <row r="360" spans="1:7">
      <c r="A360" s="3215" t="s">
        <v>3154</v>
      </c>
      <c r="B360" s="3204" t="s">
        <v>3157</v>
      </c>
      <c r="C360" s="3205">
        <v>0.15</v>
      </c>
      <c r="D360" s="3205">
        <v>0.15</v>
      </c>
      <c r="E360" s="3205">
        <v>0.15</v>
      </c>
      <c r="F360" s="3205">
        <v>0.14899999999999999</v>
      </c>
      <c r="G360" s="3206">
        <v>0.15</v>
      </c>
    </row>
    <row r="361" spans="1:7">
      <c r="A361" s="3215" t="s">
        <v>3154</v>
      </c>
      <c r="B361" s="3204" t="s">
        <v>999</v>
      </c>
      <c r="C361" s="3205">
        <v>0.15</v>
      </c>
      <c r="D361" s="3205">
        <v>0.15</v>
      </c>
      <c r="E361" s="3205">
        <v>0.15</v>
      </c>
      <c r="F361" s="3205">
        <v>0.115</v>
      </c>
      <c r="G361" s="3206">
        <v>0.15</v>
      </c>
    </row>
    <row r="362" spans="1:7">
      <c r="A362" s="3215" t="s">
        <v>3154</v>
      </c>
      <c r="B362" s="3204" t="s">
        <v>3158</v>
      </c>
      <c r="C362" s="3205">
        <v>0.15</v>
      </c>
      <c r="D362" s="3205">
        <v>0.15</v>
      </c>
      <c r="E362" s="3205">
        <v>0.15</v>
      </c>
      <c r="F362" s="3205">
        <v>0.106</v>
      </c>
      <c r="G362" s="3206">
        <v>0.15</v>
      </c>
    </row>
    <row r="363" spans="1:7">
      <c r="A363" s="3215" t="s">
        <v>3154</v>
      </c>
      <c r="B363" s="3204" t="s">
        <v>2998</v>
      </c>
      <c r="C363" s="3205">
        <v>0.15</v>
      </c>
      <c r="D363" s="3205">
        <v>0.15</v>
      </c>
      <c r="E363" s="3205">
        <v>0.15</v>
      </c>
      <c r="F363" s="3205">
        <v>0.14699999999999999</v>
      </c>
      <c r="G363" s="3206">
        <v>0.15</v>
      </c>
    </row>
    <row r="364" spans="1:7">
      <c r="A364" s="3215" t="s">
        <v>3154</v>
      </c>
      <c r="B364" s="3204" t="s">
        <v>3159</v>
      </c>
      <c r="C364" s="3205">
        <v>0.15</v>
      </c>
      <c r="D364" s="3205">
        <v>0.15</v>
      </c>
      <c r="E364" s="3205">
        <v>0.15</v>
      </c>
      <c r="F364" s="3205">
        <v>0.14799999999999999</v>
      </c>
      <c r="G364" s="3206">
        <v>0.15</v>
      </c>
    </row>
    <row r="365" spans="1:7">
      <c r="A365" s="3215" t="s">
        <v>3154</v>
      </c>
      <c r="B365" s="3204" t="s">
        <v>1047</v>
      </c>
      <c r="C365" s="3205">
        <v>0.15</v>
      </c>
      <c r="D365" s="3205">
        <v>0.15</v>
      </c>
      <c r="E365" s="3205">
        <v>0.15</v>
      </c>
      <c r="F365" s="3205">
        <v>0.15</v>
      </c>
      <c r="G365" s="3206">
        <v>0.15</v>
      </c>
    </row>
    <row r="366" spans="1:7">
      <c r="A366" s="3215" t="s">
        <v>3154</v>
      </c>
      <c r="B366" s="3204" t="s">
        <v>3000</v>
      </c>
      <c r="C366" s="3205">
        <v>0.15</v>
      </c>
      <c r="D366" s="3205">
        <v>0.15</v>
      </c>
      <c r="E366" s="3205">
        <v>0.15</v>
      </c>
      <c r="F366" s="3205">
        <v>0.15</v>
      </c>
      <c r="G366" s="3206">
        <v>0.15</v>
      </c>
    </row>
    <row r="367" spans="1:7">
      <c r="A367" s="3215" t="s">
        <v>3154</v>
      </c>
      <c r="B367" s="3204" t="s">
        <v>3160</v>
      </c>
      <c r="C367" s="3205">
        <v>0.15</v>
      </c>
      <c r="D367" s="3205">
        <v>0.15</v>
      </c>
      <c r="E367" s="3205">
        <v>0.15</v>
      </c>
      <c r="F367" s="3205">
        <v>0.14699999999999999</v>
      </c>
      <c r="G367" s="3206">
        <v>0.15</v>
      </c>
    </row>
    <row r="368" spans="1:7">
      <c r="A368" s="3215" t="s">
        <v>3154</v>
      </c>
      <c r="B368" s="3204" t="s">
        <v>3161</v>
      </c>
      <c r="C368" s="3205">
        <v>0.15</v>
      </c>
      <c r="D368" s="3205">
        <v>0.15</v>
      </c>
      <c r="E368" s="3205">
        <v>0.15</v>
      </c>
      <c r="F368" s="3205">
        <v>0.13600000000000001</v>
      </c>
      <c r="G368" s="3206">
        <v>0.15</v>
      </c>
    </row>
    <row r="369" spans="1:7">
      <c r="A369" s="3215" t="s">
        <v>3154</v>
      </c>
      <c r="B369" s="3204" t="s">
        <v>1061</v>
      </c>
      <c r="C369" s="3205">
        <v>0.15</v>
      </c>
      <c r="D369" s="3205">
        <v>0.15</v>
      </c>
      <c r="E369" s="3205">
        <v>0.15</v>
      </c>
      <c r="F369" s="3205">
        <v>0.14399999999999999</v>
      </c>
      <c r="G369" s="3206">
        <v>0.15</v>
      </c>
    </row>
    <row r="370" spans="1:7">
      <c r="A370" s="3215" t="s">
        <v>3154</v>
      </c>
      <c r="B370" s="3204" t="s">
        <v>1069</v>
      </c>
      <c r="C370" s="3205">
        <v>0.15</v>
      </c>
      <c r="D370" s="3205">
        <v>0.15</v>
      </c>
      <c r="E370" s="3205">
        <v>0.15</v>
      </c>
      <c r="F370" s="3205">
        <v>0.14599999999999999</v>
      </c>
      <c r="G370" s="3206">
        <v>0.15</v>
      </c>
    </row>
    <row r="371" spans="1:7">
      <c r="A371" s="3215" t="s">
        <v>3154</v>
      </c>
      <c r="B371" s="3204" t="s">
        <v>1077</v>
      </c>
      <c r="C371" s="3205">
        <v>0.15</v>
      </c>
      <c r="D371" s="3205">
        <v>0.15</v>
      </c>
      <c r="E371" s="3205">
        <v>0.15</v>
      </c>
      <c r="F371" s="3205">
        <v>0.12</v>
      </c>
      <c r="G371" s="3206">
        <v>0.15</v>
      </c>
    </row>
    <row r="372" spans="1:7">
      <c r="A372" s="3215" t="s">
        <v>3154</v>
      </c>
      <c r="B372" s="3204" t="s">
        <v>3162</v>
      </c>
      <c r="C372" s="3205">
        <v>0.15</v>
      </c>
      <c r="D372" s="3205">
        <v>0.15</v>
      </c>
      <c r="E372" s="3205">
        <v>0.15</v>
      </c>
      <c r="F372" s="3205">
        <v>0.14299999999999999</v>
      </c>
      <c r="G372" s="3206">
        <v>0.15</v>
      </c>
    </row>
    <row r="373" spans="1:7">
      <c r="A373" s="3215" t="s">
        <v>3154</v>
      </c>
      <c r="B373" s="3204" t="s">
        <v>1106</v>
      </c>
      <c r="C373" s="3205">
        <v>0.15</v>
      </c>
      <c r="D373" s="3205">
        <v>0.15</v>
      </c>
      <c r="E373" s="3205">
        <v>0.15</v>
      </c>
      <c r="F373" s="3205">
        <v>0.14599999999999999</v>
      </c>
      <c r="G373" s="3206">
        <v>0.15</v>
      </c>
    </row>
    <row r="374" spans="1:7">
      <c r="A374" s="3215" t="s">
        <v>3154</v>
      </c>
      <c r="B374" s="3204" t="s">
        <v>1114</v>
      </c>
      <c r="C374" s="3205">
        <v>0.15</v>
      </c>
      <c r="D374" s="3205">
        <v>0.15</v>
      </c>
      <c r="E374" s="3205">
        <v>0.15</v>
      </c>
      <c r="F374" s="3205">
        <v>0.14399999999999999</v>
      </c>
      <c r="G374" s="3206">
        <v>0.15</v>
      </c>
    </row>
    <row r="375" spans="1:7">
      <c r="A375" s="3215" t="s">
        <v>3154</v>
      </c>
      <c r="B375" s="3204" t="s">
        <v>3163</v>
      </c>
      <c r="C375" s="3205">
        <v>0.15</v>
      </c>
      <c r="D375" s="3205">
        <v>0.15</v>
      </c>
      <c r="E375" s="3205">
        <v>0.15</v>
      </c>
      <c r="F375" s="3205">
        <v>0.13</v>
      </c>
      <c r="G375" s="3206">
        <v>0.15</v>
      </c>
    </row>
    <row r="376" spans="1:7">
      <c r="A376" s="3215" t="s">
        <v>3154</v>
      </c>
      <c r="B376" s="3204" t="s">
        <v>1126</v>
      </c>
      <c r="C376" s="3205">
        <v>0.15</v>
      </c>
      <c r="D376" s="3205">
        <v>0.15</v>
      </c>
      <c r="E376" s="3205">
        <v>0.15</v>
      </c>
      <c r="F376" s="3205">
        <v>0.14199999999999999</v>
      </c>
      <c r="G376" s="3206">
        <v>0.15</v>
      </c>
    </row>
    <row r="377" spans="1:7" ht="14.25" thickBot="1">
      <c r="A377" s="3218" t="s">
        <v>3154</v>
      </c>
      <c r="B377" s="3208" t="s">
        <v>3005</v>
      </c>
      <c r="C377" s="3209">
        <v>0.15</v>
      </c>
      <c r="D377" s="3209">
        <v>0.15</v>
      </c>
      <c r="E377" s="3209">
        <v>0.15</v>
      </c>
      <c r="F377" s="3209">
        <v>0.14000000000000001</v>
      </c>
      <c r="G377" s="3211">
        <v>0.15</v>
      </c>
    </row>
    <row r="378" spans="1:7">
      <c r="A378" s="3214" t="s">
        <v>3164</v>
      </c>
      <c r="B378" s="3200" t="s">
        <v>3165</v>
      </c>
      <c r="C378" s="3201">
        <v>0.15</v>
      </c>
      <c r="D378" s="3201">
        <v>0.15</v>
      </c>
      <c r="E378" s="3201">
        <v>0.15</v>
      </c>
      <c r="F378" s="3201">
        <v>0.107</v>
      </c>
      <c r="G378" s="3202">
        <v>0.15</v>
      </c>
    </row>
    <row r="379" spans="1:7">
      <c r="A379" s="3215" t="s">
        <v>3164</v>
      </c>
      <c r="B379" s="3204" t="s">
        <v>3166</v>
      </c>
      <c r="C379" s="3205">
        <v>0.15</v>
      </c>
      <c r="D379" s="3205">
        <v>0.15</v>
      </c>
      <c r="E379" s="3205">
        <v>0.15</v>
      </c>
      <c r="F379" s="3205">
        <v>0.115</v>
      </c>
      <c r="G379" s="3206">
        <v>0.14899999999999999</v>
      </c>
    </row>
    <row r="380" spans="1:7">
      <c r="A380" s="3215" t="s">
        <v>3167</v>
      </c>
      <c r="B380" s="3204" t="s">
        <v>3168</v>
      </c>
      <c r="C380" s="3205">
        <v>0.15</v>
      </c>
      <c r="D380" s="3205">
        <v>0.15</v>
      </c>
      <c r="E380" s="3205">
        <v>0.15</v>
      </c>
      <c r="F380" s="3205">
        <v>0.1</v>
      </c>
      <c r="G380" s="3206">
        <v>0.14799999999999999</v>
      </c>
    </row>
    <row r="381" spans="1:7">
      <c r="A381" s="3215" t="s">
        <v>3167</v>
      </c>
      <c r="B381" s="3204" t="s">
        <v>3169</v>
      </c>
      <c r="C381" s="3205">
        <v>0.15</v>
      </c>
      <c r="D381" s="3205">
        <v>0.15</v>
      </c>
      <c r="E381" s="3205">
        <v>0.15</v>
      </c>
      <c r="F381" s="3205">
        <v>0.126</v>
      </c>
      <c r="G381" s="3206">
        <v>0.15</v>
      </c>
    </row>
    <row r="382" spans="1:7">
      <c r="A382" s="3215" t="s">
        <v>3167</v>
      </c>
      <c r="B382" s="3204" t="s">
        <v>3170</v>
      </c>
      <c r="C382" s="3205">
        <v>0.15</v>
      </c>
      <c r="D382" s="3205">
        <v>0.15</v>
      </c>
      <c r="E382" s="3205">
        <v>0.15</v>
      </c>
      <c r="F382" s="3205">
        <v>0.15</v>
      </c>
      <c r="G382" s="3206">
        <v>0.15</v>
      </c>
    </row>
    <row r="383" spans="1:7">
      <c r="A383" s="3215" t="s">
        <v>3167</v>
      </c>
      <c r="B383" s="3204" t="s">
        <v>3171</v>
      </c>
      <c r="C383" s="3205">
        <v>0.15</v>
      </c>
      <c r="D383" s="3205">
        <v>0.15</v>
      </c>
      <c r="E383" s="3205">
        <v>0.15</v>
      </c>
      <c r="F383" s="3205">
        <v>0.14699999999999999</v>
      </c>
      <c r="G383" s="3206">
        <v>0.15</v>
      </c>
    </row>
    <row r="384" spans="1:7" ht="14.25" thickBot="1">
      <c r="A384" s="3225" t="s">
        <v>3167</v>
      </c>
      <c r="B384" s="3226" t="s">
        <v>3172</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91" t="s">
        <v>1858</v>
      </c>
      <c r="C1" s="3691"/>
      <c r="D1" s="3691"/>
      <c r="E1" s="3691"/>
      <c r="F1" s="3691"/>
      <c r="G1" s="3690" t="s">
        <v>1859</v>
      </c>
      <c r="H1" s="3690"/>
      <c r="I1" s="3690"/>
      <c r="J1" s="3690"/>
      <c r="K1" s="3690"/>
      <c r="L1" s="3690"/>
      <c r="N1" s="3690" t="s">
        <v>1860</v>
      </c>
      <c r="O1" s="3690"/>
      <c r="P1" s="3690"/>
      <c r="Q1" s="3690"/>
      <c r="S1" s="3690" t="s">
        <v>1861</v>
      </c>
      <c r="T1" s="3690"/>
      <c r="U1" s="3690"/>
      <c r="V1" s="3690"/>
      <c r="X1" s="3689" t="s">
        <v>1921</v>
      </c>
      <c r="Y1" s="3690"/>
      <c r="Z1" s="3690"/>
      <c r="AA1" s="3690"/>
      <c r="AB1" s="3690"/>
      <c r="AD1" s="3689" t="s">
        <v>1925</v>
      </c>
      <c r="AE1" s="3690"/>
      <c r="AF1" s="3690"/>
      <c r="AG1" s="3690"/>
      <c r="AH1" s="3690"/>
    </row>
    <row r="2" spans="1:34" s="2423" customFormat="1" ht="14.25" thickBot="1">
      <c r="B2" s="2424" t="s">
        <v>1862</v>
      </c>
      <c r="C2" s="2424" t="s">
        <v>1923</v>
      </c>
      <c r="D2" s="2425" t="s">
        <v>1179</v>
      </c>
      <c r="E2" s="2425" t="s">
        <v>1469</v>
      </c>
      <c r="F2" s="2424" t="s">
        <v>1924</v>
      </c>
      <c r="G2" s="2426"/>
      <c r="I2" s="2424" t="s">
        <v>2206</v>
      </c>
      <c r="J2" s="2425" t="s">
        <v>2208</v>
      </c>
      <c r="K2" s="2425" t="s">
        <v>2209</v>
      </c>
      <c r="L2" s="2424" t="s">
        <v>2210</v>
      </c>
      <c r="N2" s="2424" t="s">
        <v>1862</v>
      </c>
      <c r="O2" s="2425" t="s">
        <v>2207</v>
      </c>
      <c r="P2" s="2425" t="s">
        <v>1469</v>
      </c>
      <c r="Q2" s="2424" t="s">
        <v>1924</v>
      </c>
      <c r="S2" s="2424" t="s">
        <v>1862</v>
      </c>
      <c r="T2" s="2425" t="s">
        <v>2207</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2217</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2435</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2434</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2433</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2432</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2431</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2280</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2279</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2278</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2277</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2274</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2273</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2242</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2240</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2238</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2237</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2235</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2234</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2233</v>
      </c>
      <c r="B22" s="2454">
        <f t="shared" si="11"/>
        <v>464.37293017158942</v>
      </c>
      <c r="C22" s="2454">
        <f t="shared" si="12"/>
        <v>344.73679941385956</v>
      </c>
      <c r="D22" s="2454">
        <f t="shared" si="2"/>
        <v>344.73679941385956</v>
      </c>
      <c r="E22" s="2454">
        <f t="shared" si="3"/>
        <v>663.2377795103107</v>
      </c>
      <c r="F22" s="2455">
        <f t="shared" si="4"/>
        <v>304.75936311478398</v>
      </c>
      <c r="G22" s="3685">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2226</v>
      </c>
      <c r="B23" s="2444">
        <f t="shared" si="11"/>
        <v>459.95733971036987</v>
      </c>
      <c r="C23" s="2444">
        <f t="shared" si="12"/>
        <v>341.22221064422405</v>
      </c>
      <c r="D23" s="2444">
        <f t="shared" si="2"/>
        <v>341.22221064422405</v>
      </c>
      <c r="E23" s="2444">
        <f t="shared" si="3"/>
        <v>657.19161663724799</v>
      </c>
      <c r="F23" s="2444">
        <f t="shared" si="4"/>
        <v>300.87803644464805</v>
      </c>
      <c r="G23" s="3685"/>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2227</v>
      </c>
      <c r="B24" s="2444">
        <f t="shared" si="11"/>
        <v>453.11529869999993</v>
      </c>
      <c r="C24" s="2444">
        <f t="shared" si="12"/>
        <v>336.47787264000004</v>
      </c>
      <c r="D24" s="2444">
        <f t="shared" si="2"/>
        <v>336.47787264000004</v>
      </c>
      <c r="E24" s="2444">
        <f t="shared" si="3"/>
        <v>647.35186823999993</v>
      </c>
      <c r="F24" s="2444">
        <f t="shared" si="4"/>
        <v>295.73229452000004</v>
      </c>
      <c r="G24" s="3685"/>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2223</v>
      </c>
      <c r="B25" s="2444">
        <f t="shared" si="11"/>
        <v>446.46299999999997</v>
      </c>
      <c r="C25" s="2444">
        <f t="shared" si="12"/>
        <v>333.27840000000003</v>
      </c>
      <c r="D25" s="2444">
        <f t="shared" ref="D25:D30" si="13">C25</f>
        <v>333.27840000000003</v>
      </c>
      <c r="E25" s="2444">
        <f t="shared" si="3"/>
        <v>637.28279999999995</v>
      </c>
      <c r="F25" s="2444">
        <f t="shared" si="4"/>
        <v>288.68830000000003</v>
      </c>
      <c r="G25" s="3686"/>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2216</v>
      </c>
      <c r="B26" s="2454">
        <v>439</v>
      </c>
      <c r="C26" s="2454">
        <v>327</v>
      </c>
      <c r="D26" s="2454">
        <f t="shared" si="13"/>
        <v>327</v>
      </c>
      <c r="E26" s="2454">
        <v>627</v>
      </c>
      <c r="F26" s="2455">
        <v>283</v>
      </c>
      <c r="G26" s="3684">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2218</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5"/>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5"/>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6"/>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84">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5"/>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5"/>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8"/>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87">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5"/>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5"/>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8"/>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87">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5"/>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5"/>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8"/>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92">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93"/>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93"/>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94"/>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87">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5"/>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5"/>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88"/>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87">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5">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5">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8">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87">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5">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5">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8">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87">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5">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5">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8">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87">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5">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5">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8">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87">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5">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5">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8">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87">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5">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5">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8">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87">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5">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5">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8">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87">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5">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5">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8">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87">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5">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5">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88">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87">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5">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5">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88">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
  <sheetViews>
    <sheetView workbookViewId="0">
      <selection activeCell="N25" sqref="N25"/>
    </sheetView>
  </sheetViews>
  <sheetFormatPr defaultRowHeight="13.5"/>
  <sheetData>
    <row r="1" spans="1:25" s="2235" customFormat="1">
      <c r="A1" s="2235" t="s">
        <v>3355</v>
      </c>
      <c r="B1" s="2235" t="s">
        <v>3356</v>
      </c>
      <c r="C1" s="2235" t="s">
        <v>3357</v>
      </c>
      <c r="D1" s="2235" t="s">
        <v>3358</v>
      </c>
      <c r="E1" s="2235" t="s">
        <v>3359</v>
      </c>
      <c r="F1" s="2235" t="s">
        <v>3360</v>
      </c>
      <c r="G1" s="2235" t="s">
        <v>3361</v>
      </c>
      <c r="H1" s="2235" t="s">
        <v>1550</v>
      </c>
      <c r="I1" s="2235" t="s">
        <v>3362</v>
      </c>
      <c r="J1" s="2235" t="s">
        <v>3363</v>
      </c>
      <c r="K1" s="2235" t="s">
        <v>3364</v>
      </c>
      <c r="L1" s="2235" t="s">
        <v>3365</v>
      </c>
      <c r="M1" s="2235" t="s">
        <v>3366</v>
      </c>
      <c r="N1" s="2235" t="s">
        <v>3367</v>
      </c>
      <c r="O1" s="2235" t="s">
        <v>3368</v>
      </c>
      <c r="P1" s="2235" t="s">
        <v>3369</v>
      </c>
      <c r="Q1" s="2235" t="s">
        <v>3370</v>
      </c>
      <c r="R1" s="2235" t="s">
        <v>3371</v>
      </c>
      <c r="S1" s="2235" t="s">
        <v>3372</v>
      </c>
      <c r="T1" s="2235" t="s">
        <v>3373</v>
      </c>
      <c r="U1" s="2235" t="s">
        <v>3374</v>
      </c>
      <c r="V1" s="2235" t="s">
        <v>3375</v>
      </c>
      <c r="W1" s="2235" t="s">
        <v>3376</v>
      </c>
      <c r="X1" s="2235" t="s">
        <v>3377</v>
      </c>
      <c r="Y1" s="2235" t="s">
        <v>3378</v>
      </c>
    </row>
    <row r="2" spans="1:25" s="2235" customFormat="1">
      <c r="A2" s="2235" t="s">
        <v>3379</v>
      </c>
      <c r="B2" s="2235" t="s">
        <v>3380</v>
      </c>
      <c r="C2" s="2235" t="s">
        <v>3381</v>
      </c>
      <c r="D2" s="2235">
        <v>170374.25</v>
      </c>
      <c r="E2" s="2235">
        <v>172077.99</v>
      </c>
      <c r="F2" s="2235" t="s">
        <v>3382</v>
      </c>
      <c r="G2" s="2235" t="s">
        <v>3383</v>
      </c>
      <c r="H2" s="2235" t="s">
        <v>3384</v>
      </c>
      <c r="I2" s="2235" t="s">
        <v>3385</v>
      </c>
      <c r="J2" s="2235" t="s">
        <v>3386</v>
      </c>
      <c r="K2" s="2235" t="s">
        <v>3387</v>
      </c>
      <c r="L2" s="2235" t="s">
        <v>3388</v>
      </c>
      <c r="M2" s="2235" t="s">
        <v>3389</v>
      </c>
      <c r="N2" s="2235">
        <v>602400</v>
      </c>
      <c r="O2" s="2235">
        <v>35357.449999999997</v>
      </c>
      <c r="P2" s="2235">
        <v>2357.16</v>
      </c>
      <c r="Q2" s="2235">
        <v>35007</v>
      </c>
      <c r="R2" s="2235" t="s">
        <v>3386</v>
      </c>
      <c r="S2" s="2235">
        <v>0</v>
      </c>
      <c r="T2" s="2235" t="s">
        <v>3386</v>
      </c>
      <c r="U2" s="2235" t="s">
        <v>3386</v>
      </c>
      <c r="V2" s="2235" t="s">
        <v>3386</v>
      </c>
      <c r="W2" s="2235" t="s">
        <v>3386</v>
      </c>
      <c r="X2" s="2235" t="s">
        <v>3390</v>
      </c>
      <c r="Y2" s="2235" t="s">
        <v>3386</v>
      </c>
    </row>
    <row r="3" spans="1:25" s="3413" customFormat="1">
      <c r="A3" s="3420" t="s">
        <v>3474</v>
      </c>
      <c r="B3" s="3413" t="s">
        <v>3391</v>
      </c>
      <c r="C3" s="3413" t="s">
        <v>3392</v>
      </c>
      <c r="D3" s="3413">
        <v>77269.84</v>
      </c>
      <c r="E3" s="3413">
        <v>133976.35</v>
      </c>
      <c r="F3" s="3413" t="s">
        <v>3382</v>
      </c>
      <c r="G3" s="3413" t="s">
        <v>3393</v>
      </c>
      <c r="H3" s="3413" t="s">
        <v>3394</v>
      </c>
      <c r="I3" s="3413" t="s">
        <v>3385</v>
      </c>
      <c r="J3" s="3413" t="s">
        <v>3386</v>
      </c>
      <c r="K3" s="3413" t="s">
        <v>3395</v>
      </c>
      <c r="L3" s="3413" t="s">
        <v>3388</v>
      </c>
      <c r="M3" s="3413" t="s">
        <v>3396</v>
      </c>
      <c r="N3" s="3413">
        <v>260000</v>
      </c>
      <c r="O3" s="3413">
        <v>33648.31</v>
      </c>
      <c r="P3" s="3413">
        <v>2243.2199999999998</v>
      </c>
      <c r="Q3" s="3413">
        <v>19406</v>
      </c>
      <c r="R3" s="3413" t="s">
        <v>3386</v>
      </c>
      <c r="S3" s="3413">
        <v>0</v>
      </c>
      <c r="T3" s="3413" t="s">
        <v>3386</v>
      </c>
      <c r="U3" s="3413" t="s">
        <v>3386</v>
      </c>
      <c r="V3" s="3413" t="s">
        <v>3386</v>
      </c>
      <c r="W3" s="3413" t="s">
        <v>3386</v>
      </c>
      <c r="X3" s="3413" t="s">
        <v>3397</v>
      </c>
      <c r="Y3" s="3413" t="s">
        <v>3386</v>
      </c>
    </row>
    <row r="4" spans="1:25" s="2235" customFormat="1">
      <c r="A4" s="2235" t="s">
        <v>3398</v>
      </c>
      <c r="B4" s="2235" t="s">
        <v>3399</v>
      </c>
      <c r="C4" s="2235" t="s">
        <v>3400</v>
      </c>
      <c r="D4" s="2235">
        <v>171090.53</v>
      </c>
      <c r="E4" s="2235">
        <v>185879.6</v>
      </c>
      <c r="F4" s="2235" t="s">
        <v>3401</v>
      </c>
      <c r="G4" s="2235" t="s">
        <v>3402</v>
      </c>
      <c r="H4" s="2235" t="s">
        <v>3403</v>
      </c>
      <c r="I4" s="2235" t="s">
        <v>3385</v>
      </c>
      <c r="J4" s="2235" t="s">
        <v>3386</v>
      </c>
      <c r="K4" s="2235" t="s">
        <v>3404</v>
      </c>
      <c r="L4" s="2235" t="s">
        <v>3388</v>
      </c>
      <c r="M4" s="2235" t="s">
        <v>3405</v>
      </c>
      <c r="N4" s="2235">
        <v>432000</v>
      </c>
      <c r="O4" s="2235">
        <v>25249.79</v>
      </c>
      <c r="P4" s="2235">
        <v>1683.32</v>
      </c>
      <c r="Q4" s="2235">
        <v>23241</v>
      </c>
      <c r="R4" s="2235" t="s">
        <v>3386</v>
      </c>
      <c r="S4" s="2235">
        <v>0</v>
      </c>
      <c r="T4" s="2235">
        <v>496800</v>
      </c>
      <c r="U4" s="2235" t="s">
        <v>3406</v>
      </c>
      <c r="V4" s="2235" t="s">
        <v>3386</v>
      </c>
      <c r="W4" s="2235" t="s">
        <v>3386</v>
      </c>
      <c r="X4" s="2235" t="s">
        <v>3397</v>
      </c>
      <c r="Y4" s="2235" t="s">
        <v>3407</v>
      </c>
    </row>
    <row r="5" spans="1:25" s="3414" customFormat="1">
      <c r="A5" s="3414" t="s">
        <v>3408</v>
      </c>
      <c r="B5" s="3414" t="s">
        <v>3409</v>
      </c>
      <c r="C5" s="3414" t="s">
        <v>3410</v>
      </c>
      <c r="D5" s="3414">
        <v>50136.84</v>
      </c>
      <c r="E5" s="3414">
        <v>77018.94</v>
      </c>
      <c r="F5" s="3414" t="s">
        <v>3401</v>
      </c>
      <c r="G5" s="3414" t="s">
        <v>3393</v>
      </c>
      <c r="H5" s="3414" t="s">
        <v>3411</v>
      </c>
      <c r="I5" s="3414" t="s">
        <v>3385</v>
      </c>
      <c r="J5" s="3414" t="s">
        <v>3386</v>
      </c>
      <c r="K5" s="3414" t="s">
        <v>3412</v>
      </c>
      <c r="L5" s="3414" t="s">
        <v>3388</v>
      </c>
      <c r="M5" s="3414" t="s">
        <v>3413</v>
      </c>
      <c r="N5" s="3414">
        <v>119000</v>
      </c>
      <c r="O5" s="3414">
        <v>23735.040000000001</v>
      </c>
      <c r="P5" s="3414">
        <v>1582.34</v>
      </c>
      <c r="Q5" s="3414">
        <v>15451</v>
      </c>
      <c r="R5" s="3414" t="s">
        <v>3386</v>
      </c>
      <c r="S5" s="3414">
        <v>0</v>
      </c>
      <c r="T5" s="3414">
        <v>136850</v>
      </c>
      <c r="U5" s="3414" t="s">
        <v>3406</v>
      </c>
      <c r="V5" s="3414">
        <v>44000</v>
      </c>
      <c r="W5" s="3414">
        <v>44000</v>
      </c>
      <c r="X5" s="3414" t="s">
        <v>3397</v>
      </c>
      <c r="Y5" s="3414" t="s">
        <v>3414</v>
      </c>
    </row>
    <row r="6" spans="1:25" s="3413" customFormat="1">
      <c r="A6" s="3413" t="s">
        <v>3415</v>
      </c>
      <c r="B6" s="3413" t="s">
        <v>3416</v>
      </c>
      <c r="C6" s="3413" t="s">
        <v>3417</v>
      </c>
      <c r="D6" s="3413">
        <v>30551.17</v>
      </c>
      <c r="E6" s="3413">
        <v>42798.91</v>
      </c>
      <c r="F6" s="3413" t="s">
        <v>3401</v>
      </c>
      <c r="G6" s="3413" t="s">
        <v>3418</v>
      </c>
      <c r="H6" s="3413" t="s">
        <v>3419</v>
      </c>
      <c r="I6" s="3413" t="s">
        <v>3385</v>
      </c>
      <c r="J6" s="3413" t="s">
        <v>3386</v>
      </c>
      <c r="K6" s="3413" t="s">
        <v>3420</v>
      </c>
      <c r="L6" s="3413" t="s">
        <v>3388</v>
      </c>
      <c r="M6" s="3413" t="s">
        <v>3421</v>
      </c>
      <c r="N6" s="3413">
        <v>62000</v>
      </c>
      <c r="O6" s="3413">
        <v>20293.82</v>
      </c>
      <c r="P6" s="3413">
        <v>1352.92</v>
      </c>
      <c r="Q6" s="3413">
        <v>14486</v>
      </c>
      <c r="R6" s="3413" t="s">
        <v>3386</v>
      </c>
      <c r="S6" s="3413">
        <v>0</v>
      </c>
      <c r="T6" s="3413">
        <v>71300</v>
      </c>
      <c r="U6" s="3413" t="s">
        <v>3406</v>
      </c>
      <c r="V6" s="3413">
        <v>45000</v>
      </c>
      <c r="W6" s="3413">
        <v>45000</v>
      </c>
      <c r="X6" s="3413" t="s">
        <v>3422</v>
      </c>
      <c r="Y6" s="3413" t="s">
        <v>3423</v>
      </c>
    </row>
    <row r="7" spans="1:25" s="2235" customFormat="1">
      <c r="A7" s="2235" t="s">
        <v>3424</v>
      </c>
      <c r="B7" s="2235" t="s">
        <v>3425</v>
      </c>
      <c r="C7" s="2235" t="s">
        <v>3426</v>
      </c>
      <c r="D7" s="2235">
        <v>16909.86</v>
      </c>
      <c r="E7" s="2235">
        <v>33819.72</v>
      </c>
      <c r="F7" s="2235" t="s">
        <v>3382</v>
      </c>
      <c r="G7" s="2235" t="s">
        <v>3427</v>
      </c>
      <c r="H7" s="2235" t="s">
        <v>3428</v>
      </c>
      <c r="I7" s="2235" t="s">
        <v>3385</v>
      </c>
      <c r="J7" s="2235" t="s">
        <v>3386</v>
      </c>
      <c r="K7" s="2235" t="s">
        <v>3420</v>
      </c>
      <c r="L7" s="2235" t="s">
        <v>3388</v>
      </c>
      <c r="M7" s="2235" t="s">
        <v>3429</v>
      </c>
      <c r="N7" s="2235">
        <v>116725</v>
      </c>
      <c r="O7" s="2235">
        <v>69027.77</v>
      </c>
      <c r="P7" s="2235">
        <v>4601.8500000000004</v>
      </c>
      <c r="Q7" s="2235">
        <v>34514</v>
      </c>
      <c r="R7" s="2235" t="s">
        <v>3386</v>
      </c>
      <c r="S7" s="2235">
        <v>15</v>
      </c>
      <c r="T7" s="2235">
        <v>116725</v>
      </c>
      <c r="U7" s="2235" t="s">
        <v>3430</v>
      </c>
      <c r="V7" s="2235">
        <v>60000</v>
      </c>
      <c r="W7" s="2235">
        <v>60000</v>
      </c>
      <c r="X7" s="2235" t="s">
        <v>3390</v>
      </c>
      <c r="Y7" s="2235" t="s">
        <v>3431</v>
      </c>
    </row>
    <row r="8" spans="1:25" s="2235" customFormat="1">
      <c r="A8" s="2235" t="s">
        <v>3432</v>
      </c>
      <c r="B8" s="2235" t="s">
        <v>3433</v>
      </c>
      <c r="C8" s="2235" t="s">
        <v>3434</v>
      </c>
      <c r="D8" s="2235">
        <v>28400</v>
      </c>
      <c r="E8" s="2235">
        <v>56800</v>
      </c>
      <c r="F8" s="2235" t="s">
        <v>3382</v>
      </c>
      <c r="G8" s="2235" t="s">
        <v>3435</v>
      </c>
      <c r="H8" s="2235" t="s">
        <v>3428</v>
      </c>
      <c r="I8" s="2235" t="s">
        <v>3385</v>
      </c>
      <c r="J8" s="2235" t="s">
        <v>3386</v>
      </c>
      <c r="K8" s="2235" t="s">
        <v>3436</v>
      </c>
      <c r="L8" s="2235" t="s">
        <v>3388</v>
      </c>
      <c r="M8" s="2235" t="s">
        <v>3437</v>
      </c>
      <c r="N8" s="2235">
        <v>126000</v>
      </c>
      <c r="O8" s="2235">
        <v>44366.19</v>
      </c>
      <c r="P8" s="2235">
        <v>2957.75</v>
      </c>
      <c r="Q8" s="2235">
        <v>22183</v>
      </c>
      <c r="R8" s="2235" t="s">
        <v>3386</v>
      </c>
      <c r="S8" s="2235">
        <v>0</v>
      </c>
      <c r="T8" s="2235">
        <v>144900</v>
      </c>
      <c r="U8" s="2235" t="s">
        <v>3406</v>
      </c>
      <c r="V8" s="2235">
        <v>46000</v>
      </c>
      <c r="W8" s="2235">
        <v>46000</v>
      </c>
      <c r="X8" s="2235" t="s">
        <v>3397</v>
      </c>
      <c r="Y8" s="2235" t="s">
        <v>3438</v>
      </c>
    </row>
    <row r="9" spans="1:25" s="3413" customFormat="1">
      <c r="A9" s="3413" t="s">
        <v>3439</v>
      </c>
      <c r="B9" s="3413" t="s">
        <v>3440</v>
      </c>
      <c r="C9" s="3413" t="s">
        <v>3441</v>
      </c>
      <c r="D9" s="3413">
        <v>69893.14</v>
      </c>
      <c r="E9" s="3413">
        <v>107430.41</v>
      </c>
      <c r="F9" s="3413" t="s">
        <v>3401</v>
      </c>
      <c r="G9" s="3413" t="s">
        <v>3442</v>
      </c>
      <c r="H9" s="3413" t="s">
        <v>3443</v>
      </c>
      <c r="I9" s="3413" t="s">
        <v>3385</v>
      </c>
      <c r="J9" s="3413" t="s">
        <v>3386</v>
      </c>
      <c r="K9" s="3413" t="s">
        <v>3444</v>
      </c>
      <c r="L9" s="3413" t="s">
        <v>3388</v>
      </c>
      <c r="M9" s="3413" t="s">
        <v>3445</v>
      </c>
      <c r="N9" s="3413">
        <v>199000</v>
      </c>
      <c r="O9" s="3413">
        <v>28472.03</v>
      </c>
      <c r="P9" s="3413">
        <v>1898.14</v>
      </c>
      <c r="Q9" s="3413">
        <v>18524</v>
      </c>
      <c r="R9" s="3413" t="s">
        <v>3386</v>
      </c>
      <c r="S9" s="3413">
        <v>0</v>
      </c>
      <c r="T9" s="3413">
        <v>228850</v>
      </c>
      <c r="U9" s="3413" t="s">
        <v>3406</v>
      </c>
      <c r="V9" s="3413">
        <v>43000</v>
      </c>
      <c r="W9" s="3413">
        <v>43000</v>
      </c>
      <c r="X9" s="3413" t="s">
        <v>3397</v>
      </c>
      <c r="Y9" s="3413" t="s">
        <v>3446</v>
      </c>
    </row>
    <row r="10" spans="1:25" s="2235" customFormat="1">
      <c r="A10" s="2235" t="s">
        <v>3447</v>
      </c>
      <c r="B10" s="2235" t="s">
        <v>3433</v>
      </c>
      <c r="C10" s="2235" t="s">
        <v>3448</v>
      </c>
      <c r="D10" s="2235">
        <v>63203.19</v>
      </c>
      <c r="E10" s="2235">
        <v>107665.74</v>
      </c>
      <c r="F10" s="2235" t="s">
        <v>3401</v>
      </c>
      <c r="G10" s="2235" t="s">
        <v>3393</v>
      </c>
      <c r="H10" s="2235" t="s">
        <v>3449</v>
      </c>
      <c r="I10" s="2235" t="s">
        <v>3385</v>
      </c>
      <c r="J10" s="2235" t="s">
        <v>3386</v>
      </c>
      <c r="K10" s="2235" t="s">
        <v>3450</v>
      </c>
      <c r="L10" s="2235" t="s">
        <v>3388</v>
      </c>
      <c r="M10" s="2235" t="s">
        <v>3451</v>
      </c>
      <c r="N10" s="2235">
        <v>228200</v>
      </c>
      <c r="O10" s="2235">
        <v>36105.769999999997</v>
      </c>
      <c r="P10" s="2235">
        <v>2407.0500000000002</v>
      </c>
      <c r="Q10" s="2235">
        <v>21195</v>
      </c>
      <c r="R10" s="2235" t="s">
        <v>3386</v>
      </c>
      <c r="S10" s="2235">
        <v>0.53</v>
      </c>
      <c r="T10" s="2235">
        <v>261050</v>
      </c>
      <c r="U10" s="2235" t="s">
        <v>3406</v>
      </c>
      <c r="V10" s="2235">
        <v>46000</v>
      </c>
      <c r="W10" s="2235">
        <v>46000</v>
      </c>
      <c r="X10" s="2235" t="s">
        <v>3397</v>
      </c>
      <c r="Y10" s="2235" t="s">
        <v>3452</v>
      </c>
    </row>
    <row r="11" spans="1:25" s="2235" customFormat="1">
      <c r="A11" s="2235" t="s">
        <v>3453</v>
      </c>
      <c r="B11" s="2235" t="s">
        <v>3391</v>
      </c>
      <c r="C11" s="2235" t="s">
        <v>3454</v>
      </c>
      <c r="D11" s="2235">
        <v>20354.939999999999</v>
      </c>
      <c r="E11" s="2235">
        <v>47549.3</v>
      </c>
      <c r="F11" s="2235" t="s">
        <v>3382</v>
      </c>
      <c r="G11" s="2235" t="s">
        <v>3435</v>
      </c>
      <c r="H11" s="2235" t="s">
        <v>3455</v>
      </c>
      <c r="I11" s="2235" t="s">
        <v>3385</v>
      </c>
      <c r="J11" s="2235" t="s">
        <v>3386</v>
      </c>
      <c r="K11" s="2235" t="s">
        <v>3456</v>
      </c>
      <c r="L11" s="2235" t="s">
        <v>3388</v>
      </c>
      <c r="M11" s="2235" t="s">
        <v>3457</v>
      </c>
      <c r="N11" s="2235">
        <v>110400</v>
      </c>
      <c r="O11" s="2235">
        <v>54237.45</v>
      </c>
      <c r="P11" s="2235">
        <v>3615.83</v>
      </c>
      <c r="Q11" s="2235">
        <v>23218</v>
      </c>
      <c r="R11" s="2235" t="s">
        <v>3386</v>
      </c>
      <c r="S11" s="2235">
        <v>15</v>
      </c>
      <c r="T11" s="2235">
        <v>110400</v>
      </c>
      <c r="U11" s="2235" t="s">
        <v>3430</v>
      </c>
      <c r="V11" s="2235">
        <v>46000</v>
      </c>
      <c r="W11" s="2235">
        <v>46000</v>
      </c>
      <c r="X11" s="2235" t="s">
        <v>3397</v>
      </c>
      <c r="Y11" s="2235" t="s">
        <v>3458</v>
      </c>
    </row>
  </sheetData>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受贵公司委托，我公司对北京市出让国有建设用地使用权抵押价格进行了预评估。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5431.65平方米。根据《建设工程规划许可证》[]、《出让合同》[]，估价对象规划建筑面积为11011.79平方米。</v>
      </c>
    </row>
    <row r="7" spans="1:4" ht="56.25">
      <c r="A7" s="1492" t="s">
        <v>2029</v>
      </c>
    </row>
    <row r="8" spans="1:4" ht="18.75">
      <c r="A8" s="1491" t="s">
        <v>1430</v>
      </c>
    </row>
    <row r="9" spans="1:4" ht="75">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2025年9月8日（评估专业人员勘察现场之日）</v>
      </c>
    </row>
    <row r="12" spans="1:4" ht="18.75">
      <c r="A12" s="1493" t="s">
        <v>1543</v>
      </c>
    </row>
    <row r="13" spans="1:4" ht="18.75">
      <c r="A13" s="1488" t="s">
        <v>2193</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根据《国有土地使用证》[]，估价对象（分摊）出让国有建设用地使用权面积为5431.65平方米。根据《建设工程规划许可证》[]、《出让合同》[]，估价对象规划建筑面积为11011.79平方米。</v>
      </c>
    </row>
    <row r="21" spans="1:1" ht="18.75">
      <c r="A21" s="1488" t="s">
        <v>1592</v>
      </c>
    </row>
    <row r="22" spans="1:1" ht="112.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40" sqref="A40:XFD40"/>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1">
        <f>基准地价!G23</f>
        <v>45908</v>
      </c>
      <c r="B1" s="3088" t="s">
        <v>3253</v>
      </c>
      <c r="C1" s="3089"/>
      <c r="D1" s="3089"/>
      <c r="E1" s="3089"/>
      <c r="F1" s="3089"/>
      <c r="G1" s="3089"/>
      <c r="H1" s="3089"/>
      <c r="I1" s="3089"/>
      <c r="J1" s="3090"/>
      <c r="K1" s="3089" t="s">
        <v>2778</v>
      </c>
      <c r="L1" s="3089"/>
      <c r="M1" s="3089"/>
      <c r="N1" s="3089"/>
      <c r="O1" s="3089"/>
      <c r="P1" s="3089"/>
      <c r="Q1" s="3090"/>
      <c r="R1" s="3695" t="s">
        <v>2786</v>
      </c>
      <c r="S1" s="3696"/>
      <c r="T1" s="3696"/>
      <c r="U1" s="3696"/>
      <c r="V1" s="3696"/>
      <c r="W1" s="3696"/>
      <c r="X1" s="3090"/>
      <c r="Y1" s="3695" t="s">
        <v>2797</v>
      </c>
      <c r="Z1" s="3696"/>
      <c r="AA1" s="3696"/>
      <c r="AB1" s="3696"/>
      <c r="AC1" s="3696"/>
      <c r="AD1" s="3696"/>
    </row>
    <row r="2" spans="1:44" ht="14.25" thickBot="1">
      <c r="A2" s="3083"/>
      <c r="B2" s="3091"/>
      <c r="C2" s="3092"/>
      <c r="D2" s="2424" t="s">
        <v>2780</v>
      </c>
      <c r="E2" s="2425" t="s">
        <v>2781</v>
      </c>
      <c r="F2" s="2425" t="s">
        <v>2782</v>
      </c>
      <c r="G2" s="2425" t="s">
        <v>2783</v>
      </c>
      <c r="H2" s="2425" t="s">
        <v>2784</v>
      </c>
      <c r="I2" s="2425" t="s">
        <v>2726</v>
      </c>
      <c r="J2" s="3093"/>
      <c r="K2" s="2424" t="s">
        <v>2780</v>
      </c>
      <c r="L2" s="2425" t="s">
        <v>2781</v>
      </c>
      <c r="M2" s="2425" t="s">
        <v>2782</v>
      </c>
      <c r="N2" s="2425" t="s">
        <v>2783</v>
      </c>
      <c r="O2" s="2425" t="s">
        <v>2784</v>
      </c>
      <c r="P2" s="2425" t="s">
        <v>2726</v>
      </c>
      <c r="Q2" s="3093"/>
      <c r="R2" s="2424" t="s">
        <v>2787</v>
      </c>
      <c r="S2" s="2425" t="s">
        <v>2788</v>
      </c>
      <c r="T2" s="2425" t="s">
        <v>2789</v>
      </c>
      <c r="U2" s="2425" t="s">
        <v>2790</v>
      </c>
      <c r="V2" s="2425" t="s">
        <v>2791</v>
      </c>
      <c r="W2" s="2425" t="s">
        <v>2792</v>
      </c>
      <c r="X2" s="3093"/>
      <c r="Y2" s="2424" t="s">
        <v>2780</v>
      </c>
      <c r="Z2" s="2425" t="s">
        <v>1470</v>
      </c>
      <c r="AA2" s="2425" t="s">
        <v>2798</v>
      </c>
      <c r="AB2" s="2425" t="s">
        <v>1469</v>
      </c>
      <c r="AC2" s="2425" t="s">
        <v>2784</v>
      </c>
      <c r="AD2" s="2425" t="s">
        <v>2443</v>
      </c>
      <c r="AF2" t="s">
        <v>3301</v>
      </c>
      <c r="AG2" t="s">
        <v>2727</v>
      </c>
      <c r="AH2" t="s">
        <v>1212</v>
      </c>
      <c r="AI2" t="s">
        <v>851</v>
      </c>
      <c r="AJ2" t="s">
        <v>905</v>
      </c>
      <c r="AK2" t="s">
        <v>2725</v>
      </c>
      <c r="AM2" t="s">
        <v>3301</v>
      </c>
      <c r="AN2" t="s">
        <v>2727</v>
      </c>
      <c r="AO2" t="s">
        <v>1212</v>
      </c>
      <c r="AP2" t="s">
        <v>851</v>
      </c>
      <c r="AQ2" t="s">
        <v>905</v>
      </c>
      <c r="AR2" t="s">
        <v>2725</v>
      </c>
    </row>
    <row r="3" spans="1:44">
      <c r="A3" s="3084" t="s">
        <v>2769</v>
      </c>
      <c r="B3" s="3094"/>
      <c r="C3" s="3095"/>
      <c r="D3" s="3095">
        <f>ROUND(AVERAGEIF(D4:D24,"&lt;&gt;0"),2)</f>
        <v>0.37</v>
      </c>
      <c r="E3" s="3095">
        <f>ROUND(AVERAGEIF(E4:E24,"&lt;&gt;0"),2)</f>
        <v>0.16</v>
      </c>
      <c r="F3" s="3095">
        <f>ROUND(AVERAGEIF(F4:F24,"&lt;&gt;0"),2)</f>
        <v>-0.12</v>
      </c>
      <c r="G3" s="3095">
        <f>ROUND(AVERAGEIF(G4:G24,"&lt;&gt;0"),2)</f>
        <v>0.44</v>
      </c>
      <c r="H3" s="3095">
        <f>ROUND(AVERAGEIF(H4:H24,"&lt;&gt;0"),2)</f>
        <v>0.5</v>
      </c>
      <c r="I3" s="3095">
        <f>F3</f>
        <v>-0.12</v>
      </c>
      <c r="J3" s="3096"/>
      <c r="K3" s="3097">
        <f>ROUND(AVERAGEIF(K4:K24,"&lt;&gt;0"),4)</f>
        <v>3.7000000000000002E-3</v>
      </c>
      <c r="L3" s="3098">
        <f>ROUND(AVERAGEIF(L4:L24,"&lt;&gt;0"),4)</f>
        <v>1.6000000000000001E-3</v>
      </c>
      <c r="M3" s="3098">
        <f>ROUND(AVERAGEIF(M4:M24,"&lt;&gt;0"),4)</f>
        <v>-1.1999999999999999E-3</v>
      </c>
      <c r="N3" s="3098">
        <f>ROUND(AVERAGEIF(N4:N24,"&lt;&gt;0"),4)</f>
        <v>4.4000000000000003E-3</v>
      </c>
      <c r="O3" s="3098">
        <f>ROUND(AVERAGEIF(O4:O24,"&lt;&gt;0"),4)</f>
        <v>5.0000000000000001E-3</v>
      </c>
      <c r="P3" s="3098">
        <f>M3</f>
        <v>-1.1999999999999999E-3</v>
      </c>
      <c r="Q3" s="3096"/>
      <c r="R3" s="3111">
        <f>ROUND(SUMPRODUCT(PRODUCT(1+K4:K24)),4)</f>
        <v>1.0680000000000001</v>
      </c>
      <c r="S3" s="3112">
        <f>ROUND(SUMPRODUCT(PRODUCT(1+L4:L24)),4)</f>
        <v>1.0290999999999999</v>
      </c>
      <c r="T3" s="3112">
        <f>ROUND(SUMPRODUCT(PRODUCT(1+M4:M24)),4)</f>
        <v>0.97850000000000004</v>
      </c>
      <c r="U3" s="3112">
        <f>ROUND(SUMPRODUCT(PRODUCT(1+N4:N24)),4)</f>
        <v>1.0807</v>
      </c>
      <c r="V3" s="3112">
        <f>ROUND(SUMPRODUCT(PRODUCT(1+O4:O24)),4)</f>
        <v>1.093</v>
      </c>
      <c r="W3" s="3111">
        <f>T3</f>
        <v>0.97850000000000004</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40"/>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7" t="s">
        <v>3303</v>
      </c>
      <c r="B5" s="3134">
        <v>2025</v>
      </c>
      <c r="C5" s="3135">
        <v>4</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1.0577000000000001</v>
      </c>
      <c r="S5" s="3113">
        <f>ROUND(IF(项目基本情况!$B$8="出让",SUMPRODUCT(PRODUCT(1+L5:$L$24)),SUMPRODUCT(PRODUCT(1+L5:$L$23))),4)</f>
        <v>1.0275000000000001</v>
      </c>
      <c r="T5" s="3113">
        <f>ROUND(IF(项目基本情况!$B$8="出让",SUMPRODUCT(PRODUCT(1+M5:$M$24)),SUMPRODUCT(PRODUCT(1+M5:$M$23))),4)</f>
        <v>0.98089999999999999</v>
      </c>
      <c r="U5" s="3113">
        <f>ROUND(IF(项目基本情况!$B$8="出让",SUMPRODUCT(PRODUCT(1+N5:$N$24)),SUMPRODUCT(PRODUCT(1+N5:$N$23))),4)</f>
        <v>1.0689</v>
      </c>
      <c r="V5" s="3113">
        <f>ROUND(IF(项目基本情况!$B$8="出让",SUMPRODUCT(PRODUCT(1+O5:$O$24)),SUMPRODUCT(PRODUCT(1+O5:$O$23))),4)</f>
        <v>1.0891</v>
      </c>
      <c r="W5" s="3113">
        <f t="shared" ref="W5:W11" si="7">T5</f>
        <v>0.98089999999999999</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9">
        <f t="shared" ref="AF5" si="14">$AF$24*R5</f>
        <v>105.77000000000001</v>
      </c>
      <c r="AG5" s="3399">
        <f t="shared" ref="AG5" si="15">$AG$24*S5</f>
        <v>102.75000000000001</v>
      </c>
      <c r="AH5" s="3399">
        <f t="shared" ref="AH5" si="16">$AH$24*T5</f>
        <v>98.09</v>
      </c>
      <c r="AI5" s="3399">
        <f t="shared" ref="AI5" si="17">$AI$24*U5</f>
        <v>106.89</v>
      </c>
      <c r="AJ5" s="3399">
        <f t="shared" ref="AJ5" si="18">$AJ$24*V5</f>
        <v>108.91</v>
      </c>
      <c r="AK5" s="3399">
        <f t="shared" ref="AK5" si="19">$AK$24*W5</f>
        <v>98.09</v>
      </c>
      <c r="AM5" s="3398">
        <v>100</v>
      </c>
      <c r="AN5" s="3398">
        <v>100</v>
      </c>
      <c r="AO5" s="3398">
        <v>100</v>
      </c>
      <c r="AP5" s="3398">
        <v>100</v>
      </c>
      <c r="AQ5" s="3398">
        <v>100</v>
      </c>
      <c r="AR5" s="3398">
        <v>100</v>
      </c>
    </row>
    <row r="6" spans="1:44">
      <c r="A6" s="3387" t="s">
        <v>3302</v>
      </c>
      <c r="B6" s="3134">
        <v>2025</v>
      </c>
      <c r="C6" s="3135">
        <v>3</v>
      </c>
      <c r="D6" s="3135">
        <v>0</v>
      </c>
      <c r="E6" s="3135">
        <v>0</v>
      </c>
      <c r="F6" s="3135">
        <v>0</v>
      </c>
      <c r="G6" s="3135">
        <v>0</v>
      </c>
      <c r="H6" s="3135">
        <v>0</v>
      </c>
      <c r="I6" s="3136">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1.0577000000000001</v>
      </c>
      <c r="S6" s="3113">
        <f>ROUND(IF(项目基本情况!$B$8="出让",SUMPRODUCT(PRODUCT(1+L6:$L$24)),SUMPRODUCT(PRODUCT(1+L6:$L$23))),4)</f>
        <v>1.0275000000000001</v>
      </c>
      <c r="T6" s="3113">
        <f>ROUND(IF(项目基本情况!$B$8="出让",SUMPRODUCT(PRODUCT(1+M6:$M$24)),SUMPRODUCT(PRODUCT(1+M6:$M$23))),4)</f>
        <v>0.98089999999999999</v>
      </c>
      <c r="U6" s="3113">
        <f>ROUND(IF(项目基本情况!$B$8="出让",SUMPRODUCT(PRODUCT(1+N6:$N$24)),SUMPRODUCT(PRODUCT(1+N6:$N$23))),4)</f>
        <v>1.0689</v>
      </c>
      <c r="V6" s="3113">
        <f>ROUND(IF(项目基本情况!$B$8="出让",SUMPRODUCT(PRODUCT(1+O6:$O$24)),SUMPRODUCT(PRODUCT(1+O6:$O$23))),4)</f>
        <v>1.0891</v>
      </c>
      <c r="W6" s="3113">
        <f t="shared" si="7"/>
        <v>0.98089999999999999</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9">
        <f t="shared" ref="AF6" si="32">$AF$24*R6</f>
        <v>105.77000000000001</v>
      </c>
      <c r="AG6" s="3399">
        <f t="shared" ref="AG6" si="33">$AG$24*S6</f>
        <v>102.75000000000001</v>
      </c>
      <c r="AH6" s="3399">
        <f t="shared" ref="AH6" si="34">$AH$24*T6</f>
        <v>98.09</v>
      </c>
      <c r="AI6" s="3399">
        <f t="shared" ref="AI6" si="35">$AI$24*U6</f>
        <v>106.89</v>
      </c>
      <c r="AJ6" s="3399">
        <f t="shared" ref="AJ6" si="36">$AJ$24*V6</f>
        <v>108.91</v>
      </c>
      <c r="AK6" s="3399">
        <f t="shared" ref="AK6" si="37">$AK$24*W6</f>
        <v>98.09</v>
      </c>
      <c r="AM6" s="3399">
        <f>AM5/(1+D5/100)</f>
        <v>100</v>
      </c>
      <c r="AN6" s="3399">
        <f t="shared" ref="AN6:AR6" si="38">AN5/(1+E5/100)</f>
        <v>100</v>
      </c>
      <c r="AO6" s="3399">
        <f t="shared" si="38"/>
        <v>100</v>
      </c>
      <c r="AP6" s="3399">
        <f t="shared" si="38"/>
        <v>100</v>
      </c>
      <c r="AQ6" s="3399">
        <f t="shared" si="38"/>
        <v>100</v>
      </c>
      <c r="AR6" s="3399">
        <f t="shared" si="38"/>
        <v>100</v>
      </c>
    </row>
    <row r="7" spans="1:44">
      <c r="A7" s="3086" t="s">
        <v>3304</v>
      </c>
      <c r="B7" s="3137">
        <v>2025</v>
      </c>
      <c r="C7" s="3138">
        <v>2</v>
      </c>
      <c r="D7" s="3138">
        <v>0.05</v>
      </c>
      <c r="E7" s="3138">
        <v>-0.62</v>
      </c>
      <c r="F7" s="3138">
        <v>-1.05</v>
      </c>
      <c r="G7" s="3138">
        <v>0.09</v>
      </c>
      <c r="H7" s="3139">
        <v>0.17</v>
      </c>
      <c r="I7" s="3140">
        <f t="shared" ref="I7" si="39">F7</f>
        <v>-1.05</v>
      </c>
      <c r="J7" s="3105"/>
      <c r="K7" s="3106">
        <f t="shared" ref="K7" si="40">D7/100</f>
        <v>5.0000000000000001E-4</v>
      </c>
      <c r="L7" s="3107">
        <f t="shared" ref="L7" si="41">E7/100</f>
        <v>-6.1999999999999998E-3</v>
      </c>
      <c r="M7" s="3107">
        <f t="shared" ref="M7" si="42">F7/100</f>
        <v>-1.0500000000000001E-2</v>
      </c>
      <c r="N7" s="3107">
        <f t="shared" ref="N7" si="43">G7/100</f>
        <v>8.9999999999999998E-4</v>
      </c>
      <c r="O7" s="3107">
        <f t="shared" ref="O7" si="44">H7/100</f>
        <v>1.7000000000000001E-3</v>
      </c>
      <c r="P7" s="3107">
        <f t="shared" si="6"/>
        <v>-1.0500000000000001E-2</v>
      </c>
      <c r="Q7" s="3105"/>
      <c r="R7" s="3105">
        <f>ROUND(IF(项目基本情况!$B$8="出让",SUMPRODUCT(PRODUCT(1+K7:$K$24)),SUMPRODUCT(PRODUCT(1+K7:$K$23))),4)</f>
        <v>1.0577000000000001</v>
      </c>
      <c r="S7" s="3105">
        <f>ROUND(IF(项目基本情况!$B$8="出让",SUMPRODUCT(PRODUCT(1+L7:$L$24)),SUMPRODUCT(PRODUCT(1+L7:$L$23))),4)</f>
        <v>1.0275000000000001</v>
      </c>
      <c r="T7" s="3105">
        <f>ROUND(IF(项目基本情况!$B$8="出让",SUMPRODUCT(PRODUCT(1+M7:$M$24)),SUMPRODUCT(PRODUCT(1+M7:$M$23))),4)</f>
        <v>0.98089999999999999</v>
      </c>
      <c r="U7" s="3105">
        <f>ROUND(IF(项目基本情况!$B$8="出让",SUMPRODUCT(PRODUCT(1+N7:$N$24)),SUMPRODUCT(PRODUCT(1+N7:$N$23))),4)</f>
        <v>1.0689</v>
      </c>
      <c r="V7" s="3105">
        <f>ROUND(IF(项目基本情况!$B$8="出让",SUMPRODUCT(PRODUCT(1+O7:$O$24)),SUMPRODUCT(PRODUCT(1+O7:$O$23))),4)</f>
        <v>1.0891</v>
      </c>
      <c r="W7" s="3105">
        <f t="shared" si="7"/>
        <v>0.98089999999999999</v>
      </c>
      <c r="X7" s="3102"/>
      <c r="Y7" s="3104">
        <f t="shared" ref="Y7" si="45">IF(D7=0,0,ROUND(AVERAGE(D7:D20)/100,4))</f>
        <v>2.3E-3</v>
      </c>
      <c r="Z7" s="3104">
        <f t="shared" ref="Z7" si="46">IF(E7=0,0,ROUND(AVERAGE(E7:E20)/100,4))</f>
        <v>1E-3</v>
      </c>
      <c r="AA7" s="3104">
        <f t="shared" ref="AA7" si="47">IF(F7=0,0,ROUND(AVERAGE(F7:F20)/100,4))</f>
        <v>-1.9E-3</v>
      </c>
      <c r="AB7" s="3104">
        <f t="shared" ref="AB7" si="48">IF(G7=0,0,ROUND(AVERAGE(G7:G20)/100,4))</f>
        <v>2.8999999999999998E-3</v>
      </c>
      <c r="AC7" s="3104">
        <f t="shared" ref="AC7" si="49">IF(H7=0,0,ROUND(AVERAGE(H7:H20)/100,4))</f>
        <v>4.7000000000000002E-3</v>
      </c>
      <c r="AD7" s="3104">
        <f t="shared" ref="AD7" si="50">AA7</f>
        <v>-1.9E-3</v>
      </c>
      <c r="AF7" s="3399">
        <f t="shared" ref="AF7" si="51">$AF$24*R7</f>
        <v>105.77000000000001</v>
      </c>
      <c r="AG7" s="3399">
        <f t="shared" ref="AG7" si="52">$AG$24*S7</f>
        <v>102.75000000000001</v>
      </c>
      <c r="AH7" s="3399">
        <f t="shared" ref="AH7" si="53">$AH$24*T7</f>
        <v>98.09</v>
      </c>
      <c r="AI7" s="3399">
        <f t="shared" ref="AI7" si="54">$AI$24*U7</f>
        <v>106.89</v>
      </c>
      <c r="AJ7" s="3399">
        <f t="shared" ref="AJ7" si="55">$AJ$24*V7</f>
        <v>108.91</v>
      </c>
      <c r="AK7" s="3399">
        <f t="shared" ref="AK7" si="56">$AK$24*W7</f>
        <v>98.09</v>
      </c>
      <c r="AM7" s="3399">
        <f t="shared" ref="AM7:AM24" si="57">AM6/(1+D6/100)</f>
        <v>100</v>
      </c>
      <c r="AN7" s="3399">
        <f t="shared" ref="AN7:AN24" si="58">AN6/(1+E6/100)</f>
        <v>100</v>
      </c>
      <c r="AO7" s="3399">
        <f t="shared" ref="AO7:AO24" si="59">AO6/(1+F6/100)</f>
        <v>100</v>
      </c>
      <c r="AP7" s="3399">
        <f t="shared" ref="AP7:AP24" si="60">AP6/(1+G6/100)</f>
        <v>100</v>
      </c>
      <c r="AQ7" s="3399">
        <f t="shared" ref="AQ7:AQ24" si="61">AQ6/(1+H6/100)</f>
        <v>100</v>
      </c>
      <c r="AR7" s="3399">
        <f t="shared" ref="AR7:AR24" si="62">AR6/(1+I6/100)</f>
        <v>100</v>
      </c>
    </row>
    <row r="8" spans="1:44">
      <c r="A8" s="3387" t="s">
        <v>3250</v>
      </c>
      <c r="B8" s="3134">
        <v>2025</v>
      </c>
      <c r="C8" s="3135">
        <v>1</v>
      </c>
      <c r="D8" s="3135">
        <v>0.56999999999999995</v>
      </c>
      <c r="E8" s="3135">
        <v>-0.56999999999999995</v>
      </c>
      <c r="F8" s="3135">
        <v>-0.9</v>
      </c>
      <c r="G8" s="3135">
        <v>1.1200000000000001</v>
      </c>
      <c r="H8" s="3135">
        <v>0.42</v>
      </c>
      <c r="I8" s="3136">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9">
        <f t="shared" ref="AF8:AF22" si="75">$AF$24*R8</f>
        <v>105.72</v>
      </c>
      <c r="AG8" s="3399">
        <f t="shared" ref="AG8:AG22" si="76">$AG$24*S8</f>
        <v>103.39</v>
      </c>
      <c r="AH8" s="3399">
        <f t="shared" ref="AH8:AH22" si="77">$AH$24*T8</f>
        <v>99.13</v>
      </c>
      <c r="AI8" s="3399">
        <f t="shared" ref="AI8:AI22" si="78">$AI$24*U8</f>
        <v>106.79</v>
      </c>
      <c r="AJ8" s="3399">
        <f t="shared" ref="AJ8:AJ22" si="79">$AJ$24*V8</f>
        <v>108.72</v>
      </c>
      <c r="AK8" s="3399">
        <f t="shared" ref="AK8:AK22" si="80">$AK$24*W8</f>
        <v>99.13</v>
      </c>
      <c r="AM8" s="3399">
        <f t="shared" si="57"/>
        <v>99.950024987506254</v>
      </c>
      <c r="AN8" s="3399">
        <f t="shared" si="58"/>
        <v>100.6238679814852</v>
      </c>
      <c r="AO8" s="3399">
        <f t="shared" si="59"/>
        <v>101.06114199090449</v>
      </c>
      <c r="AP8" s="3399">
        <f t="shared" si="60"/>
        <v>99.910080927165566</v>
      </c>
      <c r="AQ8" s="3399">
        <f t="shared" si="61"/>
        <v>99.830288509533787</v>
      </c>
      <c r="AR8" s="3399">
        <f t="shared" si="62"/>
        <v>101.06114199090449</v>
      </c>
    </row>
    <row r="9" spans="1:44">
      <c r="A9" s="3387" t="s">
        <v>3305</v>
      </c>
      <c r="B9" s="3134">
        <v>2024</v>
      </c>
      <c r="C9" s="3135">
        <v>4</v>
      </c>
      <c r="D9" s="3135">
        <v>-1.02</v>
      </c>
      <c r="E9" s="3135">
        <v>-0.48</v>
      </c>
      <c r="F9" s="3135">
        <v>-0.75</v>
      </c>
      <c r="G9" s="3135">
        <v>-1.05</v>
      </c>
      <c r="H9" s="3135">
        <v>0.08</v>
      </c>
      <c r="I9" s="3136">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9">
        <f t="shared" si="75"/>
        <v>105.11999999999999</v>
      </c>
      <c r="AG9" s="3399">
        <f t="shared" si="76"/>
        <v>103.98</v>
      </c>
      <c r="AH9" s="3399">
        <f t="shared" si="77"/>
        <v>100.03</v>
      </c>
      <c r="AI9" s="3399">
        <f t="shared" si="78"/>
        <v>105.61</v>
      </c>
      <c r="AJ9" s="3399">
        <f t="shared" si="79"/>
        <v>108.27</v>
      </c>
      <c r="AK9" s="3399">
        <f t="shared" si="80"/>
        <v>100.03</v>
      </c>
      <c r="AM9" s="3399">
        <f t="shared" si="57"/>
        <v>99.383538816253605</v>
      </c>
      <c r="AN9" s="3399">
        <f t="shared" si="58"/>
        <v>101.20071204011386</v>
      </c>
      <c r="AO9" s="3399">
        <f t="shared" si="59"/>
        <v>101.97895256398031</v>
      </c>
      <c r="AP9" s="3399">
        <f t="shared" si="60"/>
        <v>98.80348192955455</v>
      </c>
      <c r="AQ9" s="3399">
        <f t="shared" si="61"/>
        <v>99.412754938790869</v>
      </c>
      <c r="AR9" s="3399">
        <f t="shared" si="62"/>
        <v>101.97895256398031</v>
      </c>
    </row>
    <row r="10" spans="1:44">
      <c r="A10" s="3387" t="s">
        <v>3245</v>
      </c>
      <c r="B10" s="3134">
        <v>2024</v>
      </c>
      <c r="C10" s="3135">
        <v>3</v>
      </c>
      <c r="D10" s="3135">
        <v>-1.19</v>
      </c>
      <c r="E10" s="3135">
        <v>-0.47</v>
      </c>
      <c r="F10" s="3135">
        <v>-0.28999999999999998</v>
      </c>
      <c r="G10" s="3135">
        <v>-0.74</v>
      </c>
      <c r="H10" s="3135">
        <v>-0.21</v>
      </c>
      <c r="I10" s="3136">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9">
        <f t="shared" si="75"/>
        <v>106.2</v>
      </c>
      <c r="AG10" s="3399">
        <f t="shared" si="76"/>
        <v>104.47999999999999</v>
      </c>
      <c r="AH10" s="3399">
        <f t="shared" si="77"/>
        <v>100.79</v>
      </c>
      <c r="AI10" s="3399">
        <f t="shared" si="78"/>
        <v>106.72999999999999</v>
      </c>
      <c r="AJ10" s="3399">
        <f t="shared" si="79"/>
        <v>108.18</v>
      </c>
      <c r="AK10" s="3399">
        <f t="shared" si="80"/>
        <v>100.79</v>
      </c>
      <c r="AM10" s="3399">
        <f t="shared" si="57"/>
        <v>100.40769732900949</v>
      </c>
      <c r="AN10" s="3399">
        <f t="shared" si="58"/>
        <v>101.68881836828162</v>
      </c>
      <c r="AO10" s="3399">
        <f t="shared" si="59"/>
        <v>102.74957437176857</v>
      </c>
      <c r="AP10" s="3399">
        <f t="shared" si="60"/>
        <v>99.851927164784783</v>
      </c>
      <c r="AQ10" s="3399">
        <f t="shared" si="61"/>
        <v>99.333288308144361</v>
      </c>
      <c r="AR10" s="3399">
        <f t="shared" si="62"/>
        <v>102.74957437176857</v>
      </c>
    </row>
    <row r="11" spans="1:44">
      <c r="A11" s="3085" t="s">
        <v>3251</v>
      </c>
      <c r="B11" s="3134">
        <v>2024</v>
      </c>
      <c r="C11" s="3135">
        <v>2</v>
      </c>
      <c r="D11" s="3135">
        <v>-0.59</v>
      </c>
      <c r="E11" s="3135">
        <v>-0.21</v>
      </c>
      <c r="F11" s="3135">
        <v>-1.38</v>
      </c>
      <c r="G11" s="3135">
        <v>-1.24</v>
      </c>
      <c r="H11" s="3141">
        <v>0.34</v>
      </c>
      <c r="I11" s="3136">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9">
        <f t="shared" si="75"/>
        <v>107.48</v>
      </c>
      <c r="AG11" s="3399">
        <f t="shared" si="76"/>
        <v>104.98</v>
      </c>
      <c r="AH11" s="3399">
        <f t="shared" si="77"/>
        <v>101.08</v>
      </c>
      <c r="AI11" s="3399">
        <f t="shared" si="78"/>
        <v>107.52999999999999</v>
      </c>
      <c r="AJ11" s="3399">
        <f t="shared" si="79"/>
        <v>108.41000000000001</v>
      </c>
      <c r="AK11" s="3399">
        <f t="shared" si="80"/>
        <v>101.08</v>
      </c>
      <c r="AM11" s="3399">
        <f t="shared" si="57"/>
        <v>101.61693890194262</v>
      </c>
      <c r="AN11" s="3399">
        <f t="shared" si="58"/>
        <v>102.16901272810371</v>
      </c>
      <c r="AO11" s="3399">
        <f t="shared" si="59"/>
        <v>103.04841477461495</v>
      </c>
      <c r="AP11" s="3399">
        <f t="shared" si="60"/>
        <v>100.59634008138704</v>
      </c>
      <c r="AQ11" s="3399">
        <f t="shared" si="61"/>
        <v>99.542327195254401</v>
      </c>
      <c r="AR11" s="3399">
        <f t="shared" si="62"/>
        <v>103.04841477461495</v>
      </c>
    </row>
    <row r="12" spans="1:44">
      <c r="A12" s="3085" t="s">
        <v>3248</v>
      </c>
      <c r="B12" s="3134">
        <v>2024</v>
      </c>
      <c r="C12" s="3135">
        <v>1</v>
      </c>
      <c r="D12" s="3135">
        <v>0.08</v>
      </c>
      <c r="E12" s="3135">
        <v>0.46</v>
      </c>
      <c r="F12" s="3135">
        <v>-0.16</v>
      </c>
      <c r="G12" s="3135">
        <v>0.26</v>
      </c>
      <c r="H12" s="3141">
        <v>0.59</v>
      </c>
      <c r="I12" s="3136">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9">
        <f t="shared" si="75"/>
        <v>108.11999999999999</v>
      </c>
      <c r="AG12" s="3399">
        <f t="shared" si="76"/>
        <v>105.2</v>
      </c>
      <c r="AH12" s="3399">
        <f t="shared" si="77"/>
        <v>102.49999999999999</v>
      </c>
      <c r="AI12" s="3399">
        <f t="shared" si="78"/>
        <v>108.88</v>
      </c>
      <c r="AJ12" s="3399">
        <f t="shared" si="79"/>
        <v>108.04</v>
      </c>
      <c r="AK12" s="3399">
        <f t="shared" si="80"/>
        <v>102.49999999999999</v>
      </c>
      <c r="AM12" s="3399">
        <f t="shared" si="57"/>
        <v>102.22003712095626</v>
      </c>
      <c r="AN12" s="3399">
        <f t="shared" si="58"/>
        <v>102.38401916835726</v>
      </c>
      <c r="AO12" s="3399">
        <f t="shared" si="59"/>
        <v>104.49038204686165</v>
      </c>
      <c r="AP12" s="3399">
        <f t="shared" si="60"/>
        <v>101.85939659921733</v>
      </c>
      <c r="AQ12" s="3399">
        <f t="shared" si="61"/>
        <v>99.205030092938401</v>
      </c>
      <c r="AR12" s="3399">
        <f t="shared" si="62"/>
        <v>104.49038204686165</v>
      </c>
    </row>
    <row r="13" spans="1:44">
      <c r="A13" s="3085" t="s">
        <v>3243</v>
      </c>
      <c r="B13" s="3134">
        <v>2023</v>
      </c>
      <c r="C13" s="3135">
        <v>4</v>
      </c>
      <c r="D13" s="3135">
        <v>0.19</v>
      </c>
      <c r="E13" s="3135">
        <v>0.24</v>
      </c>
      <c r="F13" s="3135">
        <v>-0.16</v>
      </c>
      <c r="G13" s="3135">
        <v>0.17</v>
      </c>
      <c r="H13" s="3141">
        <v>0.61</v>
      </c>
      <c r="I13" s="3136">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9">
        <f t="shared" si="75"/>
        <v>108.04</v>
      </c>
      <c r="AG13" s="3399">
        <f t="shared" si="76"/>
        <v>104.71999999999998</v>
      </c>
      <c r="AH13" s="3399">
        <f t="shared" si="77"/>
        <v>102.66</v>
      </c>
      <c r="AI13" s="3399">
        <f t="shared" si="78"/>
        <v>108.59</v>
      </c>
      <c r="AJ13" s="3399">
        <f t="shared" si="79"/>
        <v>107.41000000000001</v>
      </c>
      <c r="AK13" s="3399">
        <f t="shared" si="80"/>
        <v>102.66</v>
      </c>
      <c r="AM13" s="3399">
        <f t="shared" si="57"/>
        <v>102.13832645978844</v>
      </c>
      <c r="AN13" s="3399">
        <f t="shared" si="58"/>
        <v>101.91520920600962</v>
      </c>
      <c r="AO13" s="3399">
        <f t="shared" si="59"/>
        <v>104.65783458219317</v>
      </c>
      <c r="AP13" s="3399">
        <f t="shared" si="60"/>
        <v>101.5952489519423</v>
      </c>
      <c r="AQ13" s="3399">
        <f t="shared" si="61"/>
        <v>98.623153487362956</v>
      </c>
      <c r="AR13" s="3399">
        <f t="shared" si="62"/>
        <v>104.65783458219317</v>
      </c>
    </row>
    <row r="14" spans="1:44">
      <c r="A14" s="3085" t="s">
        <v>3242</v>
      </c>
      <c r="B14" s="3134">
        <v>2023</v>
      </c>
      <c r="C14" s="3135">
        <v>3</v>
      </c>
      <c r="D14" s="3135">
        <v>0.25</v>
      </c>
      <c r="E14" s="3135">
        <v>0.5</v>
      </c>
      <c r="F14" s="3135">
        <v>0.31</v>
      </c>
      <c r="G14" s="3135">
        <v>0.21</v>
      </c>
      <c r="H14" s="3141">
        <v>0.43</v>
      </c>
      <c r="I14" s="3136">
        <f t="shared" si="101"/>
        <v>0.31</v>
      </c>
      <c r="J14" s="3102"/>
      <c r="K14" s="3103">
        <f t="shared" ref="K14:K16" si="125">D14/100</f>
        <v>2.5000000000000001E-3</v>
      </c>
      <c r="L14" s="3104">
        <f t="shared" ref="L14:L16" si="126">E14/100</f>
        <v>5.0000000000000001E-3</v>
      </c>
      <c r="M14" s="3104">
        <f t="shared" ref="M14:M16" si="127">F14/100</f>
        <v>3.0999999999999999E-3</v>
      </c>
      <c r="N14" s="3104">
        <f t="shared" ref="N14:N16" si="128">G14/100</f>
        <v>2.0999999999999999E-3</v>
      </c>
      <c r="O14" s="3104">
        <f t="shared" ref="O14:O16" si="129">H14/100</f>
        <v>4.3E-3</v>
      </c>
      <c r="P14" s="3104">
        <f t="shared" ref="P14:P16" si="130">M14</f>
        <v>3.0999999999999999E-3</v>
      </c>
      <c r="Q14" s="3102"/>
      <c r="R14" s="3113">
        <f>ROUND(IF(项目基本情况!$B$8="出让",SUMPRODUCT(PRODUCT(1+K14:$K$24)),SUMPRODUCT(PRODUCT(1+K14:$K$23))),4)</f>
        <v>1.0783</v>
      </c>
      <c r="S14" s="3113">
        <f>ROUND(IF(项目基本情况!$B$8="出让",SUMPRODUCT(PRODUCT(1+L14:$L$24)),SUMPRODUCT(PRODUCT(1+L14:$L$23))),4)</f>
        <v>1.0447</v>
      </c>
      <c r="T14" s="3113">
        <f>ROUND(IF(项目基本情况!$B$8="出让",SUMPRODUCT(PRODUCT(1+M14:$M$24)),SUMPRODUCT(PRODUCT(1+M14:$M$23))),4)</f>
        <v>1.0282</v>
      </c>
      <c r="U14" s="3113">
        <f>ROUND(IF(项目基本情况!$B$8="出让",SUMPRODUCT(PRODUCT(1+N14:$N$24)),SUMPRODUCT(PRODUCT(1+N14:$N$23))),4)</f>
        <v>1.0841000000000001</v>
      </c>
      <c r="V14" s="3113">
        <f>ROUND(IF(项目基本情况!$B$8="出让",SUMPRODUCT(PRODUCT(1+O14:$O$24)),SUMPRODUCT(PRODUCT(1+O14:$O$23))),4)</f>
        <v>1.0674999999999999</v>
      </c>
      <c r="W14" s="3113">
        <f t="shared" ref="W14:W16" si="131">T14</f>
        <v>1.0282</v>
      </c>
      <c r="X14" s="3102"/>
      <c r="Y14" s="3104">
        <f t="shared" ref="Y14:AC14" si="132">IF(D14=0,0,ROUND(AVERAGE(D14:D25)/100,4))</f>
        <v>7.7999999999999996E-3</v>
      </c>
      <c r="Z14" s="3104">
        <f t="shared" si="132"/>
        <v>4.1000000000000003E-3</v>
      </c>
      <c r="AA14" s="3104">
        <f t="shared" si="132"/>
        <v>2.3E-3</v>
      </c>
      <c r="AB14" s="3104">
        <f t="shared" si="132"/>
        <v>8.3999999999999995E-3</v>
      </c>
      <c r="AC14" s="3104">
        <f t="shared" si="132"/>
        <v>6.3E-3</v>
      </c>
      <c r="AD14" s="3104">
        <f t="shared" ref="AD14:AD16" si="133">AA14</f>
        <v>2.3E-3</v>
      </c>
      <c r="AF14" s="3399">
        <f t="shared" si="75"/>
        <v>107.83</v>
      </c>
      <c r="AG14" s="3399">
        <f t="shared" si="76"/>
        <v>104.47</v>
      </c>
      <c r="AH14" s="3399">
        <f t="shared" si="77"/>
        <v>102.82</v>
      </c>
      <c r="AI14" s="3399">
        <f t="shared" si="78"/>
        <v>108.41000000000001</v>
      </c>
      <c r="AJ14" s="3399">
        <f t="shared" si="79"/>
        <v>106.74999999999999</v>
      </c>
      <c r="AK14" s="3399">
        <f t="shared" si="80"/>
        <v>102.82</v>
      </c>
      <c r="AM14" s="3399">
        <f t="shared" si="57"/>
        <v>101.94463165963514</v>
      </c>
      <c r="AN14" s="3399">
        <f t="shared" si="58"/>
        <v>101.67119833001759</v>
      </c>
      <c r="AO14" s="3399">
        <f t="shared" si="59"/>
        <v>104.8255554709467</v>
      </c>
      <c r="AP14" s="3399">
        <f t="shared" si="60"/>
        <v>101.4228301407031</v>
      </c>
      <c r="AQ14" s="3399">
        <f t="shared" si="61"/>
        <v>98.025199768773433</v>
      </c>
      <c r="AR14" s="3399">
        <f t="shared" si="62"/>
        <v>104.8255554709467</v>
      </c>
    </row>
    <row r="15" spans="1:44">
      <c r="A15" s="3085" t="s">
        <v>3240</v>
      </c>
      <c r="B15" s="3134">
        <v>2023</v>
      </c>
      <c r="C15" s="3135">
        <v>2</v>
      </c>
      <c r="D15" s="3135">
        <v>0.91</v>
      </c>
      <c r="E15" s="3135">
        <v>0.66</v>
      </c>
      <c r="F15" s="3135">
        <v>0.47</v>
      </c>
      <c r="G15" s="3135">
        <v>0.96</v>
      </c>
      <c r="H15" s="3141">
        <v>0.71</v>
      </c>
      <c r="I15" s="3136">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9">
        <f t="shared" si="75"/>
        <v>107.55999999999999</v>
      </c>
      <c r="AG15" s="3399">
        <f t="shared" si="76"/>
        <v>103.95</v>
      </c>
      <c r="AH15" s="3399">
        <f t="shared" si="77"/>
        <v>102.50999999999999</v>
      </c>
      <c r="AI15" s="3399">
        <f t="shared" si="78"/>
        <v>108.18</v>
      </c>
      <c r="AJ15" s="3399">
        <f t="shared" si="79"/>
        <v>106.3</v>
      </c>
      <c r="AK15" s="3399">
        <f t="shared" si="80"/>
        <v>102.50999999999999</v>
      </c>
      <c r="AM15" s="3399">
        <f t="shared" si="57"/>
        <v>101.69040564552134</v>
      </c>
      <c r="AN15" s="3399">
        <f t="shared" si="58"/>
        <v>101.16537147265433</v>
      </c>
      <c r="AO15" s="3399">
        <f t="shared" si="59"/>
        <v>104.50160050936765</v>
      </c>
      <c r="AP15" s="3399">
        <f t="shared" si="60"/>
        <v>101.21028853478006</v>
      </c>
      <c r="AQ15" s="3399">
        <f t="shared" si="61"/>
        <v>97.605496135391249</v>
      </c>
      <c r="AR15" s="3399">
        <f t="shared" si="62"/>
        <v>104.50160050936765</v>
      </c>
    </row>
    <row r="16" spans="1:44">
      <c r="A16" s="3085" t="s">
        <v>3238</v>
      </c>
      <c r="B16" s="3134">
        <v>2023</v>
      </c>
      <c r="C16" s="3135">
        <v>1</v>
      </c>
      <c r="D16" s="3135">
        <v>0.89</v>
      </c>
      <c r="E16" s="3135">
        <v>0.74</v>
      </c>
      <c r="F16" s="3135">
        <v>0.56999999999999995</v>
      </c>
      <c r="G16" s="3135">
        <v>0.92</v>
      </c>
      <c r="H16" s="3141">
        <v>0.5</v>
      </c>
      <c r="I16" s="3136">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9">
        <f t="shared" si="75"/>
        <v>106.59</v>
      </c>
      <c r="AG16" s="3399">
        <f t="shared" si="76"/>
        <v>103.25999999999999</v>
      </c>
      <c r="AH16" s="3399">
        <f t="shared" si="77"/>
        <v>102.03</v>
      </c>
      <c r="AI16" s="3399">
        <f t="shared" si="78"/>
        <v>107.14999999999999</v>
      </c>
      <c r="AJ16" s="3399">
        <f t="shared" si="79"/>
        <v>105.55000000000001</v>
      </c>
      <c r="AK16" s="3399">
        <f t="shared" si="80"/>
        <v>102.03</v>
      </c>
      <c r="AM16" s="3399">
        <f t="shared" si="57"/>
        <v>100.77336799675089</v>
      </c>
      <c r="AN16" s="3399">
        <f t="shared" si="58"/>
        <v>100.50205789057652</v>
      </c>
      <c r="AO16" s="3399">
        <f t="shared" si="59"/>
        <v>104.01274062841411</v>
      </c>
      <c r="AP16" s="3399">
        <f t="shared" si="60"/>
        <v>100.24790861210386</v>
      </c>
      <c r="AQ16" s="3399">
        <f t="shared" si="61"/>
        <v>96.917382718092782</v>
      </c>
      <c r="AR16" s="3399">
        <f t="shared" si="62"/>
        <v>104.01274062841411</v>
      </c>
    </row>
    <row r="17" spans="1:44">
      <c r="A17" s="3085" t="s">
        <v>3236</v>
      </c>
      <c r="B17" s="3134">
        <v>2022</v>
      </c>
      <c r="C17" s="3135">
        <v>4</v>
      </c>
      <c r="D17" s="3135">
        <v>0.62</v>
      </c>
      <c r="E17" s="3135">
        <v>0.2</v>
      </c>
      <c r="F17" s="3135">
        <v>0.11</v>
      </c>
      <c r="G17" s="3135">
        <v>0.69</v>
      </c>
      <c r="H17" s="3141">
        <v>0.53</v>
      </c>
      <c r="I17" s="3136">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9">
        <f t="shared" si="75"/>
        <v>105.65</v>
      </c>
      <c r="AG17" s="3399">
        <f t="shared" si="76"/>
        <v>102.50999999999999</v>
      </c>
      <c r="AH17" s="3399">
        <f t="shared" si="77"/>
        <v>101.44999999999999</v>
      </c>
      <c r="AI17" s="3399">
        <f t="shared" si="78"/>
        <v>106.18</v>
      </c>
      <c r="AJ17" s="3399">
        <f t="shared" si="79"/>
        <v>105.02</v>
      </c>
      <c r="AK17" s="3399">
        <f t="shared" si="80"/>
        <v>101.44999999999999</v>
      </c>
      <c r="AM17" s="3399">
        <f t="shared" si="57"/>
        <v>99.884396864655471</v>
      </c>
      <c r="AN17" s="3399">
        <f t="shared" si="58"/>
        <v>99.763805728187918</v>
      </c>
      <c r="AO17" s="3399">
        <f t="shared" si="59"/>
        <v>103.42322822751726</v>
      </c>
      <c r="AP17" s="3399">
        <f t="shared" si="60"/>
        <v>99.334035485635994</v>
      </c>
      <c r="AQ17" s="3399">
        <f t="shared" si="61"/>
        <v>96.435206684669438</v>
      </c>
      <c r="AR17" s="3399">
        <f t="shared" si="62"/>
        <v>103.42322822751726</v>
      </c>
    </row>
    <row r="18" spans="1:44">
      <c r="A18" s="3085" t="s">
        <v>3233</v>
      </c>
      <c r="B18" s="3134">
        <v>2022</v>
      </c>
      <c r="C18" s="3135">
        <v>3</v>
      </c>
      <c r="D18" s="3135">
        <v>0.66</v>
      </c>
      <c r="E18" s="3135">
        <v>0.32</v>
      </c>
      <c r="F18" s="3135">
        <v>0.23</v>
      </c>
      <c r="G18" s="3135">
        <v>0.72</v>
      </c>
      <c r="H18" s="3141">
        <v>0.63</v>
      </c>
      <c r="I18" s="3136">
        <f t="shared" si="101"/>
        <v>0.23</v>
      </c>
      <c r="J18" s="3102"/>
      <c r="K18" s="3103">
        <f t="shared" si="102"/>
        <v>6.6E-3</v>
      </c>
      <c r="L18" s="3104">
        <f t="shared" si="102"/>
        <v>3.2000000000000002E-3</v>
      </c>
      <c r="M18" s="3104">
        <f t="shared" si="102"/>
        <v>2.3E-3</v>
      </c>
      <c r="N18" s="3104">
        <f t="shared" si="102"/>
        <v>7.1999999999999998E-3</v>
      </c>
      <c r="O18" s="3104">
        <f t="shared" si="102"/>
        <v>6.3E-3</v>
      </c>
      <c r="P18" s="3104">
        <f t="shared" si="136"/>
        <v>2.3E-3</v>
      </c>
      <c r="Q18" s="3102"/>
      <c r="R18" s="3113">
        <f>ROUND(IF(项目基本情况!B8="出让",SUMPRODUCT(PRODUCT(1+K18:K24)),SUMPRODUCT(PRODUCT(1+K18:K23))),4)</f>
        <v>1.05</v>
      </c>
      <c r="S18" s="3113">
        <f>ROUND(IF(项目基本情况!B8="出让",SUMPRODUCT(PRODUCT(1+L18:L24)),SUMPRODUCT(PRODUCT(1+L18:L23))),4)</f>
        <v>1.0229999999999999</v>
      </c>
      <c r="T18" s="3113">
        <f>ROUND(IF(项目基本情况!B8="出让",SUMPRODUCT(PRODUCT(1+M18:M24)),SUMPRODUCT(PRODUCT(1+M18:M23))),4)</f>
        <v>1.0134000000000001</v>
      </c>
      <c r="U18" s="3113">
        <f>ROUND(IF(项目基本情况!B8="出让",SUMPRODUCT(PRODUCT(1+N18:N24)),SUMPRODUCT(PRODUCT(1+N18:N23))),4)</f>
        <v>1.0545</v>
      </c>
      <c r="V18" s="3113">
        <f>ROUND(IF(项目基本情况!B8="出让",SUMPRODUCT(PRODUCT(1+O18:O24)),SUMPRODUCT(PRODUCT(1+O18:O23))),4)</f>
        <v>1.0447</v>
      </c>
      <c r="W18" s="3113">
        <f t="shared" si="137"/>
        <v>1.0134000000000001</v>
      </c>
      <c r="X18" s="3102"/>
      <c r="Y18" s="3104">
        <f>IF(D18=0,0,ROUND(AVERAGE(D18:D24)/100,4))</f>
        <v>8.3999999999999995E-3</v>
      </c>
      <c r="Z18" s="3104">
        <f>IF(E18=0,0,ROUND(AVERAGE(E18:E24)/100,4))</f>
        <v>3.5000000000000001E-3</v>
      </c>
      <c r="AA18" s="3104">
        <f>IF(F18=0,0,ROUND(AVERAGE(F18:F24)/100,4))</f>
        <v>1.5E-3</v>
      </c>
      <c r="AB18" s="3104">
        <f>IF(G18=0,0,ROUND(AVERAGE(G18:G24)/100,4))</f>
        <v>9.1999999999999998E-3</v>
      </c>
      <c r="AC18" s="3104">
        <f>IF(H18=0,0,ROUND(AVERAGE(H18:H24)/100,4))</f>
        <v>6.7999999999999996E-3</v>
      </c>
      <c r="AD18" s="3104">
        <f t="shared" si="103"/>
        <v>1.5E-3</v>
      </c>
      <c r="AF18" s="3399">
        <f t="shared" si="75"/>
        <v>105</v>
      </c>
      <c r="AG18" s="3399">
        <f t="shared" si="76"/>
        <v>102.3</v>
      </c>
      <c r="AH18" s="3399">
        <f t="shared" si="77"/>
        <v>101.34</v>
      </c>
      <c r="AI18" s="3399">
        <f t="shared" si="78"/>
        <v>105.45</v>
      </c>
      <c r="AJ18" s="3399">
        <f t="shared" si="79"/>
        <v>104.47</v>
      </c>
      <c r="AK18" s="3399">
        <f t="shared" si="80"/>
        <v>101.34</v>
      </c>
      <c r="AM18" s="3399">
        <f t="shared" si="57"/>
        <v>99.268929501744651</v>
      </c>
      <c r="AN18" s="3399">
        <f t="shared" si="58"/>
        <v>99.564676375437045</v>
      </c>
      <c r="AO18" s="3399">
        <f t="shared" si="59"/>
        <v>103.30958768106807</v>
      </c>
      <c r="AP18" s="3399">
        <f t="shared" si="60"/>
        <v>98.653327525708619</v>
      </c>
      <c r="AQ18" s="3399">
        <f t="shared" si="61"/>
        <v>95.926794672903043</v>
      </c>
      <c r="AR18" s="3399">
        <f t="shared" si="62"/>
        <v>103.30958768106807</v>
      </c>
    </row>
    <row r="19" spans="1:44">
      <c r="A19" s="3085" t="s">
        <v>3234</v>
      </c>
      <c r="B19" s="3134">
        <v>2022</v>
      </c>
      <c r="C19" s="3135">
        <v>2</v>
      </c>
      <c r="D19" s="3135">
        <v>0.93</v>
      </c>
      <c r="E19" s="3135">
        <v>0.15</v>
      </c>
      <c r="F19" s="3135">
        <v>0.01</v>
      </c>
      <c r="G19" s="3135">
        <v>1.05</v>
      </c>
      <c r="H19" s="3141">
        <v>1.08</v>
      </c>
      <c r="I19" s="3136">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9">
        <f t="shared" si="75"/>
        <v>104.30999999999999</v>
      </c>
      <c r="AG19" s="3399">
        <f t="shared" si="76"/>
        <v>101.97</v>
      </c>
      <c r="AH19" s="3399">
        <f t="shared" si="77"/>
        <v>101.1</v>
      </c>
      <c r="AI19" s="3399">
        <f t="shared" si="78"/>
        <v>104.69</v>
      </c>
      <c r="AJ19" s="3399">
        <f t="shared" si="79"/>
        <v>103.82000000000001</v>
      </c>
      <c r="AK19" s="3399">
        <f t="shared" si="80"/>
        <v>101.1</v>
      </c>
      <c r="AM19" s="3399">
        <f t="shared" si="57"/>
        <v>98.618050369307227</v>
      </c>
      <c r="AN19" s="3399">
        <f t="shared" si="58"/>
        <v>99.247085701193214</v>
      </c>
      <c r="AO19" s="3399">
        <f t="shared" si="59"/>
        <v>103.07252088303709</v>
      </c>
      <c r="AP19" s="3399">
        <f t="shared" si="60"/>
        <v>97.948101197089571</v>
      </c>
      <c r="AQ19" s="3399">
        <f t="shared" si="61"/>
        <v>95.326239364904154</v>
      </c>
      <c r="AR19" s="3399">
        <f t="shared" si="62"/>
        <v>103.07252088303709</v>
      </c>
    </row>
    <row r="20" spans="1:44">
      <c r="A20" s="3085" t="s">
        <v>2770</v>
      </c>
      <c r="B20" s="3134">
        <v>2022</v>
      </c>
      <c r="C20" s="3135">
        <v>1</v>
      </c>
      <c r="D20" s="3135">
        <v>0.89</v>
      </c>
      <c r="E20" s="3135">
        <v>0.44</v>
      </c>
      <c r="F20" s="3135">
        <v>0.37</v>
      </c>
      <c r="G20" s="3135">
        <v>0.96</v>
      </c>
      <c r="H20" s="3141">
        <v>0.64</v>
      </c>
      <c r="I20" s="3136">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9">
        <f t="shared" si="75"/>
        <v>103.35000000000001</v>
      </c>
      <c r="AG20" s="3399">
        <f t="shared" si="76"/>
        <v>101.82</v>
      </c>
      <c r="AH20" s="3399">
        <f t="shared" si="77"/>
        <v>101.08999999999999</v>
      </c>
      <c r="AI20" s="3399">
        <f t="shared" si="78"/>
        <v>103.61</v>
      </c>
      <c r="AJ20" s="3399">
        <f t="shared" si="79"/>
        <v>102.71</v>
      </c>
      <c r="AK20" s="3399">
        <f t="shared" si="80"/>
        <v>101.08999999999999</v>
      </c>
      <c r="AM20" s="3399">
        <f t="shared" si="57"/>
        <v>97.709353382846743</v>
      </c>
      <c r="AN20" s="3399">
        <f t="shared" si="58"/>
        <v>99.098438044127022</v>
      </c>
      <c r="AO20" s="3399">
        <f t="shared" si="59"/>
        <v>103.06221466157093</v>
      </c>
      <c r="AP20" s="3399">
        <f t="shared" si="60"/>
        <v>96.930332703700714</v>
      </c>
      <c r="AQ20" s="3399">
        <f t="shared" si="61"/>
        <v>94.307716031761146</v>
      </c>
      <c r="AR20" s="3399">
        <f t="shared" si="62"/>
        <v>103.06221466157093</v>
      </c>
    </row>
    <row r="21" spans="1:44">
      <c r="A21" s="3085" t="s">
        <v>2771</v>
      </c>
      <c r="B21" s="3134">
        <v>2021</v>
      </c>
      <c r="C21" s="3135">
        <v>4</v>
      </c>
      <c r="D21" s="3135">
        <v>1.03</v>
      </c>
      <c r="E21" s="3135">
        <v>0.24</v>
      </c>
      <c r="F21" s="3135">
        <v>7.0000000000000007E-2</v>
      </c>
      <c r="G21" s="3135">
        <v>1.17</v>
      </c>
      <c r="H21" s="3141">
        <v>0.55000000000000004</v>
      </c>
      <c r="I21" s="3136">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9">
        <f t="shared" si="75"/>
        <v>102.44</v>
      </c>
      <c r="AG21" s="3399">
        <f t="shared" si="76"/>
        <v>101.38000000000001</v>
      </c>
      <c r="AH21" s="3399">
        <f t="shared" si="77"/>
        <v>100.72000000000001</v>
      </c>
      <c r="AI21" s="3399">
        <f t="shared" si="78"/>
        <v>102.62</v>
      </c>
      <c r="AJ21" s="3399">
        <f t="shared" si="79"/>
        <v>102.05</v>
      </c>
      <c r="AK21" s="3399">
        <f t="shared" si="80"/>
        <v>100.72000000000001</v>
      </c>
      <c r="AM21" s="3399">
        <f t="shared" si="57"/>
        <v>96.847411421198089</v>
      </c>
      <c r="AN21" s="3399">
        <f t="shared" si="58"/>
        <v>98.664315057872386</v>
      </c>
      <c r="AO21" s="3399">
        <f t="shared" si="59"/>
        <v>102.68229018787579</v>
      </c>
      <c r="AP21" s="3399">
        <f t="shared" si="60"/>
        <v>96.008649666898478</v>
      </c>
      <c r="AQ21" s="3399">
        <f t="shared" si="61"/>
        <v>93.70798492822054</v>
      </c>
      <c r="AR21" s="3399">
        <f t="shared" si="62"/>
        <v>102.68229018787579</v>
      </c>
    </row>
    <row r="22" spans="1:44">
      <c r="A22" s="3085" t="s">
        <v>2772</v>
      </c>
      <c r="B22" s="3134">
        <v>2021</v>
      </c>
      <c r="C22" s="3135">
        <v>3</v>
      </c>
      <c r="D22" s="3135">
        <v>0.47</v>
      </c>
      <c r="E22" s="3135">
        <v>0.41</v>
      </c>
      <c r="F22" s="3135">
        <v>0.24</v>
      </c>
      <c r="G22" s="3135">
        <v>0.48</v>
      </c>
      <c r="H22" s="3141">
        <v>0.48</v>
      </c>
      <c r="I22" s="3136">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9">
        <f t="shared" si="75"/>
        <v>101.39</v>
      </c>
      <c r="AG22" s="3399">
        <f t="shared" si="76"/>
        <v>101.13000000000001</v>
      </c>
      <c r="AH22" s="3399">
        <f t="shared" si="77"/>
        <v>100.64999999999999</v>
      </c>
      <c r="AI22" s="3399">
        <f t="shared" si="78"/>
        <v>101.42999999999999</v>
      </c>
      <c r="AJ22" s="3399">
        <f t="shared" si="79"/>
        <v>101.49</v>
      </c>
      <c r="AK22" s="3399">
        <f t="shared" si="80"/>
        <v>100.64999999999999</v>
      </c>
      <c r="AM22" s="3399">
        <f t="shared" si="57"/>
        <v>95.860052876569426</v>
      </c>
      <c r="AN22" s="3399">
        <f t="shared" si="58"/>
        <v>98.428087647518353</v>
      </c>
      <c r="AO22" s="3399">
        <f t="shared" si="59"/>
        <v>102.61046286387109</v>
      </c>
      <c r="AP22" s="3399">
        <f t="shared" si="60"/>
        <v>94.898339099435077</v>
      </c>
      <c r="AQ22" s="3399">
        <f t="shared" si="61"/>
        <v>93.195410172273029</v>
      </c>
      <c r="AR22" s="3399">
        <f t="shared" si="62"/>
        <v>102.61046286387109</v>
      </c>
    </row>
    <row r="23" spans="1:44">
      <c r="A23" s="3085" t="s">
        <v>2773</v>
      </c>
      <c r="B23" s="3134">
        <v>2021</v>
      </c>
      <c r="C23" s="3135">
        <v>2</v>
      </c>
      <c r="D23" s="3135">
        <v>0.92</v>
      </c>
      <c r="E23" s="3135">
        <v>0.72</v>
      </c>
      <c r="F23" s="3135">
        <v>0.41</v>
      </c>
      <c r="G23" s="3135">
        <v>0.95</v>
      </c>
      <c r="H23" s="3141">
        <v>1.01</v>
      </c>
      <c r="I23" s="3136">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9">
        <f>$AF$24*R23</f>
        <v>100.92000000000002</v>
      </c>
      <c r="AG23" s="3399">
        <f>$AG$24*S23</f>
        <v>100.72000000000001</v>
      </c>
      <c r="AH23" s="3399">
        <f>$AH$24*T23</f>
        <v>100.41</v>
      </c>
      <c r="AI23" s="3399">
        <f>$AI$24*U23</f>
        <v>100.95</v>
      </c>
      <c r="AJ23" s="3399">
        <f>$AJ$24*V23</f>
        <v>101.01</v>
      </c>
      <c r="AK23" s="3399">
        <f>$AK$24*W23</f>
        <v>100.41</v>
      </c>
      <c r="AM23" s="3399">
        <f t="shared" si="57"/>
        <v>95.411618270697161</v>
      </c>
      <c r="AN23" s="3399">
        <f t="shared" si="58"/>
        <v>98.02618030825451</v>
      </c>
      <c r="AO23" s="3399">
        <f t="shared" si="59"/>
        <v>102.36478737417308</v>
      </c>
      <c r="AP23" s="3399">
        <f t="shared" si="60"/>
        <v>94.445003084628866</v>
      </c>
      <c r="AQ23" s="3399">
        <f t="shared" si="61"/>
        <v>92.750209168265357</v>
      </c>
      <c r="AR23" s="3399">
        <f t="shared" si="62"/>
        <v>102.36478737417308</v>
      </c>
    </row>
    <row r="24" spans="1:44" ht="14.25" thickBot="1">
      <c r="A24" s="3087" t="s">
        <v>2774</v>
      </c>
      <c r="B24" s="3142">
        <v>2021</v>
      </c>
      <c r="C24" s="3143">
        <v>1</v>
      </c>
      <c r="D24" s="3143">
        <v>0.97</v>
      </c>
      <c r="E24" s="3143">
        <v>0.16</v>
      </c>
      <c r="F24" s="3143">
        <v>-0.25</v>
      </c>
      <c r="G24" s="3143">
        <v>1.1100000000000001</v>
      </c>
      <c r="H24" s="3144">
        <v>0.36</v>
      </c>
      <c r="I24" s="3145">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400">
        <v>100</v>
      </c>
      <c r="AG24" s="3400">
        <v>100</v>
      </c>
      <c r="AH24" s="3400">
        <v>100</v>
      </c>
      <c r="AI24" s="3400">
        <v>100</v>
      </c>
      <c r="AJ24" s="3400">
        <v>100</v>
      </c>
      <c r="AK24" s="3400">
        <v>100</v>
      </c>
      <c r="AM24" s="3399">
        <f t="shared" si="57"/>
        <v>94.541833403386008</v>
      </c>
      <c r="AN24" s="3399">
        <f t="shared" si="58"/>
        <v>97.325437160697476</v>
      </c>
      <c r="AO24" s="3399">
        <f t="shared" si="59"/>
        <v>101.94680547173894</v>
      </c>
      <c r="AP24" s="3399">
        <f t="shared" si="60"/>
        <v>93.556219004090011</v>
      </c>
      <c r="AQ24" s="3399">
        <f t="shared" si="61"/>
        <v>91.82279889938161</v>
      </c>
      <c r="AR24" s="3399">
        <f t="shared" si="62"/>
        <v>101.94680547173894</v>
      </c>
    </row>
    <row r="25" spans="1:44" ht="14.25" thickTop="1"/>
    <row r="26" spans="1:44">
      <c r="A26" s="3386" t="s">
        <v>3255</v>
      </c>
    </row>
    <row r="27" spans="1:44">
      <c r="I27" s="2747" t="s">
        <v>2785</v>
      </c>
    </row>
    <row r="29" spans="1:44">
      <c r="A29" s="2440"/>
      <c r="B29" s="3088" t="s">
        <v>3254</v>
      </c>
      <c r="C29" s="3089"/>
      <c r="D29" s="3089"/>
      <c r="E29" s="3089"/>
      <c r="F29" s="3089"/>
      <c r="G29" s="3089"/>
      <c r="H29" s="3089"/>
      <c r="I29" s="3089"/>
      <c r="J29" s="3090"/>
      <c r="K29" s="3089" t="s">
        <v>2778</v>
      </c>
      <c r="L29" s="3089"/>
      <c r="M29" s="3089"/>
      <c r="N29" s="3089"/>
      <c r="O29" s="3089"/>
      <c r="P29" s="3089"/>
      <c r="Q29" s="3090"/>
      <c r="R29" s="3695" t="s">
        <v>2793</v>
      </c>
      <c r="S29" s="3696"/>
      <c r="T29" s="3696"/>
      <c r="U29" s="3696"/>
      <c r="V29" s="3696"/>
      <c r="W29" s="3696"/>
      <c r="X29" s="3090"/>
      <c r="Y29" s="3695" t="s">
        <v>1925</v>
      </c>
      <c r="Z29" s="3696"/>
      <c r="AA29" s="3696"/>
      <c r="AB29" s="3696"/>
      <c r="AC29" s="3696"/>
      <c r="AD29" s="3696"/>
    </row>
    <row r="30" spans="1:44" ht="14.25" thickBot="1">
      <c r="A30" s="3083"/>
      <c r="B30" s="3091"/>
      <c r="C30" s="3092"/>
      <c r="D30" s="2424" t="s">
        <v>2780</v>
      </c>
      <c r="E30" s="2425" t="s">
        <v>2781</v>
      </c>
      <c r="F30" s="2425" t="s">
        <v>2782</v>
      </c>
      <c r="G30" s="2425" t="s">
        <v>1469</v>
      </c>
      <c r="H30" s="2425"/>
      <c r="I30" s="2425" t="s">
        <v>2726</v>
      </c>
      <c r="J30" s="3093"/>
      <c r="K30" s="2424" t="s">
        <v>2780</v>
      </c>
      <c r="L30" s="2425" t="s">
        <v>2781</v>
      </c>
      <c r="M30" s="2425" t="s">
        <v>2782</v>
      </c>
      <c r="N30" s="2425" t="s">
        <v>2783</v>
      </c>
      <c r="O30" s="2425"/>
      <c r="P30" s="2425" t="s">
        <v>2726</v>
      </c>
      <c r="Q30" s="3093"/>
      <c r="R30" s="2424" t="s">
        <v>2794</v>
      </c>
      <c r="S30" s="2425" t="s">
        <v>2795</v>
      </c>
      <c r="T30" s="2425" t="s">
        <v>2782</v>
      </c>
      <c r="U30" s="2425" t="s">
        <v>1469</v>
      </c>
      <c r="V30" s="2425"/>
      <c r="W30" s="2425" t="s">
        <v>2796</v>
      </c>
      <c r="X30" s="3093"/>
      <c r="Y30" s="2424" t="s">
        <v>2779</v>
      </c>
      <c r="Z30" s="2425" t="s">
        <v>2781</v>
      </c>
      <c r="AA30" s="2425" t="s">
        <v>2782</v>
      </c>
      <c r="AB30" s="2425" t="s">
        <v>1469</v>
      </c>
      <c r="AC30" s="2425"/>
      <c r="AD30" s="2425" t="s">
        <v>2799</v>
      </c>
      <c r="AG30" t="s">
        <v>2727</v>
      </c>
      <c r="AH30" t="s">
        <v>1212</v>
      </c>
      <c r="AI30" t="s">
        <v>851</v>
      </c>
      <c r="AK30" t="s">
        <v>2725</v>
      </c>
      <c r="AN30" t="s">
        <v>2727</v>
      </c>
      <c r="AO30" t="s">
        <v>1212</v>
      </c>
      <c r="AP30" t="s">
        <v>851</v>
      </c>
      <c r="AR30" t="s">
        <v>2725</v>
      </c>
    </row>
    <row r="31" spans="1:44">
      <c r="A31" s="3084" t="s">
        <v>2775</v>
      </c>
      <c r="B31" s="3094"/>
      <c r="C31" s="3095"/>
      <c r="D31" s="3095"/>
      <c r="E31" s="3095">
        <f>ROUND(AVERAGEIF(E32:E52,"&lt;&gt;0"),2)</f>
        <v>0.09</v>
      </c>
      <c r="F31" s="3095">
        <f>ROUND(AVERAGEIF(F32:F52,"&lt;&gt;0"),2)</f>
        <v>0.01</v>
      </c>
      <c r="G31" s="3095">
        <f>ROUND(AVERAGEIF(G32:G52,"&lt;&gt;0"),2)</f>
        <v>0.24</v>
      </c>
      <c r="H31" s="3095"/>
      <c r="I31" s="3095">
        <f>F31</f>
        <v>0.01</v>
      </c>
      <c r="J31" s="3096"/>
      <c r="K31" s="3097"/>
      <c r="L31" s="3098">
        <f>ROUND(AVERAGEIF(L32:L52,"&lt;&gt;0"),4)</f>
        <v>8.9999999999999998E-4</v>
      </c>
      <c r="M31" s="3098">
        <f>ROUND(AVERAGEIF(M32:M52,"&lt;&gt;0"),4)</f>
        <v>1E-4</v>
      </c>
      <c r="N31" s="3098">
        <f>ROUND(AVERAGEIF(N32:N52,"&lt;&gt;0"),4)</f>
        <v>2.3999999999999998E-3</v>
      </c>
      <c r="O31" s="3098"/>
      <c r="P31" s="3098">
        <f>M31</f>
        <v>1E-4</v>
      </c>
      <c r="Q31" s="3096"/>
      <c r="R31" s="3111"/>
      <c r="S31" s="3112">
        <f>ROUND(SUMPRODUCT(PRODUCT(1+L32:L52)),4)</f>
        <v>1.0153000000000001</v>
      </c>
      <c r="T31" s="3112">
        <f>ROUND(SUMPRODUCT(PRODUCT(1+M32:M52)),4)</f>
        <v>1.0016</v>
      </c>
      <c r="U31" s="3112">
        <f>ROUND(SUMPRODUCT(PRODUCT(1+N32:N52)),4)</f>
        <v>1.044</v>
      </c>
      <c r="V31" s="3112"/>
      <c r="W31" s="3111">
        <f>T31</f>
        <v>1.0016</v>
      </c>
      <c r="X31" s="3096"/>
      <c r="Y31" s="3118"/>
      <c r="Z31" s="3119">
        <f>ROUND(AVERAGEIF(Z32:Z52,"&lt;&gt;0"),4)</f>
        <v>3.5000000000000001E-3</v>
      </c>
      <c r="AA31" s="3120">
        <f>ROUND(AVERAGEIF(AA32:AA52,"&lt;&gt;0"),4)</f>
        <v>2.8E-3</v>
      </c>
      <c r="AB31" s="3118">
        <f>ROUND(AVERAGEIF(AB32:AB52,"&lt;&gt;0"),4)</f>
        <v>6.6E-3</v>
      </c>
      <c r="AC31" s="3121"/>
      <c r="AD31" s="3118">
        <f>AA31</f>
        <v>2.8E-3</v>
      </c>
    </row>
    <row r="32" spans="1:44">
      <c r="A32" s="2440"/>
      <c r="B32" s="3099"/>
      <c r="C32" s="2440"/>
      <c r="D32" s="2440"/>
      <c r="E32" s="2440"/>
      <c r="F32" s="2440"/>
      <c r="G32" s="2440"/>
      <c r="H32" s="2440"/>
      <c r="I32" s="2440"/>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7" t="s">
        <v>3303</v>
      </c>
      <c r="B33" s="3134">
        <v>2025</v>
      </c>
      <c r="C33" s="3135">
        <v>4</v>
      </c>
      <c r="D33" s="3135"/>
      <c r="E33" s="3135">
        <v>0</v>
      </c>
      <c r="F33" s="3135">
        <v>0</v>
      </c>
      <c r="G33" s="3135">
        <v>0</v>
      </c>
      <c r="H33" s="3135"/>
      <c r="I33" s="3136">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1.0118</v>
      </c>
      <c r="T33" s="3113">
        <f>ROUND(IF(项目基本情况!$B$8="出让",SUMPRODUCT(PRODUCT(1+M33:M$52)),SUMPRODUCT(PRODUCT(1+M33:M$51))),4)</f>
        <v>0.99680000000000002</v>
      </c>
      <c r="U33" s="3113">
        <f>ROUND(IF(项目基本情况!$B$8="出让",SUMPRODUCT(PRODUCT(1+N33:N$52)),SUMPRODUCT(PRODUCT(1+N33:N$51))),4)</f>
        <v>1.0338000000000001</v>
      </c>
      <c r="V33" s="3113"/>
      <c r="W33" s="3113">
        <f t="shared" ref="W33:W39" si="143">T33</f>
        <v>0.99680000000000002</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9">
        <f t="shared" ref="AG33:AG36" si="148">$AG$52*S33</f>
        <v>101.18</v>
      </c>
      <c r="AH33" s="3399">
        <f t="shared" ref="AH33:AH36" si="149">$AH$52*T33</f>
        <v>99.68</v>
      </c>
      <c r="AI33" s="3399">
        <f t="shared" ref="AI33:AI36" si="150">$AI$52*U33</f>
        <v>103.38000000000001</v>
      </c>
      <c r="AJ33" s="3399"/>
      <c r="AK33" s="3399">
        <f t="shared" ref="AK33:AK36" si="151">$AK$52*W33</f>
        <v>99.68</v>
      </c>
      <c r="AN33" s="3398">
        <v>100</v>
      </c>
      <c r="AO33" s="3398">
        <v>100</v>
      </c>
      <c r="AP33" s="3398">
        <v>100</v>
      </c>
      <c r="AQ33" s="3398"/>
      <c r="AR33" s="3398">
        <v>100</v>
      </c>
    </row>
    <row r="34" spans="1:44">
      <c r="A34" s="3387" t="s">
        <v>3302</v>
      </c>
      <c r="B34" s="3134">
        <v>2025</v>
      </c>
      <c r="C34" s="3135">
        <v>3</v>
      </c>
      <c r="D34" s="3135"/>
      <c r="E34" s="3135">
        <v>0</v>
      </c>
      <c r="F34" s="3135">
        <v>0</v>
      </c>
      <c r="G34" s="3135">
        <v>0</v>
      </c>
      <c r="H34" s="3135"/>
      <c r="I34" s="3136">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1.0118</v>
      </c>
      <c r="T34" s="3113">
        <f>ROUND(IF(项目基本情况!$B$8="出让",SUMPRODUCT(PRODUCT(1+M34:M$52)),SUMPRODUCT(PRODUCT(1+M34:M$51))),4)</f>
        <v>0.99680000000000002</v>
      </c>
      <c r="U34" s="3113">
        <f>ROUND(IF(项目基本情况!$B$8="出让",SUMPRODUCT(PRODUCT(1+N34:N$52)),SUMPRODUCT(PRODUCT(1+N34:N$51))),4)</f>
        <v>1.0338000000000001</v>
      </c>
      <c r="V34" s="3113"/>
      <c r="W34" s="3113">
        <f t="shared" si="143"/>
        <v>0.99680000000000002</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9">
        <f t="shared" si="148"/>
        <v>101.18</v>
      </c>
      <c r="AH34" s="3399">
        <f t="shared" si="149"/>
        <v>99.68</v>
      </c>
      <c r="AI34" s="3399">
        <f t="shared" si="150"/>
        <v>103.38000000000001</v>
      </c>
      <c r="AJ34" s="3399"/>
      <c r="AK34" s="3399">
        <f t="shared" si="151"/>
        <v>99.68</v>
      </c>
      <c r="AN34" s="3399">
        <f>AN33/(1+E33/100)</f>
        <v>100</v>
      </c>
      <c r="AO34" s="3399">
        <f t="shared" ref="AO34:AR34" si="159">AO33/(1+F33/100)</f>
        <v>100</v>
      </c>
      <c r="AP34" s="3399">
        <f t="shared" si="159"/>
        <v>100</v>
      </c>
      <c r="AQ34" s="3399"/>
      <c r="AR34" s="3399">
        <f t="shared" si="159"/>
        <v>100</v>
      </c>
    </row>
    <row r="35" spans="1:44">
      <c r="A35" s="3086" t="s">
        <v>3306</v>
      </c>
      <c r="B35" s="3137">
        <v>2025</v>
      </c>
      <c r="C35" s="3138">
        <v>2</v>
      </c>
      <c r="D35" s="3138"/>
      <c r="E35" s="3138">
        <v>-0.31</v>
      </c>
      <c r="F35" s="3138">
        <v>-1.03</v>
      </c>
      <c r="G35" s="3138">
        <v>0.03</v>
      </c>
      <c r="H35" s="3139"/>
      <c r="I35" s="3140">
        <f t="shared" ref="I35" si="160">F35</f>
        <v>-1.03</v>
      </c>
      <c r="J35" s="3105"/>
      <c r="K35" s="3106"/>
      <c r="L35" s="3107">
        <f t="shared" ref="L35" si="161">E35/100</f>
        <v>-3.0999999999999999E-3</v>
      </c>
      <c r="M35" s="3107">
        <f t="shared" ref="M35" si="162">F35/100</f>
        <v>-1.03E-2</v>
      </c>
      <c r="N35" s="3107">
        <f t="shared" ref="N35" si="163">G35/100</f>
        <v>2.9999999999999997E-4</v>
      </c>
      <c r="O35" s="3107"/>
      <c r="P35" s="3107">
        <f t="shared" si="142"/>
        <v>-1.03E-2</v>
      </c>
      <c r="Q35" s="3105"/>
      <c r="R35" s="3105"/>
      <c r="S35" s="3105">
        <f>ROUND(IF(项目基本情况!$B$8="出让",SUMPRODUCT(PRODUCT(1+L35:L$52)),SUMPRODUCT(PRODUCT(1+L35:L$51))),4)</f>
        <v>1.0118</v>
      </c>
      <c r="T35" s="3105">
        <f>ROUND(IF(项目基本情况!$B$8="出让",SUMPRODUCT(PRODUCT(1+M35:M$52)),SUMPRODUCT(PRODUCT(1+M35:M$51))),4)</f>
        <v>0.99680000000000002</v>
      </c>
      <c r="U35" s="3105">
        <f>ROUND(IF(项目基本情况!$B$8="出让",SUMPRODUCT(PRODUCT(1+N35:N$52)),SUMPRODUCT(PRODUCT(1+N35:N$51))),4)</f>
        <v>1.0338000000000001</v>
      </c>
      <c r="V35" s="3105"/>
      <c r="W35" s="3105">
        <f t="shared" si="143"/>
        <v>0.99680000000000002</v>
      </c>
      <c r="X35" s="3102"/>
      <c r="Y35" s="3104"/>
      <c r="Z35" s="3122">
        <f t="shared" ref="Z35" si="164">IF(E35=0,0,ROUND(AVERAGE(E35:E48)/100,4))</f>
        <v>-2.9999999999999997E-4</v>
      </c>
      <c r="AA35" s="3122">
        <f t="shared" ref="AA35" si="165">IF(F35=0,0,ROUND(AVERAGE(F35:F48)/100,4))</f>
        <v>-8.0000000000000004E-4</v>
      </c>
      <c r="AB35" s="3122">
        <f t="shared" ref="AB35" si="166">IF(G35=0,0,ROUND(AVERAGE(G35:G48)/100,4))</f>
        <v>5.0000000000000001E-4</v>
      </c>
      <c r="AC35" s="3124"/>
      <c r="AD35" s="3104">
        <f t="shared" si="147"/>
        <v>-8.0000000000000004E-4</v>
      </c>
      <c r="AG35" s="3399">
        <f t="shared" si="148"/>
        <v>101.18</v>
      </c>
      <c r="AH35" s="3399">
        <f t="shared" si="149"/>
        <v>99.68</v>
      </c>
      <c r="AI35" s="3399">
        <f t="shared" si="150"/>
        <v>103.38000000000001</v>
      </c>
      <c r="AJ35" s="3399"/>
      <c r="AK35" s="3399">
        <f t="shared" si="151"/>
        <v>99.68</v>
      </c>
      <c r="AN35" s="3399">
        <f t="shared" ref="AN35:AN52" si="167">AN34/(1+E34/100)</f>
        <v>100</v>
      </c>
      <c r="AO35" s="3399">
        <f t="shared" ref="AO35:AO52" si="168">AO34/(1+F34/100)</f>
        <v>100</v>
      </c>
      <c r="AP35" s="3399">
        <f t="shared" ref="AP35:AP52" si="169">AP34/(1+G34/100)</f>
        <v>100</v>
      </c>
      <c r="AQ35" s="3399"/>
      <c r="AR35" s="3399">
        <f t="shared" ref="AR35:AR52" si="170">AR34/(1+I34/100)</f>
        <v>100</v>
      </c>
    </row>
    <row r="36" spans="1:44">
      <c r="A36" s="3387" t="s">
        <v>3250</v>
      </c>
      <c r="B36" s="3134">
        <v>2025</v>
      </c>
      <c r="C36" s="3135">
        <v>1</v>
      </c>
      <c r="D36" s="3135"/>
      <c r="E36" s="3135">
        <v>-1.47</v>
      </c>
      <c r="F36" s="3135">
        <v>-0.98</v>
      </c>
      <c r="G36" s="3135">
        <v>-0.51</v>
      </c>
      <c r="H36" s="3135"/>
      <c r="I36" s="3136">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9">
        <f t="shared" si="148"/>
        <v>101.49</v>
      </c>
      <c r="AH36" s="3399">
        <f t="shared" si="149"/>
        <v>100.72000000000001</v>
      </c>
      <c r="AI36" s="3399">
        <f t="shared" si="150"/>
        <v>103.35000000000001</v>
      </c>
      <c r="AJ36" s="3399"/>
      <c r="AK36" s="3399">
        <f t="shared" si="151"/>
        <v>100.72000000000001</v>
      </c>
      <c r="AN36" s="3399">
        <f t="shared" si="167"/>
        <v>100.31096398836392</v>
      </c>
      <c r="AO36" s="3399">
        <f t="shared" si="168"/>
        <v>101.04071940992219</v>
      </c>
      <c r="AP36" s="3399">
        <f t="shared" si="169"/>
        <v>99.970008997300809</v>
      </c>
      <c r="AQ36" s="3399"/>
      <c r="AR36" s="3399">
        <f t="shared" si="170"/>
        <v>101.04071940992219</v>
      </c>
    </row>
    <row r="37" spans="1:44">
      <c r="A37" s="3387" t="s">
        <v>3305</v>
      </c>
      <c r="B37" s="3134">
        <v>2024</v>
      </c>
      <c r="C37" s="3135">
        <v>4</v>
      </c>
      <c r="D37" s="3135"/>
      <c r="E37" s="3135">
        <v>-0.61</v>
      </c>
      <c r="F37" s="3135">
        <v>-0.71</v>
      </c>
      <c r="G37" s="3135">
        <v>-0.88</v>
      </c>
      <c r="H37" s="3135"/>
      <c r="I37" s="3136">
        <f t="shared" ref="I37" si="178">F37</f>
        <v>-0.71</v>
      </c>
      <c r="J37" s="3102"/>
      <c r="K37" s="3103"/>
      <c r="L37" s="3104">
        <f t="shared" ref="L37" si="179">E37/100</f>
        <v>-6.0999999999999995E-3</v>
      </c>
      <c r="M37" s="3104">
        <f t="shared" ref="M37" si="180">F37/100</f>
        <v>-7.0999999999999995E-3</v>
      </c>
      <c r="N37" s="3104">
        <f t="shared" ref="N37" si="181">G37/100</f>
        <v>-8.8000000000000005E-3</v>
      </c>
      <c r="O37" s="3104"/>
      <c r="P37" s="3104">
        <f t="shared" si="142"/>
        <v>-7.0999999999999995E-3</v>
      </c>
      <c r="Q37" s="3102"/>
      <c r="R37" s="3113"/>
      <c r="S37" s="3113">
        <f>ROUND(IF(项目基本情况!$B$8="出让",SUMPRODUCT(PRODUCT(1+L37:L$52)),SUMPRODUCT(PRODUCT(1+L37:L$51))),4)</f>
        <v>1.0301</v>
      </c>
      <c r="T37" s="3113">
        <f>ROUND(IF(项目基本情况!$B$8="出让",SUMPRODUCT(PRODUCT(1+M37:M$52)),SUMPRODUCT(PRODUCT(1+M37:M$51))),4)</f>
        <v>1.0170999999999999</v>
      </c>
      <c r="U37" s="3113">
        <f>ROUND(IF(项目基本情况!$B$8="出让",SUMPRODUCT(PRODUCT(1+N37:N$52)),SUMPRODUCT(PRODUCT(1+N37:N$51))),4)</f>
        <v>1.0387999999999999</v>
      </c>
      <c r="V37" s="3113"/>
      <c r="W37" s="3113">
        <f t="shared" si="143"/>
        <v>1.0170999999999999</v>
      </c>
      <c r="X37" s="3105"/>
      <c r="Y37" s="3107"/>
      <c r="Z37" s="3125">
        <f t="shared" ref="Z37" si="182">IF(E37=0,0,ROUND(AVERAGE(E37:E50)/100,4))</f>
        <v>1.6999999999999999E-3</v>
      </c>
      <c r="AA37" s="3126">
        <f t="shared" ref="AA37" si="183">IF(F37=0,0,ROUND(AVERAGE(F37:F50)/100,4))</f>
        <v>8.9999999999999998E-4</v>
      </c>
      <c r="AB37" s="3107">
        <f t="shared" ref="AB37" si="184">IF(G37=0,0,ROUND(AVERAGE(G37:G50)/100,4))</f>
        <v>2E-3</v>
      </c>
      <c r="AC37" s="3127"/>
      <c r="AD37" s="3107">
        <f t="shared" si="147"/>
        <v>8.9999999999999998E-4</v>
      </c>
      <c r="AG37" s="3399">
        <f t="shared" ref="AG37:AG51" si="185">$AG$52*S37</f>
        <v>103.01</v>
      </c>
      <c r="AH37" s="3399">
        <f t="shared" ref="AH37:AH51" si="186">$AH$52*T37</f>
        <v>101.71</v>
      </c>
      <c r="AI37" s="3399">
        <f t="shared" ref="AI37:AI51" si="187">$AI$52*U37</f>
        <v>103.88</v>
      </c>
      <c r="AJ37" s="3399"/>
      <c r="AK37" s="3399">
        <f t="shared" ref="AK37:AK51" si="188">$AK$52*W37</f>
        <v>101.71</v>
      </c>
      <c r="AN37" s="3399">
        <f t="shared" si="167"/>
        <v>101.80753474917682</v>
      </c>
      <c r="AO37" s="3399">
        <f t="shared" si="168"/>
        <v>102.04071845073943</v>
      </c>
      <c r="AP37" s="3399">
        <f t="shared" si="169"/>
        <v>100.48246959222114</v>
      </c>
      <c r="AQ37" s="3399"/>
      <c r="AR37" s="3399">
        <f t="shared" si="170"/>
        <v>102.04071845073943</v>
      </c>
    </row>
    <row r="38" spans="1:44">
      <c r="A38" s="3387" t="s">
        <v>3246</v>
      </c>
      <c r="B38" s="3134">
        <v>2024</v>
      </c>
      <c r="C38" s="3135">
        <v>3</v>
      </c>
      <c r="D38" s="3135"/>
      <c r="E38" s="3135">
        <v>-0.66</v>
      </c>
      <c r="F38" s="3135">
        <v>-0.52</v>
      </c>
      <c r="G38" s="3135">
        <v>-2.87</v>
      </c>
      <c r="H38" s="3135"/>
      <c r="I38" s="3136">
        <f t="shared" ref="I38" si="189">F38</f>
        <v>-0.52</v>
      </c>
      <c r="J38" s="3102"/>
      <c r="K38" s="3103"/>
      <c r="L38" s="3104">
        <f t="shared" ref="L38" si="190">E38/100</f>
        <v>-6.6E-3</v>
      </c>
      <c r="M38" s="3104">
        <f t="shared" ref="M38" si="191">F38/100</f>
        <v>-5.1999999999999998E-3</v>
      </c>
      <c r="N38" s="3104">
        <f t="shared" ref="N38" si="192">G38/100</f>
        <v>-2.87E-2</v>
      </c>
      <c r="O38" s="3104"/>
      <c r="P38" s="3104">
        <f t="shared" si="142"/>
        <v>-5.1999999999999998E-3</v>
      </c>
      <c r="Q38" s="3102"/>
      <c r="R38" s="3113"/>
      <c r="S38" s="3113">
        <f>ROUND(IF(项目基本情况!$B$8="出让",SUMPRODUCT(PRODUCT(1+L38:L$52)),SUMPRODUCT(PRODUCT(1+L38:L$51))),4)</f>
        <v>1.0364</v>
      </c>
      <c r="T38" s="3113">
        <f>ROUND(IF(项目基本情况!$B$8="出让",SUMPRODUCT(PRODUCT(1+M38:M$52)),SUMPRODUCT(PRODUCT(1+M38:M$51))),4)</f>
        <v>1.0244</v>
      </c>
      <c r="U38" s="3113">
        <f>ROUND(IF(项目基本情况!$B$8="出让",SUMPRODUCT(PRODUCT(1+N38:N$52)),SUMPRODUCT(PRODUCT(1+N38:N$51))),4)</f>
        <v>1.048</v>
      </c>
      <c r="V38" s="3113"/>
      <c r="W38" s="3113">
        <f t="shared" si="143"/>
        <v>1.0244</v>
      </c>
      <c r="X38" s="3102"/>
      <c r="Y38" s="3104"/>
      <c r="Z38" s="3122">
        <f t="shared" ref="Z38:AB39" si="193">IF(E38=0,0,ROUND(AVERAGE(E38:E51)/100,4))</f>
        <v>2.5999999999999999E-3</v>
      </c>
      <c r="AA38" s="3122">
        <f t="shared" si="193"/>
        <v>1.6999999999999999E-3</v>
      </c>
      <c r="AB38" s="3122">
        <f t="shared" si="193"/>
        <v>3.3999999999999998E-3</v>
      </c>
      <c r="AC38" s="3124"/>
      <c r="AD38" s="3104">
        <f t="shared" si="147"/>
        <v>1.6999999999999999E-3</v>
      </c>
      <c r="AG38" s="3399">
        <f t="shared" si="185"/>
        <v>103.64</v>
      </c>
      <c r="AH38" s="3399">
        <f t="shared" si="186"/>
        <v>102.44</v>
      </c>
      <c r="AI38" s="3399">
        <f t="shared" si="187"/>
        <v>104.80000000000001</v>
      </c>
      <c r="AJ38" s="3399"/>
      <c r="AK38" s="3399">
        <f t="shared" si="188"/>
        <v>102.44</v>
      </c>
      <c r="AN38" s="3399">
        <f t="shared" si="167"/>
        <v>102.4323722197171</v>
      </c>
      <c r="AO38" s="3399">
        <f t="shared" si="168"/>
        <v>102.7703882070092</v>
      </c>
      <c r="AP38" s="3399">
        <f t="shared" si="169"/>
        <v>101.37456577100599</v>
      </c>
      <c r="AQ38" s="3399"/>
      <c r="AR38" s="3399">
        <f t="shared" si="170"/>
        <v>102.7703882070092</v>
      </c>
    </row>
    <row r="39" spans="1:44">
      <c r="A39" s="3085" t="s">
        <v>3252</v>
      </c>
      <c r="B39" s="3134">
        <v>2024</v>
      </c>
      <c r="C39" s="3135">
        <v>2</v>
      </c>
      <c r="D39" s="3135"/>
      <c r="E39" s="3135">
        <v>-0.31</v>
      </c>
      <c r="F39" s="3135">
        <v>-0.39</v>
      </c>
      <c r="G39" s="3135">
        <v>1.23</v>
      </c>
      <c r="H39" s="3141"/>
      <c r="I39" s="3136">
        <f t="shared" ref="I39:I52" si="194">F39</f>
        <v>-0.39</v>
      </c>
      <c r="J39" s="3102"/>
      <c r="K39" s="3103"/>
      <c r="L39" s="3104">
        <f t="shared" ref="L39:N52" si="195">E39/100</f>
        <v>-3.0999999999999999E-3</v>
      </c>
      <c r="M39" s="3104">
        <f t="shared" si="195"/>
        <v>-3.9000000000000003E-3</v>
      </c>
      <c r="N39" s="3104">
        <f t="shared" si="195"/>
        <v>1.23E-2</v>
      </c>
      <c r="O39" s="3104"/>
      <c r="P39" s="3104">
        <f t="shared" si="142"/>
        <v>-3.9000000000000003E-3</v>
      </c>
      <c r="Q39" s="3102"/>
      <c r="R39" s="3113"/>
      <c r="S39" s="3113">
        <f>ROUND(IF(项目基本情况!$B$8="出让",SUMPRODUCT(PRODUCT(1+L39:L$52)),SUMPRODUCT(PRODUCT(1+L39:L$51))),4)</f>
        <v>1.0432999999999999</v>
      </c>
      <c r="T39" s="3113">
        <f>ROUND(IF(项目基本情况!$B$8="出让",SUMPRODUCT(PRODUCT(1+M39:M$52)),SUMPRODUCT(PRODUCT(1+M39:M$51))),4)</f>
        <v>1.0298</v>
      </c>
      <c r="U39" s="3113">
        <f>ROUND(IF(项目基本情况!$B$8="出让",SUMPRODUCT(PRODUCT(1+N39:N$52)),SUMPRODUCT(PRODUCT(1+N39:N$51))),4)</f>
        <v>1.079</v>
      </c>
      <c r="V39" s="3113"/>
      <c r="W39" s="3113">
        <f t="shared" si="143"/>
        <v>1.0298</v>
      </c>
      <c r="X39" s="3102"/>
      <c r="Y39" s="3104"/>
      <c r="Z39" s="3122">
        <f t="shared" si="193"/>
        <v>3.3E-3</v>
      </c>
      <c r="AA39" s="3123">
        <f t="shared" si="193"/>
        <v>2.3999999999999998E-3</v>
      </c>
      <c r="AB39" s="3104">
        <f t="shared" si="193"/>
        <v>6.1999999999999998E-3</v>
      </c>
      <c r="AC39" s="3124"/>
      <c r="AD39" s="3104">
        <f t="shared" si="147"/>
        <v>2.3999999999999998E-3</v>
      </c>
      <c r="AG39" s="3399">
        <f t="shared" si="185"/>
        <v>104.32999999999998</v>
      </c>
      <c r="AH39" s="3399">
        <f t="shared" si="186"/>
        <v>102.98</v>
      </c>
      <c r="AI39" s="3399">
        <f t="shared" si="187"/>
        <v>107.89999999999999</v>
      </c>
      <c r="AJ39" s="3399"/>
      <c r="AK39" s="3399">
        <f t="shared" si="188"/>
        <v>102.98</v>
      </c>
      <c r="AN39" s="3399">
        <f t="shared" si="167"/>
        <v>103.11291747505244</v>
      </c>
      <c r="AO39" s="3399">
        <f t="shared" si="168"/>
        <v>103.30758766285605</v>
      </c>
      <c r="AP39" s="3399">
        <f t="shared" si="169"/>
        <v>104.36998432101923</v>
      </c>
      <c r="AQ39" s="3399"/>
      <c r="AR39" s="3399">
        <f t="shared" si="170"/>
        <v>103.30758766285605</v>
      </c>
    </row>
    <row r="40" spans="1:44">
      <c r="A40" s="3085" t="s">
        <v>3249</v>
      </c>
      <c r="B40" s="3134">
        <v>2024</v>
      </c>
      <c r="C40" s="3135">
        <v>1</v>
      </c>
      <c r="D40" s="3135"/>
      <c r="E40" s="3135">
        <v>0.25</v>
      </c>
      <c r="F40" s="3135">
        <v>0.4</v>
      </c>
      <c r="G40" s="3135">
        <v>-0.63</v>
      </c>
      <c r="H40" s="3141"/>
      <c r="I40" s="3136">
        <f t="shared" si="194"/>
        <v>0.4</v>
      </c>
      <c r="J40" s="3102"/>
      <c r="K40" s="3103"/>
      <c r="L40" s="3104">
        <f t="shared" ref="L40" si="196">E40/100</f>
        <v>2.5000000000000001E-3</v>
      </c>
      <c r="M40" s="3104">
        <f t="shared" ref="M40" si="197">F40/100</f>
        <v>4.0000000000000001E-3</v>
      </c>
      <c r="N40" s="3104">
        <f t="shared" ref="N40" si="198">G40/100</f>
        <v>-6.3E-3</v>
      </c>
      <c r="O40" s="3104"/>
      <c r="P40" s="3104">
        <f t="shared" ref="P40" si="199">M40</f>
        <v>4.0000000000000001E-3</v>
      </c>
      <c r="Q40" s="3102"/>
      <c r="R40" s="3113"/>
      <c r="S40" s="3113">
        <f>ROUND(IF(项目基本情况!$B$8="出让",SUMPRODUCT(PRODUCT(1+L40:L$52)),SUMPRODUCT(PRODUCT(1+L40:L$51))),4)</f>
        <v>1.0465</v>
      </c>
      <c r="T40" s="3113">
        <f>ROUND(IF(项目基本情况!$B$8="出让",SUMPRODUCT(PRODUCT(1+M40:M$52)),SUMPRODUCT(PRODUCT(1+M40:M$51))),4)</f>
        <v>1.0338000000000001</v>
      </c>
      <c r="U40" s="3113">
        <f>ROUND(IF(项目基本情况!$B$8="出让",SUMPRODUCT(PRODUCT(1+N40:N$52)),SUMPRODUCT(PRODUCT(1+N40:N$51))),4)</f>
        <v>1.0659000000000001</v>
      </c>
      <c r="V40" s="3113"/>
      <c r="W40" s="3113">
        <f t="shared" ref="W40" si="200">T40</f>
        <v>1.0338000000000001</v>
      </c>
      <c r="X40" s="3102"/>
      <c r="Y40" s="3104"/>
      <c r="Z40" s="3122">
        <f t="shared" ref="Z40" si="201">IF(E40=0,0,ROUND(AVERAGE(E40:E51)/100,4))</f>
        <v>3.8E-3</v>
      </c>
      <c r="AA40" s="3123">
        <f t="shared" ref="AA40" si="202">IF(F40=0,0,ROUND(AVERAGE(F40:F51)/100,4))</f>
        <v>2.8E-3</v>
      </c>
      <c r="AB40" s="3104">
        <f t="shared" ref="AB40" si="203">IF(G40=0,0,ROUND(AVERAGE(G40:G51)/100,4))</f>
        <v>5.3E-3</v>
      </c>
      <c r="AC40" s="3124"/>
      <c r="AD40" s="3104">
        <f t="shared" ref="AD40" si="204">IF(I40=0,0,ROUND(AVERAGE(I40:I51)/100,4))</f>
        <v>2.8E-3</v>
      </c>
      <c r="AG40" s="3399">
        <f t="shared" si="185"/>
        <v>104.65</v>
      </c>
      <c r="AH40" s="3399">
        <f t="shared" si="186"/>
        <v>103.38000000000001</v>
      </c>
      <c r="AI40" s="3399">
        <f t="shared" si="187"/>
        <v>106.59</v>
      </c>
      <c r="AJ40" s="3399"/>
      <c r="AK40" s="3399">
        <f t="shared" si="188"/>
        <v>103.38000000000001</v>
      </c>
      <c r="AN40" s="3399">
        <f t="shared" si="167"/>
        <v>103.43356151575126</v>
      </c>
      <c r="AO40" s="3399">
        <f t="shared" si="168"/>
        <v>103.7120647152455</v>
      </c>
      <c r="AP40" s="3399">
        <f t="shared" si="169"/>
        <v>103.10183179000221</v>
      </c>
      <c r="AQ40" s="3399"/>
      <c r="AR40" s="3399">
        <f t="shared" si="170"/>
        <v>103.7120647152455</v>
      </c>
    </row>
    <row r="41" spans="1:44">
      <c r="A41" s="3085" t="s">
        <v>3244</v>
      </c>
      <c r="B41" s="3134">
        <v>2023</v>
      </c>
      <c r="C41" s="3135">
        <v>4</v>
      </c>
      <c r="D41" s="3135"/>
      <c r="E41" s="3135">
        <v>7.0000000000000007E-2</v>
      </c>
      <c r="F41" s="3135">
        <v>0.09</v>
      </c>
      <c r="G41" s="3135">
        <v>0.03</v>
      </c>
      <c r="H41" s="3141"/>
      <c r="I41" s="3136">
        <f t="shared" ref="I41" si="205">F41</f>
        <v>0.09</v>
      </c>
      <c r="J41" s="3102"/>
      <c r="K41" s="3103"/>
      <c r="L41" s="3104">
        <f t="shared" si="195"/>
        <v>7.000000000000001E-4</v>
      </c>
      <c r="M41" s="3104">
        <f t="shared" si="195"/>
        <v>8.9999999999999998E-4</v>
      </c>
      <c r="N41" s="3104">
        <f t="shared" si="195"/>
        <v>2.9999999999999997E-4</v>
      </c>
      <c r="O41" s="3104"/>
      <c r="P41" s="3104">
        <f t="shared" ref="P41" si="206">M41</f>
        <v>8.9999999999999998E-4</v>
      </c>
      <c r="Q41" s="3102"/>
      <c r="R41" s="3113"/>
      <c r="S41" s="3113">
        <f>ROUND(IF(项目基本情况!$B$8="出让",SUMPRODUCT(PRODUCT(1+L41:L$52)),SUMPRODUCT(PRODUCT(1+L41:L$51))),4)</f>
        <v>1.0439000000000001</v>
      </c>
      <c r="T41" s="3113">
        <f>ROUND(IF(项目基本情况!$B$8="出让",SUMPRODUCT(PRODUCT(1+M41:M$52)),SUMPRODUCT(PRODUCT(1+M41:M$51))),4)</f>
        <v>1.0297000000000001</v>
      </c>
      <c r="U41" s="3113">
        <f>ROUND(IF(项目基本情况!$B$8="出让",SUMPRODUCT(PRODUCT(1+N41:N$52)),SUMPRODUCT(PRODUCT(1+N41:N$51))),4)</f>
        <v>1.0727</v>
      </c>
      <c r="V41" s="3113"/>
      <c r="W41" s="3113">
        <f t="shared" ref="W41" si="207">T41</f>
        <v>1.0297000000000001</v>
      </c>
      <c r="X41" s="3102"/>
      <c r="Y41" s="3104"/>
      <c r="Z41" s="3122">
        <f t="shared" ref="Z41" si="208">IF(E41=0,0,ROUND(AVERAGE(E41:E52)/100,4))</f>
        <v>3.8999999999999998E-3</v>
      </c>
      <c r="AA41" s="3123">
        <f t="shared" ref="AA41" si="209">IF(F41=0,0,ROUND(AVERAGE(F41:F52)/100,4))</f>
        <v>2.8E-3</v>
      </c>
      <c r="AB41" s="3104">
        <f t="shared" ref="AB41" si="210">IF(G41=0,0,ROUND(AVERAGE(G41:G52)/100,4))</f>
        <v>6.7000000000000002E-3</v>
      </c>
      <c r="AC41" s="3124"/>
      <c r="AD41" s="3104">
        <f t="shared" ref="AD41" si="211">IF(I41=0,0,ROUND(AVERAGE(I41:I52)/100,4))</f>
        <v>2.8E-3</v>
      </c>
      <c r="AG41" s="3399">
        <f t="shared" si="185"/>
        <v>104.39</v>
      </c>
      <c r="AH41" s="3399">
        <f t="shared" si="186"/>
        <v>102.97</v>
      </c>
      <c r="AI41" s="3399">
        <f t="shared" si="187"/>
        <v>107.27</v>
      </c>
      <c r="AJ41" s="3399"/>
      <c r="AK41" s="3399">
        <f t="shared" si="188"/>
        <v>102.97</v>
      </c>
      <c r="AN41" s="3399">
        <f t="shared" si="167"/>
        <v>103.17562245960227</v>
      </c>
      <c r="AO41" s="3399">
        <f t="shared" si="168"/>
        <v>103.29886923829234</v>
      </c>
      <c r="AP41" s="3399">
        <f t="shared" si="169"/>
        <v>103.75549138573231</v>
      </c>
      <c r="AQ41" s="3399"/>
      <c r="AR41" s="3399">
        <f t="shared" si="170"/>
        <v>103.29886923829234</v>
      </c>
    </row>
    <row r="42" spans="1:44">
      <c r="A42" s="3085" t="s">
        <v>3242</v>
      </c>
      <c r="B42" s="3134">
        <v>2023</v>
      </c>
      <c r="C42" s="3135">
        <v>3</v>
      </c>
      <c r="D42" s="3135"/>
      <c r="E42" s="3135">
        <v>0.35</v>
      </c>
      <c r="F42" s="3135">
        <v>0.17</v>
      </c>
      <c r="G42" s="3135">
        <v>0.52</v>
      </c>
      <c r="H42" s="3141"/>
      <c r="I42" s="3136">
        <f t="shared" si="194"/>
        <v>0.17</v>
      </c>
      <c r="J42" s="3102"/>
      <c r="K42" s="3103"/>
      <c r="L42" s="3104">
        <f t="shared" ref="L42:L44" si="212">E42/100</f>
        <v>3.4999999999999996E-3</v>
      </c>
      <c r="M42" s="3104">
        <f t="shared" ref="M42:M44" si="213">F42/100</f>
        <v>1.7000000000000001E-3</v>
      </c>
      <c r="N42" s="3104">
        <f t="shared" ref="N42:N44" si="214">G42/100</f>
        <v>5.1999999999999998E-3</v>
      </c>
      <c r="O42" s="3104"/>
      <c r="P42" s="3104">
        <f t="shared" ref="P42:P44" si="215">M42</f>
        <v>1.7000000000000001E-3</v>
      </c>
      <c r="Q42" s="3102"/>
      <c r="R42" s="3113"/>
      <c r="S42" s="3113">
        <f>ROUND(IF(项目基本情况!$B$8="出让",SUMPRODUCT(PRODUCT(1+L42:L$52)),SUMPRODUCT(PRODUCT(1+L42:L$51))),4)</f>
        <v>1.0431999999999999</v>
      </c>
      <c r="T42" s="3113">
        <f>ROUND(IF(项目基本情况!$B$8="出让",SUMPRODUCT(PRODUCT(1+M42:M$52)),SUMPRODUCT(PRODUCT(1+M42:M$51))),4)</f>
        <v>1.0286999999999999</v>
      </c>
      <c r="U42" s="3113">
        <f>ROUND(IF(项目基本情况!$B$8="出让",SUMPRODUCT(PRODUCT(1+N42:N$52)),SUMPRODUCT(PRODUCT(1+N42:N$51))),4)</f>
        <v>1.0723</v>
      </c>
      <c r="V42" s="3113"/>
      <c r="W42" s="3113">
        <f t="shared" ref="W42:W44" si="216">T42</f>
        <v>1.0286999999999999</v>
      </c>
      <c r="X42" s="3102"/>
      <c r="Y42" s="3104"/>
      <c r="Z42" s="3122">
        <f t="shared" ref="Z42:AB42" si="217">IF(E42=0,0,ROUND(AVERAGE(E42:E53)/100,4))</f>
        <v>4.1999999999999997E-3</v>
      </c>
      <c r="AA42" s="3123">
        <f t="shared" si="217"/>
        <v>3.0000000000000001E-3</v>
      </c>
      <c r="AB42" s="3104">
        <f t="shared" si="217"/>
        <v>7.3000000000000001E-3</v>
      </c>
      <c r="AC42" s="3124"/>
      <c r="AD42" s="3104">
        <f t="shared" ref="AD42:AD44" si="218">IF(I42=0,0,ROUND(AVERAGE(I42:I53)/100,4))</f>
        <v>3.0000000000000001E-3</v>
      </c>
      <c r="AG42" s="3399">
        <f t="shared" si="185"/>
        <v>104.32</v>
      </c>
      <c r="AH42" s="3399">
        <f t="shared" si="186"/>
        <v>102.86999999999999</v>
      </c>
      <c r="AI42" s="3399">
        <f t="shared" si="187"/>
        <v>107.23</v>
      </c>
      <c r="AJ42" s="3399"/>
      <c r="AK42" s="3399">
        <f t="shared" si="188"/>
        <v>102.86999999999999</v>
      </c>
      <c r="AN42" s="3399">
        <f t="shared" si="167"/>
        <v>103.10345004457108</v>
      </c>
      <c r="AO42" s="3399">
        <f t="shared" si="168"/>
        <v>103.20598385282482</v>
      </c>
      <c r="AP42" s="3399">
        <f t="shared" si="169"/>
        <v>103.72437407351026</v>
      </c>
      <c r="AQ42" s="3399"/>
      <c r="AR42" s="3399">
        <f t="shared" si="170"/>
        <v>103.20598385282482</v>
      </c>
    </row>
    <row r="43" spans="1:44">
      <c r="A43" s="3085" t="s">
        <v>3241</v>
      </c>
      <c r="B43" s="3134">
        <v>2023</v>
      </c>
      <c r="C43" s="3135">
        <v>2</v>
      </c>
      <c r="D43" s="3135"/>
      <c r="E43" s="3135">
        <v>0.5</v>
      </c>
      <c r="F43" s="3135">
        <v>0.45</v>
      </c>
      <c r="G43" s="3135">
        <v>0.89</v>
      </c>
      <c r="H43" s="3141"/>
      <c r="I43" s="3136">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9">
        <f t="shared" si="185"/>
        <v>103.96000000000001</v>
      </c>
      <c r="AH43" s="3399">
        <f t="shared" si="186"/>
        <v>102.69999999999999</v>
      </c>
      <c r="AI43" s="3399">
        <f t="shared" si="187"/>
        <v>106.67999999999999</v>
      </c>
      <c r="AJ43" s="3399"/>
      <c r="AK43" s="3399">
        <f t="shared" si="188"/>
        <v>102.69999999999999</v>
      </c>
      <c r="AN43" s="3399">
        <f t="shared" si="167"/>
        <v>102.74384658153569</v>
      </c>
      <c r="AO43" s="3399">
        <f t="shared" si="168"/>
        <v>103.03083143937786</v>
      </c>
      <c r="AP43" s="3399">
        <f t="shared" si="169"/>
        <v>103.18779752637312</v>
      </c>
      <c r="AQ43" s="3399"/>
      <c r="AR43" s="3399">
        <f t="shared" si="170"/>
        <v>103.03083143937786</v>
      </c>
    </row>
    <row r="44" spans="1:44">
      <c r="A44" s="3085" t="s">
        <v>3239</v>
      </c>
      <c r="B44" s="3134">
        <v>2023</v>
      </c>
      <c r="C44" s="3135">
        <v>1</v>
      </c>
      <c r="D44" s="3135"/>
      <c r="E44" s="3135">
        <v>0.55000000000000004</v>
      </c>
      <c r="F44" s="3135">
        <v>0.59</v>
      </c>
      <c r="G44" s="3135">
        <v>0.64</v>
      </c>
      <c r="H44" s="3141"/>
      <c r="I44" s="3136">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9">
        <f t="shared" si="185"/>
        <v>103.44</v>
      </c>
      <c r="AH44" s="3399">
        <f t="shared" si="186"/>
        <v>102.24</v>
      </c>
      <c r="AI44" s="3399">
        <f t="shared" si="187"/>
        <v>105.74</v>
      </c>
      <c r="AJ44" s="3399"/>
      <c r="AK44" s="3399">
        <f t="shared" si="188"/>
        <v>102.24</v>
      </c>
      <c r="AN44" s="3399">
        <f t="shared" si="167"/>
        <v>102.23268316570717</v>
      </c>
      <c r="AO44" s="3399">
        <f t="shared" si="168"/>
        <v>102.56926972561261</v>
      </c>
      <c r="AP44" s="3399">
        <f t="shared" si="169"/>
        <v>102.27752753134416</v>
      </c>
      <c r="AQ44" s="3399"/>
      <c r="AR44" s="3399">
        <f t="shared" si="170"/>
        <v>102.56926972561261</v>
      </c>
    </row>
    <row r="45" spans="1:44">
      <c r="A45" s="3085" t="s">
        <v>3237</v>
      </c>
      <c r="B45" s="3134">
        <v>2022</v>
      </c>
      <c r="C45" s="3135">
        <v>4</v>
      </c>
      <c r="D45" s="3135"/>
      <c r="E45" s="3135">
        <v>0.45</v>
      </c>
      <c r="F45" s="3135">
        <v>0.2</v>
      </c>
      <c r="G45" s="3135">
        <v>0.38</v>
      </c>
      <c r="H45" s="3141"/>
      <c r="I45" s="3136">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9">
        <f t="shared" si="185"/>
        <v>102.86999999999999</v>
      </c>
      <c r="AH45" s="3399">
        <f t="shared" si="186"/>
        <v>101.64</v>
      </c>
      <c r="AI45" s="3399">
        <f t="shared" si="187"/>
        <v>105.06</v>
      </c>
      <c r="AJ45" s="3399"/>
      <c r="AK45" s="3399">
        <f t="shared" si="188"/>
        <v>101.64</v>
      </c>
      <c r="AN45" s="3399">
        <f t="shared" si="167"/>
        <v>101.67347903103646</v>
      </c>
      <c r="AO45" s="3399">
        <f t="shared" si="168"/>
        <v>101.96766052849449</v>
      </c>
      <c r="AP45" s="3399">
        <f t="shared" si="169"/>
        <v>101.62711400173308</v>
      </c>
      <c r="AQ45" s="3399"/>
      <c r="AR45" s="3399">
        <f t="shared" si="170"/>
        <v>101.96766052849449</v>
      </c>
    </row>
    <row r="46" spans="1:44">
      <c r="A46" s="3085" t="s">
        <v>3235</v>
      </c>
      <c r="B46" s="3134">
        <v>2022</v>
      </c>
      <c r="C46" s="3135">
        <v>3</v>
      </c>
      <c r="D46" s="3135"/>
      <c r="E46" s="3135">
        <v>0.3</v>
      </c>
      <c r="F46" s="3135">
        <v>0.28999999999999998</v>
      </c>
      <c r="G46" s="3135">
        <v>0.83</v>
      </c>
      <c r="H46" s="3141"/>
      <c r="I46" s="3136">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9">
        <f t="shared" si="185"/>
        <v>102.41</v>
      </c>
      <c r="AH46" s="3399">
        <f t="shared" si="186"/>
        <v>101.44</v>
      </c>
      <c r="AI46" s="3399">
        <f t="shared" si="187"/>
        <v>104.67</v>
      </c>
      <c r="AJ46" s="3399"/>
      <c r="AK46" s="3399">
        <f t="shared" si="188"/>
        <v>101.44</v>
      </c>
      <c r="AN46" s="3399">
        <f t="shared" si="167"/>
        <v>101.21799803985711</v>
      </c>
      <c r="AO46" s="3399">
        <f t="shared" si="168"/>
        <v>101.76413226396656</v>
      </c>
      <c r="AP46" s="3399">
        <f t="shared" si="169"/>
        <v>101.24239290868009</v>
      </c>
      <c r="AQ46" s="3399"/>
      <c r="AR46" s="3399">
        <f t="shared" si="170"/>
        <v>101.76413226396656</v>
      </c>
    </row>
    <row r="47" spans="1:44">
      <c r="A47" s="3085" t="s">
        <v>3234</v>
      </c>
      <c r="B47" s="3134">
        <v>2022</v>
      </c>
      <c r="C47" s="3135">
        <v>2</v>
      </c>
      <c r="D47" s="3135"/>
      <c r="E47" s="3135">
        <v>-0.11</v>
      </c>
      <c r="F47" s="3135">
        <v>-0.13</v>
      </c>
      <c r="G47" s="3135">
        <v>0.53</v>
      </c>
      <c r="H47" s="3141"/>
      <c r="I47" s="3136">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9">
        <f t="shared" si="185"/>
        <v>102.10999999999999</v>
      </c>
      <c r="AH47" s="3399">
        <f t="shared" si="186"/>
        <v>101.14000000000001</v>
      </c>
      <c r="AI47" s="3399">
        <f t="shared" si="187"/>
        <v>103.81</v>
      </c>
      <c r="AJ47" s="3399"/>
      <c r="AK47" s="3399">
        <f t="shared" si="188"/>
        <v>101.14000000000001</v>
      </c>
      <c r="AN47" s="3399">
        <f t="shared" si="167"/>
        <v>100.9152522830081</v>
      </c>
      <c r="AO47" s="3399">
        <f t="shared" si="168"/>
        <v>101.46986964200475</v>
      </c>
      <c r="AP47" s="3399">
        <f t="shared" si="169"/>
        <v>100.40899822342566</v>
      </c>
      <c r="AQ47" s="3399"/>
      <c r="AR47" s="3399">
        <f t="shared" si="170"/>
        <v>101.46986964200475</v>
      </c>
    </row>
    <row r="48" spans="1:44">
      <c r="A48" s="3085" t="s">
        <v>2770</v>
      </c>
      <c r="B48" s="3134">
        <v>2022</v>
      </c>
      <c r="C48" s="3135">
        <v>1</v>
      </c>
      <c r="D48" s="3135"/>
      <c r="E48" s="3135">
        <v>0.6</v>
      </c>
      <c r="F48" s="3135">
        <v>0.45</v>
      </c>
      <c r="G48" s="3135">
        <v>0.53</v>
      </c>
      <c r="H48" s="3141"/>
      <c r="I48" s="3136">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9">
        <f t="shared" si="185"/>
        <v>102.22</v>
      </c>
      <c r="AH48" s="3399">
        <f t="shared" si="186"/>
        <v>101.27999999999999</v>
      </c>
      <c r="AI48" s="3399">
        <f t="shared" si="187"/>
        <v>103.25999999999999</v>
      </c>
      <c r="AJ48" s="3399"/>
      <c r="AK48" s="3399">
        <f t="shared" si="188"/>
        <v>101.27999999999999</v>
      </c>
      <c r="AN48" s="3399">
        <f t="shared" si="167"/>
        <v>101.02638130244078</v>
      </c>
      <c r="AO48" s="3399">
        <f t="shared" si="168"/>
        <v>101.60195217983853</v>
      </c>
      <c r="AP48" s="3399">
        <f t="shared" si="169"/>
        <v>99.879636151820989</v>
      </c>
      <c r="AQ48" s="3399"/>
      <c r="AR48" s="3399">
        <f t="shared" si="170"/>
        <v>101.60195217983853</v>
      </c>
    </row>
    <row r="49" spans="1:44">
      <c r="A49" s="3085" t="s">
        <v>2771</v>
      </c>
      <c r="B49" s="3134">
        <v>2021</v>
      </c>
      <c r="C49" s="3135">
        <v>4</v>
      </c>
      <c r="D49" s="3135"/>
      <c r="E49" s="3135">
        <v>0.57999999999999996</v>
      </c>
      <c r="F49" s="3135">
        <v>0.08</v>
      </c>
      <c r="G49" s="3135">
        <v>0.68</v>
      </c>
      <c r="H49" s="3141"/>
      <c r="I49" s="3136">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9">
        <f t="shared" si="185"/>
        <v>101.61</v>
      </c>
      <c r="AH49" s="3399">
        <f t="shared" si="186"/>
        <v>100.82</v>
      </c>
      <c r="AI49" s="3399">
        <f t="shared" si="187"/>
        <v>102.71</v>
      </c>
      <c r="AJ49" s="3399"/>
      <c r="AK49" s="3399">
        <f t="shared" si="188"/>
        <v>100.82</v>
      </c>
      <c r="AN49" s="3399">
        <f t="shared" si="167"/>
        <v>100.42383827280396</v>
      </c>
      <c r="AO49" s="3399">
        <f t="shared" si="168"/>
        <v>101.14679161755951</v>
      </c>
      <c r="AP49" s="3399">
        <f t="shared" si="169"/>
        <v>99.353064907809596</v>
      </c>
      <c r="AQ49" s="3399"/>
      <c r="AR49" s="3399">
        <f t="shared" si="170"/>
        <v>101.14679161755951</v>
      </c>
    </row>
    <row r="50" spans="1:44">
      <c r="A50" s="3085" t="s">
        <v>2772</v>
      </c>
      <c r="B50" s="3134">
        <v>2021</v>
      </c>
      <c r="C50" s="3135">
        <v>3</v>
      </c>
      <c r="D50" s="3135"/>
      <c r="E50" s="3135">
        <v>0.47</v>
      </c>
      <c r="F50" s="3135">
        <v>0.28000000000000003</v>
      </c>
      <c r="G50" s="3135">
        <v>0.91</v>
      </c>
      <c r="H50" s="3141"/>
      <c r="I50" s="3136">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9">
        <f t="shared" si="185"/>
        <v>101.02</v>
      </c>
      <c r="AH50" s="3399">
        <f t="shared" si="186"/>
        <v>100.74000000000001</v>
      </c>
      <c r="AI50" s="3399">
        <f t="shared" si="187"/>
        <v>102.02</v>
      </c>
      <c r="AJ50" s="3399"/>
      <c r="AK50" s="3399">
        <f t="shared" si="188"/>
        <v>100.74000000000001</v>
      </c>
      <c r="AN50" s="3399">
        <f t="shared" si="167"/>
        <v>99.844738787834515</v>
      </c>
      <c r="AO50" s="3399">
        <f t="shared" si="168"/>
        <v>101.06593886646635</v>
      </c>
      <c r="AP50" s="3399">
        <f t="shared" si="169"/>
        <v>98.682027123370688</v>
      </c>
      <c r="AQ50" s="3399"/>
      <c r="AR50" s="3399">
        <f t="shared" si="170"/>
        <v>101.06593886646635</v>
      </c>
    </row>
    <row r="51" spans="1:44">
      <c r="A51" s="3085" t="s">
        <v>2776</v>
      </c>
      <c r="B51" s="3134">
        <v>2021</v>
      </c>
      <c r="C51" s="3135">
        <v>2</v>
      </c>
      <c r="D51" s="3135"/>
      <c r="E51" s="3135">
        <v>0.55000000000000004</v>
      </c>
      <c r="F51" s="3135">
        <v>0.46</v>
      </c>
      <c r="G51" s="3135">
        <v>1.1000000000000001</v>
      </c>
      <c r="H51" s="3141"/>
      <c r="I51" s="3136">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9">
        <f t="shared" si="185"/>
        <v>100.55000000000001</v>
      </c>
      <c r="AH51" s="3399">
        <f t="shared" si="186"/>
        <v>100.46</v>
      </c>
      <c r="AI51" s="3399">
        <f t="shared" si="187"/>
        <v>101.1</v>
      </c>
      <c r="AJ51" s="3399"/>
      <c r="AK51" s="3399">
        <f t="shared" si="188"/>
        <v>100.46</v>
      </c>
      <c r="AN51" s="3399">
        <f t="shared" si="167"/>
        <v>99.377663768124336</v>
      </c>
      <c r="AO51" s="3399">
        <f t="shared" si="168"/>
        <v>100.78374438219622</v>
      </c>
      <c r="AP51" s="3399">
        <f t="shared" si="169"/>
        <v>97.7921188419093</v>
      </c>
      <c r="AQ51" s="3399"/>
      <c r="AR51" s="3399">
        <f t="shared" si="170"/>
        <v>100.78374438219622</v>
      </c>
    </row>
    <row r="52" spans="1:44" ht="14.25" thickBot="1">
      <c r="A52" s="3087" t="s">
        <v>2777</v>
      </c>
      <c r="B52" s="3142">
        <v>2021</v>
      </c>
      <c r="C52" s="3143">
        <v>1</v>
      </c>
      <c r="D52" s="3143"/>
      <c r="E52" s="3143">
        <v>0.35</v>
      </c>
      <c r="F52" s="3143">
        <v>0.48</v>
      </c>
      <c r="G52" s="3143">
        <v>0.98</v>
      </c>
      <c r="H52" s="3144"/>
      <c r="I52" s="3145">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8">
        <f t="shared" si="223"/>
        <v>3.5000000000000001E-3</v>
      </c>
      <c r="AA52" s="3129">
        <f t="shared" si="223"/>
        <v>4.7999999999999996E-3</v>
      </c>
      <c r="AB52" s="3110">
        <f t="shared" si="223"/>
        <v>9.7999999999999997E-3</v>
      </c>
      <c r="AC52" s="3130"/>
      <c r="AD52" s="3110">
        <f t="shared" si="223"/>
        <v>4.7999999999999996E-3</v>
      </c>
      <c r="AG52" s="3400">
        <v>100</v>
      </c>
      <c r="AH52" s="3400">
        <v>100</v>
      </c>
      <c r="AI52" s="3400">
        <v>100</v>
      </c>
      <c r="AJ52" s="3400"/>
      <c r="AK52" s="3400">
        <v>100</v>
      </c>
      <c r="AN52" s="3399">
        <f t="shared" si="167"/>
        <v>98.83407634820918</v>
      </c>
      <c r="AO52" s="3399">
        <f t="shared" si="168"/>
        <v>100.32226197710156</v>
      </c>
      <c r="AP52" s="3399">
        <f t="shared" si="169"/>
        <v>96.728109635914251</v>
      </c>
      <c r="AQ52" s="3399"/>
      <c r="AR52" s="3399">
        <f t="shared" si="170"/>
        <v>100.32226197710156</v>
      </c>
    </row>
    <row r="53" spans="1:44" ht="14.25" thickTop="1"/>
    <row r="54" spans="1:44">
      <c r="A54" s="3386" t="s">
        <v>3256</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7" customWidth="1"/>
    <col min="2" max="2" width="12.5" style="2747" customWidth="1"/>
    <col min="3" max="3" width="12.125" style="2747" customWidth="1"/>
    <col min="4" max="4" width="16.625" style="2747" customWidth="1"/>
    <col min="5" max="5" width="12.5" style="2747" customWidth="1"/>
    <col min="6" max="6" width="12.75" style="2747" customWidth="1"/>
    <col min="7" max="16384" width="8.875" style="2747"/>
  </cols>
  <sheetData>
    <row r="1" spans="1:14" ht="20.25">
      <c r="A1" s="2750" t="s">
        <v>2200</v>
      </c>
      <c r="B1" s="2745"/>
      <c r="C1" s="2745"/>
      <c r="D1" s="2745"/>
      <c r="E1" s="2745"/>
      <c r="F1" s="2745"/>
      <c r="G1" s="2746"/>
      <c r="H1" s="2746"/>
      <c r="I1" s="2746"/>
      <c r="J1" s="2746"/>
      <c r="K1" s="2746"/>
      <c r="L1" s="2746"/>
      <c r="M1" s="2746"/>
      <c r="N1" s="2746"/>
    </row>
    <row r="2" spans="1:14" ht="14.25">
      <c r="A2" s="2751" t="s">
        <v>2195</v>
      </c>
      <c r="B2" s="2756">
        <f ca="1">SUMIF(B7:B14,"&lt;&gt;#ref!",B7:B14)</f>
        <v>0</v>
      </c>
      <c r="C2" s="2751" t="s">
        <v>2196</v>
      </c>
      <c r="D2" s="2748"/>
      <c r="E2" s="2748"/>
      <c r="F2" s="2748"/>
      <c r="G2" s="2746"/>
      <c r="H2" s="2746"/>
      <c r="I2" s="2746"/>
      <c r="J2" s="2746"/>
      <c r="K2" s="2746"/>
      <c r="L2" s="2746"/>
      <c r="M2" s="2746"/>
      <c r="N2" s="2746"/>
    </row>
    <row r="3" spans="1:14" ht="14.25">
      <c r="A3" s="2751" t="s">
        <v>2224</v>
      </c>
      <c r="B3" s="2756" t="e">
        <f ca="1">ROUND(B2*10000/E3,0)</f>
        <v>#DIV/0!</v>
      </c>
      <c r="C3" s="2751" t="s">
        <v>1596</v>
      </c>
      <c r="D3" s="2751" t="s">
        <v>2197</v>
      </c>
      <c r="E3" s="2749">
        <f ca="1">SUMIF(E7:E14,"&lt;&gt;#ref!",E7:E14)</f>
        <v>0</v>
      </c>
      <c r="F3" s="2748"/>
      <c r="G3" s="2746"/>
      <c r="H3" s="2746"/>
      <c r="I3" s="2746"/>
      <c r="J3" s="2746"/>
      <c r="K3" s="2746"/>
      <c r="L3" s="2746"/>
      <c r="M3" s="2746"/>
      <c r="N3" s="2746"/>
    </row>
    <row r="4" spans="1:14" ht="14.25">
      <c r="A4" s="2751" t="s">
        <v>2203</v>
      </c>
      <c r="B4" s="2756" t="e">
        <f ca="1">ROUND(B2*10000/E4,0)</f>
        <v>#DIV/0!</v>
      </c>
      <c r="C4" s="2751" t="s">
        <v>1596</v>
      </c>
      <c r="D4" s="2751" t="s">
        <v>2204</v>
      </c>
      <c r="E4" s="2749">
        <f ca="1">SUMIF(F7:F14,"&lt;&gt;#ref!",F7:F14)</f>
        <v>0</v>
      </c>
      <c r="F4" s="2748"/>
      <c r="G4" s="2746"/>
      <c r="H4" s="2746"/>
      <c r="I4" s="2746"/>
      <c r="J4" s="2746"/>
      <c r="K4" s="2746"/>
      <c r="L4" s="2746"/>
      <c r="M4" s="2746"/>
      <c r="N4" s="2746"/>
    </row>
    <row r="5" spans="1:14" ht="14.25">
      <c r="A5" s="2752"/>
      <c r="B5" s="2748"/>
      <c r="C5" s="2748"/>
      <c r="D5" s="2748"/>
      <c r="E5" s="2748"/>
      <c r="F5" s="2748"/>
      <c r="G5" s="2746"/>
      <c r="H5" s="2746"/>
      <c r="I5" s="2746"/>
      <c r="J5" s="2746"/>
      <c r="K5" s="2746"/>
      <c r="L5" s="2746"/>
      <c r="M5" s="2746"/>
      <c r="N5" s="2746"/>
    </row>
    <row r="6" spans="1:14" ht="28.5">
      <c r="A6" s="2753" t="s">
        <v>2201</v>
      </c>
      <c r="B6" s="2751" t="s">
        <v>2198</v>
      </c>
      <c r="C6" s="2355"/>
      <c r="D6" s="2748"/>
      <c r="E6" s="2751" t="s">
        <v>2199</v>
      </c>
      <c r="F6" s="2751" t="s">
        <v>2202</v>
      </c>
      <c r="G6" s="2746"/>
      <c r="H6" s="2746"/>
      <c r="I6" s="2746"/>
      <c r="J6" s="2746"/>
      <c r="K6" s="2746"/>
      <c r="L6" s="2746"/>
      <c r="M6" s="2746"/>
      <c r="N6" s="2746"/>
    </row>
    <row r="7" spans="1:14" ht="14.25">
      <c r="A7" s="2754"/>
      <c r="B7" s="2756" t="e">
        <f ca="1">SUMIF(INDIRECT("'"&amp;A7&amp;"'"&amp;"!A:A"),"总价",INDIRECT("'"&amp;A7&amp;"'"&amp;"!B:B"))</f>
        <v>#REF!</v>
      </c>
      <c r="C7" s="2751" t="s">
        <v>2196</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4.25">
      <c r="A8" s="2754"/>
      <c r="B8" s="2756" t="e">
        <f t="shared" ref="B8:B14" ca="1" si="0">SUMIF(INDIRECT("'"&amp;A8&amp;"'"&amp;"!A:A"),"总价",INDIRECT("'"&amp;A8&amp;"'"&amp;"!B:B"))</f>
        <v>#REF!</v>
      </c>
      <c r="C8" s="2751" t="s">
        <v>2196</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4.25">
      <c r="A9" s="2754"/>
      <c r="B9" s="2756" t="e">
        <f t="shared" ca="1" si="0"/>
        <v>#REF!</v>
      </c>
      <c r="C9" s="2751" t="s">
        <v>2196</v>
      </c>
      <c r="D9" s="2748"/>
      <c r="E9" s="2749" t="e">
        <f t="shared" ca="1" si="1"/>
        <v>#REF!</v>
      </c>
      <c r="F9" s="2749" t="e">
        <f t="shared" ca="1" si="2"/>
        <v>#REF!</v>
      </c>
      <c r="G9" s="2746"/>
      <c r="H9" s="2746"/>
      <c r="I9" s="2746"/>
      <c r="J9" s="2746"/>
      <c r="K9" s="2746"/>
      <c r="L9" s="2746"/>
      <c r="M9" s="2746"/>
      <c r="N9" s="2746"/>
    </row>
    <row r="10" spans="1:14" ht="14.25">
      <c r="A10" s="2754"/>
      <c r="B10" s="2756" t="e">
        <f t="shared" ca="1" si="0"/>
        <v>#REF!</v>
      </c>
      <c r="C10" s="2751" t="s">
        <v>2196</v>
      </c>
      <c r="D10" s="2748"/>
      <c r="E10" s="2749" t="e">
        <f t="shared" ca="1" si="1"/>
        <v>#REF!</v>
      </c>
      <c r="F10" s="2749" t="e">
        <f t="shared" ca="1" si="2"/>
        <v>#REF!</v>
      </c>
      <c r="G10" s="2746"/>
      <c r="H10" s="2746"/>
      <c r="I10" s="2746"/>
      <c r="J10" s="2746"/>
      <c r="K10" s="2746"/>
      <c r="L10" s="2746"/>
      <c r="M10" s="2746"/>
      <c r="N10" s="2746"/>
    </row>
    <row r="11" spans="1:14" ht="14.25">
      <c r="A11" s="2754"/>
      <c r="B11" s="2756" t="e">
        <f t="shared" ca="1" si="0"/>
        <v>#REF!</v>
      </c>
      <c r="C11" s="2751" t="s">
        <v>2196</v>
      </c>
      <c r="D11" s="2748"/>
      <c r="E11" s="2749" t="e">
        <f t="shared" ca="1" si="1"/>
        <v>#REF!</v>
      </c>
      <c r="F11" s="2749" t="e">
        <f t="shared" ca="1" si="2"/>
        <v>#REF!</v>
      </c>
      <c r="G11" s="2746"/>
      <c r="H11" s="2746"/>
      <c r="I11" s="2746"/>
      <c r="J11" s="2746"/>
      <c r="K11" s="2746"/>
      <c r="L11" s="2746"/>
      <c r="M11" s="2746"/>
      <c r="N11" s="2746"/>
    </row>
    <row r="12" spans="1:14" ht="14.25">
      <c r="A12" s="2754"/>
      <c r="B12" s="2756" t="e">
        <f t="shared" ca="1" si="0"/>
        <v>#REF!</v>
      </c>
      <c r="C12" s="2751" t="s">
        <v>2196</v>
      </c>
      <c r="D12" s="2748"/>
      <c r="E12" s="2749" t="e">
        <f t="shared" ca="1" si="1"/>
        <v>#REF!</v>
      </c>
      <c r="F12" s="2749" t="e">
        <f t="shared" ca="1" si="2"/>
        <v>#REF!</v>
      </c>
      <c r="G12" s="2746"/>
      <c r="H12" s="2746"/>
      <c r="I12" s="2746"/>
      <c r="J12" s="2746"/>
      <c r="K12" s="2746"/>
      <c r="L12" s="2746"/>
      <c r="M12" s="2746"/>
      <c r="N12" s="2746"/>
    </row>
    <row r="13" spans="1:14" ht="14.25">
      <c r="A13" s="2754"/>
      <c r="B13" s="2756" t="e">
        <f t="shared" ca="1" si="0"/>
        <v>#REF!</v>
      </c>
      <c r="C13" s="2751" t="s">
        <v>2196</v>
      </c>
      <c r="D13" s="2748"/>
      <c r="E13" s="2749" t="e">
        <f t="shared" ca="1" si="1"/>
        <v>#REF!</v>
      </c>
      <c r="F13" s="2749" t="e">
        <f t="shared" ca="1" si="2"/>
        <v>#REF!</v>
      </c>
      <c r="G13" s="2746"/>
      <c r="H13" s="2746"/>
      <c r="I13" s="2746"/>
      <c r="J13" s="2746"/>
      <c r="K13" s="2746"/>
      <c r="L13" s="2746"/>
      <c r="M13" s="2746"/>
      <c r="N13" s="2746"/>
    </row>
    <row r="14" spans="1:14" ht="14.25">
      <c r="A14" s="2755"/>
      <c r="B14" s="2756" t="e">
        <f t="shared" ca="1" si="0"/>
        <v>#REF!</v>
      </c>
      <c r="C14" s="2751" t="s">
        <v>2196</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11" sqref="D11"/>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31" s="1654" customFormat="1" ht="18" customHeight="1">
      <c r="A2" s="1709" t="s">
        <v>427</v>
      </c>
      <c r="B2" s="1713">
        <f ca="1">C36</f>
        <v>9375</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8514</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17260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1151</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22310</v>
      </c>
      <c r="D6" s="2135"/>
      <c r="E6" s="2135"/>
      <c r="F6" s="2135"/>
      <c r="G6" s="2135"/>
      <c r="H6" s="2135"/>
      <c r="I6" s="2135"/>
      <c r="J6" s="2135"/>
      <c r="K6" s="2137"/>
      <c r="L6" s="2703"/>
      <c r="M6" s="2703"/>
      <c r="N6" s="2703"/>
      <c r="O6" s="2703"/>
      <c r="P6" s="2703"/>
      <c r="Q6" s="2703"/>
      <c r="R6" s="2703"/>
      <c r="S6" s="2703"/>
      <c r="T6" s="2703"/>
      <c r="U6" s="2703"/>
      <c r="V6" s="2703"/>
      <c r="W6" s="2703"/>
      <c r="X6" s="2703"/>
      <c r="Y6" s="2703"/>
      <c r="Z6" s="2703"/>
    </row>
    <row r="7" spans="1:31" s="1721" customFormat="1" ht="15">
      <c r="A7" s="2138" t="s">
        <v>430</v>
      </c>
      <c r="B7" s="2139" t="s">
        <v>431</v>
      </c>
      <c r="C7" s="406" t="s">
        <v>851</v>
      </c>
      <c r="D7" s="406" t="s">
        <v>2728</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'不动产比较法-住宅'!B3</f>
        <v>32706</v>
      </c>
      <c r="D8" s="2140">
        <f>'不动产比较法-车位'!B3</f>
        <v>8171</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5999.630000000001</v>
      </c>
      <c r="D9" s="411">
        <f>SUMIF('数据-汇总表'!$C19:$C33,'剩余法-待开发'!D7,'数据-汇总表'!$E19:$E33)</f>
        <v>3289.81</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'不动产比较法-住宅'!B2</f>
        <v>19622</v>
      </c>
      <c r="D10" s="2315">
        <f>'不动产比较法-车位'!B2</f>
        <v>2688</v>
      </c>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3"/>
      <c r="M11" s="2703"/>
      <c r="N11" s="2703"/>
      <c r="O11" s="2703"/>
      <c r="P11" s="2703"/>
      <c r="Q11" s="2703"/>
      <c r="R11" s="2703"/>
      <c r="S11" s="2703"/>
      <c r="T11" s="2703"/>
      <c r="U11" s="2703"/>
      <c r="V11" s="2703"/>
      <c r="W11" s="2703"/>
      <c r="X11" s="2703"/>
      <c r="Y11" s="2703"/>
      <c r="Z11" s="2703"/>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4"/>
      <c r="M12" s="2704"/>
      <c r="N12" s="2704"/>
      <c r="O12" s="2704"/>
      <c r="P12" s="2704"/>
      <c r="Q12" s="2704"/>
      <c r="R12" s="2704"/>
      <c r="S12" s="2704"/>
      <c r="T12" s="2704"/>
      <c r="U12" s="2704"/>
      <c r="V12" s="2704"/>
      <c r="W12" s="2704"/>
      <c r="X12" s="2704"/>
      <c r="Y12" s="2704"/>
      <c r="Z12" s="2704"/>
    </row>
    <row r="13" spans="1:31" s="1724" customFormat="1" ht="13.5" customHeight="1">
      <c r="A13" s="2148" t="s">
        <v>1377</v>
      </c>
      <c r="B13" s="2149" t="s">
        <v>439</v>
      </c>
      <c r="C13" s="419">
        <f ca="1">IF(B1="",'数据-取费表'!P16,INDIRECT("'数据-取费表'!p"&amp;$K$1)+INDIRECT("'数据-取费表'!t"&amp;$K$1))</f>
        <v>5805</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406</v>
      </c>
      <c r="D14" s="2150"/>
      <c r="E14" s="339"/>
      <c r="F14" s="2154">
        <f>'数据-取费表'!B33</f>
        <v>7.0000000000000007E-2</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195</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220</v>
      </c>
      <c r="D16" s="2150">
        <f ca="1">IF(B1="",'数据-汇总表'!E3,INDIRECT("'数据-取费表'!K"&amp;$K$1)+INDIRECT("'数据-取费表'!S"&amp;$K$1))</f>
        <v>11011.79</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116</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6742</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11011.79</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196</v>
      </c>
      <c r="D20" s="2159"/>
      <c r="E20" s="1631"/>
      <c r="F20" s="2160"/>
      <c r="G20" s="2344"/>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96</v>
      </c>
      <c r="D21" s="2150">
        <f ca="1">IF(B1="",'数据-汇总表'!E5,IF(INDIRECT("'数据-取费表'!c"&amp;$K$1)="住宅",INDIRECT("'数据-取费表'!k"&amp;$K$1),0))</f>
        <v>5999.630000000001</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100</v>
      </c>
      <c r="D22" s="2150">
        <f ca="1">IF(B1="",'数据-汇总表'!E6,IF(INDIRECT("'数据-取费表'!c"&amp;$K$1)="住宅",INDIRECT("'数据-取费表'!s"&amp;$K$1),INDIRECT("'数据-取费表'!k"&amp;$K$1)+INDIRECT("'数据-取费表'!s"&amp;$K$1)))</f>
        <v>5012.16</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139</v>
      </c>
      <c r="D23" s="437"/>
      <c r="E23" s="437"/>
      <c r="F23" s="2161">
        <f>'数据-取费表'!B37</f>
        <v>0.02</v>
      </c>
      <c r="G23" s="2122" t="s">
        <v>1782</v>
      </c>
      <c r="H23" s="2123"/>
      <c r="I23" s="2123"/>
      <c r="J23" s="2123"/>
      <c r="K23" s="2124"/>
      <c r="L23" s="2705"/>
      <c r="M23" s="2705"/>
      <c r="N23" s="2705"/>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558</v>
      </c>
      <c r="D24" s="444"/>
      <c r="E24" s="442"/>
      <c r="F24" s="2161">
        <f>'数据-取费表'!B38</f>
        <v>2.5000000000000001E-2</v>
      </c>
      <c r="G24" s="2127" t="s">
        <v>459</v>
      </c>
      <c r="H24" s="1061"/>
      <c r="I24" s="1061"/>
      <c r="J24" s="1061"/>
      <c r="K24" s="258"/>
      <c r="L24" s="2705"/>
      <c r="M24" s="2705"/>
      <c r="N24" s="2705"/>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6"/>
      <c r="M25" s="2706"/>
      <c r="N25" s="2706"/>
      <c r="O25" s="2706"/>
      <c r="P25" s="2706"/>
      <c r="Q25" s="2706"/>
      <c r="R25" s="2706"/>
      <c r="S25" s="2706"/>
      <c r="T25" s="2706"/>
      <c r="U25" s="2706"/>
      <c r="V25" s="2706"/>
      <c r="W25" s="2706"/>
      <c r="X25" s="2706"/>
      <c r="Y25" s="2706"/>
      <c r="Z25" s="2706"/>
    </row>
    <row r="26" spans="1:26" s="1726" customFormat="1" ht="13.5" customHeight="1">
      <c r="A26" s="2155" t="s">
        <v>1390</v>
      </c>
      <c r="B26" s="2320" t="s">
        <v>2111</v>
      </c>
      <c r="C26" s="2162">
        <f ca="1">C28</f>
        <v>306</v>
      </c>
      <c r="D26" s="436">
        <f ca="1">C27</f>
        <v>8.4000000000000005E-2</v>
      </c>
      <c r="E26" s="438" t="s">
        <v>455</v>
      </c>
      <c r="F26" s="440">
        <f ca="1">'数据-取费表'!B40</f>
        <v>3.1899999999999998E-2</v>
      </c>
      <c r="G26" s="2045"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8" customFormat="1" ht="13.5" customHeight="1">
      <c r="A27" s="738" t="s">
        <v>1385</v>
      </c>
      <c r="B27" s="2163" t="s">
        <v>456</v>
      </c>
      <c r="C27" s="2164">
        <f ca="1">ROUND(IF('数据-取费表'!B22&lt;=1,(1+C25)*F26*'数据-取费表'!B24,(1+C25)*(POWER((1+F26),'数据-取费表'!B24)-1)),4)</f>
        <v>8.4000000000000005E-2</v>
      </c>
      <c r="D27" s="441"/>
      <c r="E27" s="442"/>
      <c r="F27" s="443"/>
      <c r="G27" s="2045"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8" customFormat="1" ht="13.5" customHeight="1">
      <c r="A28" s="738" t="s">
        <v>1386</v>
      </c>
      <c r="B28" s="2163" t="s">
        <v>2113</v>
      </c>
      <c r="C28" s="2165">
        <f ca="1">ROUND(IF('数据-取费表'!B22&lt;=1,(C18+C19+C20+C23+C24)*F26*'数据-取费表'!B24/2,(C18+C19+C20+C23+C24)*(POWER((1+F26),'数据-取费表'!B24/2)-1)),0)</f>
        <v>306</v>
      </c>
      <c r="D28" s="441"/>
      <c r="E28" s="442"/>
      <c r="F28" s="443"/>
      <c r="G28" s="2045"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8" customFormat="1" ht="13.5" customHeight="1">
      <c r="A29" s="2166" t="s">
        <v>1391</v>
      </c>
      <c r="B29" s="2156" t="s">
        <v>457</v>
      </c>
      <c r="C29" s="2157">
        <f>ROUND(C6*F29/(1+'数据-取费表'!C42),0)</f>
        <v>1169</v>
      </c>
      <c r="D29" s="437"/>
      <c r="E29" s="437"/>
      <c r="F29" s="2321">
        <f>'数据-取费表'!B41</f>
        <v>5.5000000000000007E-2</v>
      </c>
      <c r="G29" s="2127" t="s">
        <v>458</v>
      </c>
      <c r="H29" s="2123"/>
      <c r="I29" s="2123"/>
      <c r="J29" s="2123"/>
      <c r="K29" s="2124"/>
      <c r="L29" s="2707"/>
      <c r="M29" s="2707"/>
      <c r="N29" s="2707"/>
      <c r="O29" s="2707"/>
      <c r="P29" s="2707"/>
      <c r="Q29" s="2707"/>
      <c r="R29" s="2707"/>
      <c r="S29" s="2707"/>
      <c r="T29" s="2707"/>
      <c r="U29" s="2707"/>
      <c r="V29" s="2707"/>
      <c r="W29" s="2707"/>
      <c r="X29" s="2707"/>
      <c r="Y29" s="2707"/>
      <c r="Z29" s="2707"/>
    </row>
    <row r="30" spans="1:26" s="1729" customFormat="1" ht="13.5" customHeight="1">
      <c r="A30" s="1357" t="s">
        <v>1392</v>
      </c>
      <c r="B30" s="2167" t="s">
        <v>460</v>
      </c>
      <c r="C30" s="2162">
        <f ca="1">C31</f>
        <v>9110</v>
      </c>
      <c r="D30" s="446">
        <f ca="1">C32</f>
        <v>0.113</v>
      </c>
      <c r="E30" s="438" t="s">
        <v>455</v>
      </c>
      <c r="F30" s="440"/>
      <c r="G30" s="2126" t="s">
        <v>2219</v>
      </c>
      <c r="H30" s="2123"/>
      <c r="I30" s="2123"/>
      <c r="J30" s="2123"/>
      <c r="K30" s="2124"/>
      <c r="L30" s="2708"/>
      <c r="M30" s="2708"/>
      <c r="N30" s="2708"/>
      <c r="O30" s="2708"/>
      <c r="P30" s="2708"/>
      <c r="Q30" s="2708"/>
      <c r="R30" s="2708"/>
      <c r="S30" s="2708"/>
      <c r="T30" s="2708"/>
      <c r="U30" s="2708"/>
      <c r="V30" s="2708"/>
      <c r="W30" s="2708"/>
      <c r="X30" s="2708"/>
      <c r="Y30" s="2708"/>
      <c r="Z30" s="2708"/>
    </row>
    <row r="31" spans="1:26" s="1728" customFormat="1" ht="13.5" customHeight="1">
      <c r="A31" s="738" t="s">
        <v>1385</v>
      </c>
      <c r="B31" s="2163"/>
      <c r="C31" s="419">
        <f ca="1">C18+C19+C20+C23+C24+C26+C29</f>
        <v>9110</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8" customFormat="1" ht="13.5" customHeight="1">
      <c r="A32" s="738" t="s">
        <v>1386</v>
      </c>
      <c r="B32" s="2163"/>
      <c r="C32" s="49">
        <f ca="1">ROUND(C25+D26,4)</f>
        <v>0.113</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0" customFormat="1" ht="13.5" customHeight="1">
      <c r="A33" s="2318" t="s">
        <v>2108</v>
      </c>
      <c r="B33" s="2316" t="s">
        <v>2106</v>
      </c>
      <c r="C33" s="447">
        <f ca="1">C35</f>
        <v>1222</v>
      </c>
      <c r="D33" s="436">
        <f ca="1">C34</f>
        <v>0.1646</v>
      </c>
      <c r="E33" s="438" t="s">
        <v>455</v>
      </c>
      <c r="F33" s="448">
        <f ca="1">IF(B1="",'数据-取费表'!Q16,INDIRECT("'数据-取费表'!q"&amp;$K$1))</f>
        <v>0.16</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1" customFormat="1" ht="13.5" customHeight="1">
      <c r="A34" s="345" t="s">
        <v>1385</v>
      </c>
      <c r="B34" s="2168" t="s">
        <v>461</v>
      </c>
      <c r="C34" s="441">
        <f ca="1">ROUND((1+C25)*F33,4)</f>
        <v>0.1646</v>
      </c>
      <c r="D34" s="441"/>
      <c r="E34" s="442"/>
      <c r="F34" s="449"/>
      <c r="G34" s="241" t="s">
        <v>1648</v>
      </c>
      <c r="H34" s="1061"/>
      <c r="I34" s="1061"/>
      <c r="J34" s="1061"/>
      <c r="K34" s="258"/>
      <c r="L34" s="2710"/>
      <c r="M34" s="2710"/>
      <c r="N34" s="2710"/>
      <c r="O34" s="2710"/>
      <c r="P34" s="2710"/>
      <c r="Q34" s="2710"/>
      <c r="R34" s="2710"/>
      <c r="S34" s="2710"/>
      <c r="T34" s="2710"/>
      <c r="U34" s="2710"/>
      <c r="V34" s="2710"/>
      <c r="W34" s="2710"/>
      <c r="X34" s="2710"/>
      <c r="Y34" s="2710"/>
      <c r="Z34" s="2710"/>
    </row>
    <row r="35" spans="1:26" s="1731" customFormat="1" ht="13.5" customHeight="1" thickBot="1">
      <c r="A35" s="1358" t="s">
        <v>1386</v>
      </c>
      <c r="B35" s="2317" t="s">
        <v>2114</v>
      </c>
      <c r="C35" s="1350">
        <f ca="1">ROUND((C18+C19+C20+C23+C24)*F33,0)</f>
        <v>1222</v>
      </c>
      <c r="D35" s="1351"/>
      <c r="E35" s="2169"/>
      <c r="F35" s="1352"/>
      <c r="G35" s="2128"/>
      <c r="H35" s="2129"/>
      <c r="I35" s="2129"/>
      <c r="J35" s="2129"/>
      <c r="K35" s="2130"/>
      <c r="L35" s="2710"/>
      <c r="M35" s="2710"/>
      <c r="N35" s="2710"/>
      <c r="O35" s="2710"/>
      <c r="P35" s="2710"/>
      <c r="Q35" s="2710"/>
      <c r="R35" s="2710"/>
      <c r="S35" s="2710"/>
      <c r="T35" s="2710"/>
      <c r="U35" s="2710"/>
      <c r="V35" s="2710"/>
      <c r="W35" s="2710"/>
      <c r="X35" s="2710"/>
      <c r="Y35" s="2710"/>
      <c r="Z35" s="2710"/>
    </row>
    <row r="36" spans="1:26" s="1695" customFormat="1" ht="13.5" customHeight="1" thickBot="1">
      <c r="A36" s="262" t="s">
        <v>1373</v>
      </c>
      <c r="B36" s="2132"/>
      <c r="C36" s="2170">
        <f ca="1">ROUND((C6-C30-C33)/(1+D30+D33),0)</f>
        <v>9375</v>
      </c>
      <c r="D36" s="2132"/>
      <c r="E36" s="2132"/>
      <c r="F36" s="2132"/>
      <c r="G36" s="2131" t="s">
        <v>2115</v>
      </c>
      <c r="H36" s="2132"/>
      <c r="I36" s="2132"/>
      <c r="J36" s="2132"/>
      <c r="K36" s="2133"/>
      <c r="L36" s="2704"/>
      <c r="M36" s="2704"/>
      <c r="N36" s="2704"/>
      <c r="O36" s="2704"/>
      <c r="P36" s="2704"/>
      <c r="Q36" s="2704"/>
      <c r="R36" s="2704"/>
      <c r="S36" s="2704"/>
      <c r="T36" s="2704"/>
      <c r="U36" s="2704"/>
      <c r="V36" s="2704"/>
      <c r="W36" s="2704"/>
      <c r="X36" s="2704"/>
      <c r="Y36" s="2704"/>
      <c r="Z36" s="2704"/>
    </row>
    <row r="37" spans="1:26" s="1723" customFormat="1">
      <c r="A37" s="2711"/>
      <c r="C37" s="2712"/>
      <c r="E37" s="2711"/>
    </row>
    <row r="38" spans="1:26" s="1723" customFormat="1" ht="12.75" customHeight="1">
      <c r="A38" s="2711"/>
      <c r="C38" s="2712"/>
      <c r="E38" s="2711"/>
    </row>
    <row r="39" spans="1:26" s="1723" customFormat="1">
      <c r="A39" s="2711"/>
      <c r="C39" s="2712"/>
      <c r="E39" s="2711"/>
    </row>
    <row r="40" spans="1:26" s="1723" customFormat="1">
      <c r="A40" s="2711"/>
      <c r="C40" s="2712"/>
      <c r="E40" s="2711"/>
    </row>
    <row r="41" spans="1:26" s="1723" customFormat="1">
      <c r="A41" s="2711"/>
      <c r="C41" s="2712"/>
      <c r="E41" s="2711"/>
    </row>
    <row r="42" spans="1:26" s="1723" customFormat="1">
      <c r="A42" s="2711"/>
      <c r="C42" s="2712"/>
      <c r="E42" s="2711"/>
    </row>
    <row r="43" spans="1:26" s="1723" customFormat="1">
      <c r="A43" s="2711"/>
      <c r="C43" s="2712"/>
      <c r="E43" s="2711"/>
    </row>
    <row r="44" spans="1:26" s="1723" customFormat="1">
      <c r="A44" s="2711"/>
      <c r="C44" s="2712"/>
      <c r="E44" s="2711"/>
    </row>
    <row r="45" spans="1:26" s="1723" customFormat="1">
      <c r="A45" s="2711"/>
      <c r="C45" s="2712"/>
      <c r="E45" s="2711"/>
    </row>
    <row r="46" spans="1:26" s="1723" customFormat="1">
      <c r="A46" s="2711"/>
      <c r="C46" s="2712"/>
      <c r="E46" s="2711"/>
    </row>
    <row r="47" spans="1:26" s="1723" customFormat="1">
      <c r="A47" s="2711"/>
      <c r="C47" s="2712"/>
      <c r="E47" s="2711"/>
    </row>
    <row r="48" spans="1:26"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row r="212" spans="1:5" s="1723" customFormat="1">
      <c r="A212" s="2711"/>
      <c r="C212" s="2712"/>
      <c r="E212" s="2711"/>
    </row>
    <row r="213" spans="1:5" s="1723" customFormat="1">
      <c r="A213" s="2711"/>
      <c r="C213" s="2712"/>
      <c r="E213" s="2711"/>
    </row>
    <row r="214" spans="1:5" s="1723" customFormat="1">
      <c r="A214" s="2711"/>
      <c r="C214" s="2712"/>
      <c r="E214" s="2711"/>
    </row>
    <row r="215" spans="1:5" s="1723" customFormat="1">
      <c r="A215" s="2711"/>
      <c r="C215" s="2712"/>
      <c r="E215" s="2711"/>
    </row>
    <row r="216" spans="1:5" s="1723" customFormat="1">
      <c r="A216" s="2711"/>
      <c r="C216" s="2712"/>
      <c r="E216" s="2711"/>
    </row>
    <row r="217" spans="1:5" s="1723" customFormat="1">
      <c r="A217" s="2711"/>
      <c r="C217" s="2712"/>
      <c r="E217" s="2711"/>
    </row>
    <row r="218" spans="1:5" s="1723" customFormat="1">
      <c r="A218" s="2711"/>
      <c r="C218" s="2712"/>
      <c r="E218" s="2711"/>
    </row>
    <row r="219" spans="1:5" s="1723" customFormat="1">
      <c r="A219" s="2711"/>
      <c r="C219" s="2712"/>
      <c r="E219" s="2711"/>
    </row>
    <row r="220" spans="1:5" s="1723" customFormat="1">
      <c r="A220" s="2711"/>
      <c r="C220" s="2712"/>
      <c r="E220" s="2711"/>
    </row>
    <row r="221" spans="1:5" s="1723" customFormat="1">
      <c r="A221" s="2711"/>
      <c r="C221" s="2712"/>
      <c r="E221" s="2711"/>
    </row>
    <row r="222" spans="1:5" s="1723" customFormat="1">
      <c r="A222" s="2711"/>
      <c r="C222" s="2712"/>
      <c r="E222" s="2711"/>
    </row>
    <row r="223" spans="1:5" s="1723" customFormat="1">
      <c r="A223" s="2711"/>
      <c r="C223" s="2712"/>
      <c r="E223" s="2711"/>
    </row>
    <row r="224" spans="1:5" s="1723" customFormat="1">
      <c r="A224" s="2711"/>
      <c r="C224" s="2712"/>
      <c r="E224" s="2711"/>
    </row>
    <row r="225" spans="1:5" s="1723" customFormat="1">
      <c r="A225" s="2711"/>
      <c r="C225" s="2712"/>
      <c r="E225" s="2711"/>
    </row>
    <row r="226" spans="1:5" s="1723" customFormat="1">
      <c r="A226" s="2711"/>
      <c r="C226" s="2712"/>
      <c r="E226" s="2711"/>
    </row>
    <row r="227" spans="1:5" s="1723" customFormat="1">
      <c r="A227" s="2711"/>
      <c r="C227" s="2712"/>
      <c r="E227" s="2711"/>
    </row>
    <row r="228" spans="1:5" s="1723" customFormat="1">
      <c r="A228" s="2711"/>
      <c r="C228" s="2712"/>
      <c r="E228" s="2711"/>
    </row>
    <row r="229" spans="1:5" s="1723" customFormat="1">
      <c r="A229" s="2711"/>
      <c r="C229" s="2712"/>
      <c r="E229" s="2711"/>
    </row>
    <row r="230" spans="1:5" s="1723" customFormat="1">
      <c r="A230" s="2711"/>
      <c r="C230" s="2712"/>
      <c r="E230" s="2711"/>
    </row>
    <row r="231" spans="1:5" s="1723" customFormat="1">
      <c r="A231" s="2711"/>
      <c r="C231" s="2712"/>
      <c r="E231" s="2711"/>
    </row>
    <row r="232" spans="1:5" s="1723" customFormat="1">
      <c r="A232" s="2711"/>
      <c r="C232" s="2712"/>
      <c r="E232" s="2711"/>
    </row>
    <row r="233" spans="1:5" s="1723" customFormat="1">
      <c r="A233" s="2711"/>
      <c r="C233" s="2712"/>
      <c r="E233" s="2711"/>
    </row>
    <row r="234" spans="1:5" s="1723" customFormat="1">
      <c r="A234" s="2711"/>
      <c r="C234" s="2712"/>
      <c r="E234" s="2711"/>
    </row>
    <row r="235" spans="1:5" s="1723" customFormat="1">
      <c r="A235" s="2711"/>
      <c r="C235" s="2712"/>
      <c r="E235" s="2711"/>
    </row>
    <row r="236" spans="1:5" s="1723" customFormat="1">
      <c r="A236" s="2711"/>
      <c r="C236" s="2712"/>
      <c r="E236" s="2711"/>
    </row>
    <row r="237" spans="1:5" s="1723" customFormat="1">
      <c r="A237" s="2711"/>
      <c r="C237" s="2712"/>
      <c r="E237" s="2711"/>
    </row>
    <row r="238" spans="1:5" s="1723" customFormat="1">
      <c r="A238" s="2711"/>
      <c r="C238" s="2712"/>
      <c r="E238" s="2711"/>
    </row>
    <row r="239" spans="1:5" s="1723" customFormat="1">
      <c r="A239" s="2711"/>
      <c r="C239" s="2712"/>
      <c r="E239" s="2711"/>
    </row>
    <row r="240" spans="1:5" s="1723" customFormat="1">
      <c r="A240" s="2711"/>
      <c r="C240" s="2712"/>
      <c r="E240" s="2711"/>
    </row>
    <row r="241" spans="1:5" s="1723" customFormat="1">
      <c r="A241" s="2711"/>
      <c r="C241" s="2712"/>
      <c r="E241" s="2711"/>
    </row>
    <row r="242" spans="1:5" s="1723" customFormat="1">
      <c r="A242" s="2711"/>
      <c r="C242" s="2712"/>
      <c r="E242" s="2711"/>
    </row>
    <row r="243" spans="1:5" s="1723" customFormat="1">
      <c r="A243" s="2711"/>
      <c r="C243" s="2712"/>
      <c r="E243" s="2711"/>
    </row>
    <row r="244" spans="1:5" s="1723" customFormat="1">
      <c r="A244" s="2711"/>
      <c r="C244" s="2712"/>
      <c r="E244" s="2711"/>
    </row>
    <row r="245" spans="1:5" s="1723" customFormat="1">
      <c r="A245" s="2711"/>
      <c r="C245" s="2712"/>
      <c r="E245" s="2711"/>
    </row>
    <row r="246" spans="1:5" s="1723" customFormat="1">
      <c r="A246" s="2711"/>
      <c r="C246" s="2712"/>
      <c r="E246" s="2711"/>
    </row>
    <row r="247" spans="1:5" s="1723" customFormat="1">
      <c r="A247" s="2711"/>
      <c r="C247" s="2712"/>
      <c r="E247" s="2711"/>
    </row>
    <row r="248" spans="1:5" s="1723" customFormat="1">
      <c r="A248" s="2711"/>
      <c r="C248" s="2712"/>
      <c r="E248" s="2711"/>
    </row>
    <row r="249" spans="1:5" s="1723" customFormat="1">
      <c r="A249" s="2711"/>
      <c r="C249" s="2712"/>
      <c r="E249" s="2711"/>
    </row>
    <row r="250" spans="1:5" s="1723" customFormat="1">
      <c r="A250" s="2711"/>
      <c r="C250" s="2712"/>
      <c r="E250" s="2711"/>
    </row>
    <row r="251" spans="1:5" s="1723" customFormat="1">
      <c r="A251" s="2711"/>
      <c r="C251" s="2712"/>
      <c r="E251" s="2711"/>
    </row>
    <row r="252" spans="1:5" s="1723" customFormat="1">
      <c r="A252" s="2711"/>
      <c r="C252" s="2712"/>
      <c r="E252" s="2711"/>
    </row>
    <row r="253" spans="1:5" s="1723" customFormat="1">
      <c r="A253" s="2711"/>
      <c r="C253" s="2712"/>
      <c r="E253" s="2711"/>
    </row>
    <row r="254" spans="1:5" s="1723" customFormat="1">
      <c r="A254" s="2711"/>
      <c r="C254" s="2712"/>
      <c r="E254" s="2711"/>
    </row>
    <row r="255" spans="1:5" s="1723" customFormat="1">
      <c r="A255" s="2711"/>
      <c r="C255" s="2712"/>
      <c r="E255" s="2711"/>
    </row>
    <row r="256" spans="1:5" s="1723" customFormat="1">
      <c r="A256" s="2711"/>
      <c r="C256" s="2712"/>
      <c r="E256" s="2711"/>
    </row>
    <row r="257" spans="1:5" s="1723" customFormat="1">
      <c r="A257" s="2711"/>
      <c r="C257" s="2712"/>
      <c r="E257" s="2711"/>
    </row>
    <row r="258" spans="1:5" s="1723" customFormat="1">
      <c r="A258" s="2711"/>
      <c r="C258" s="2712"/>
      <c r="E258" s="2711"/>
    </row>
    <row r="259" spans="1:5" s="1723" customFormat="1">
      <c r="A259" s="2711"/>
      <c r="C259" s="2712"/>
      <c r="E259" s="2711"/>
    </row>
    <row r="260" spans="1:5" s="1723" customFormat="1">
      <c r="A260" s="2711"/>
      <c r="C260" s="2712"/>
      <c r="E260" s="2711"/>
    </row>
    <row r="261" spans="1:5" s="1723" customFormat="1">
      <c r="A261" s="2711"/>
      <c r="C261" s="2712"/>
      <c r="E261" s="2711"/>
    </row>
    <row r="262" spans="1:5" s="1723" customFormat="1">
      <c r="A262" s="2711"/>
      <c r="C262" s="2712"/>
      <c r="E262" s="2711"/>
    </row>
    <row r="263" spans="1:5" s="1723" customFormat="1">
      <c r="A263" s="2711"/>
      <c r="C263" s="2712"/>
      <c r="E263" s="2711"/>
    </row>
    <row r="264" spans="1:5" s="1723" customFormat="1">
      <c r="A264" s="2711"/>
      <c r="C264" s="2712"/>
      <c r="E264" s="2711"/>
    </row>
    <row r="265" spans="1:5" s="1723" customFormat="1">
      <c r="A265" s="2711"/>
      <c r="C265" s="2712"/>
      <c r="E265" s="2711"/>
    </row>
    <row r="266" spans="1:5" s="1723" customFormat="1">
      <c r="A266" s="2711"/>
      <c r="C266" s="2712"/>
      <c r="E266" s="2711"/>
    </row>
    <row r="267" spans="1:5" s="1723" customFormat="1">
      <c r="A267" s="2711"/>
      <c r="C267" s="2712"/>
      <c r="E267" s="2711"/>
    </row>
    <row r="268" spans="1:5" s="1723" customFormat="1">
      <c r="A268" s="2711"/>
      <c r="C268" s="2712"/>
      <c r="E268" s="2711"/>
    </row>
    <row r="269" spans="1:5" s="1723" customFormat="1">
      <c r="A269" s="2711"/>
      <c r="C269" s="2712"/>
      <c r="E269" s="2711"/>
    </row>
    <row r="270" spans="1:5" s="1723" customFormat="1">
      <c r="A270" s="2711"/>
      <c r="C270" s="2712"/>
      <c r="E270" s="2711"/>
    </row>
    <row r="271" spans="1:5" s="1723" customFormat="1">
      <c r="A271" s="2711"/>
      <c r="C271" s="2712"/>
      <c r="E271" s="2711"/>
    </row>
    <row r="272" spans="1:5" s="1723" customFormat="1">
      <c r="A272" s="2711"/>
      <c r="C272" s="2712"/>
      <c r="E272" s="2711"/>
    </row>
    <row r="273" spans="1:5" s="1723" customFormat="1">
      <c r="A273" s="2711"/>
      <c r="C273" s="2712"/>
      <c r="E273" s="2711"/>
    </row>
    <row r="274" spans="1:5" s="1723" customFormat="1">
      <c r="A274" s="2711"/>
      <c r="C274" s="2712"/>
      <c r="E274" s="2711"/>
    </row>
    <row r="275" spans="1:5" s="1723" customFormat="1">
      <c r="A275" s="2711"/>
      <c r="C275" s="2712"/>
      <c r="E275" s="2711"/>
    </row>
    <row r="276" spans="1:5" s="1723" customFormat="1">
      <c r="A276" s="2711"/>
      <c r="C276" s="2712"/>
      <c r="E276" s="2711"/>
    </row>
    <row r="277" spans="1:5" s="1723" customFormat="1">
      <c r="A277" s="2711"/>
      <c r="C277" s="2712"/>
      <c r="E277" s="2711"/>
    </row>
    <row r="278" spans="1:5" s="1723" customFormat="1">
      <c r="A278" s="2711"/>
      <c r="C278" s="2712"/>
      <c r="E278" s="2711"/>
    </row>
    <row r="279" spans="1:5" s="1723" customFormat="1">
      <c r="A279" s="2711"/>
      <c r="C279" s="2712"/>
      <c r="E279" s="2711"/>
    </row>
    <row r="280" spans="1:5" s="1723" customFormat="1">
      <c r="A280" s="2711"/>
      <c r="C280" s="2712"/>
      <c r="E280" s="2711"/>
    </row>
    <row r="281" spans="1:5" s="1723" customFormat="1">
      <c r="A281" s="2711"/>
      <c r="C281" s="2712"/>
      <c r="E281" s="2711"/>
    </row>
    <row r="282" spans="1:5" s="1723" customFormat="1">
      <c r="A282" s="2711"/>
      <c r="C282" s="2712"/>
      <c r="E282" s="2711"/>
    </row>
    <row r="283" spans="1:5" s="1723" customFormat="1">
      <c r="A283" s="2711"/>
      <c r="C283" s="2712"/>
      <c r="E283" s="2711"/>
    </row>
    <row r="284" spans="1:5" s="1723" customFormat="1">
      <c r="A284" s="2711"/>
      <c r="C284" s="2712"/>
      <c r="E284" s="2711"/>
    </row>
    <row r="285" spans="1:5" s="1723" customFormat="1">
      <c r="A285" s="2711"/>
      <c r="C285" s="2712"/>
      <c r="E285" s="2711"/>
    </row>
    <row r="286" spans="1:5" s="1723" customFormat="1">
      <c r="A286" s="2711"/>
      <c r="C286" s="2712"/>
      <c r="E286" s="2711"/>
    </row>
    <row r="287" spans="1:5" s="1723" customFormat="1">
      <c r="A287" s="2711"/>
      <c r="C287" s="2712"/>
      <c r="E287" s="2711"/>
    </row>
    <row r="288" spans="1:5" s="1723" customFormat="1">
      <c r="A288" s="2711"/>
      <c r="C288" s="2712"/>
      <c r="E288" s="2711"/>
    </row>
    <row r="289" spans="1:5" s="1723" customFormat="1">
      <c r="A289" s="2711"/>
      <c r="C289" s="2712"/>
      <c r="E289" s="2711"/>
    </row>
    <row r="290" spans="1:5" s="1723" customFormat="1">
      <c r="A290" s="2711"/>
      <c r="C290" s="2712"/>
      <c r="E290" s="2711"/>
    </row>
    <row r="291" spans="1:5" s="1723" customFormat="1">
      <c r="A291" s="2711"/>
      <c r="C291" s="2712"/>
      <c r="E291" s="2711"/>
    </row>
    <row r="292" spans="1:5" s="1723" customFormat="1">
      <c r="A292" s="2711"/>
      <c r="C292" s="2712"/>
      <c r="E292" s="2711"/>
    </row>
    <row r="293" spans="1:5" s="1723" customFormat="1">
      <c r="A293" s="2711"/>
      <c r="C293" s="2712"/>
      <c r="E293" s="2711"/>
    </row>
    <row r="294" spans="1:5" s="1723" customFormat="1">
      <c r="A294" s="2711"/>
      <c r="C294" s="2712"/>
      <c r="E294" s="2711"/>
    </row>
    <row r="295" spans="1:5" s="1723" customFormat="1">
      <c r="A295" s="2711"/>
      <c r="C295" s="2712"/>
      <c r="E295" s="2711"/>
    </row>
    <row r="296" spans="1:5" s="1723" customFormat="1">
      <c r="A296" s="2711"/>
      <c r="C296" s="2712"/>
      <c r="E296" s="2711"/>
    </row>
    <row r="297" spans="1:5" s="1723" customFormat="1">
      <c r="A297" s="2711"/>
      <c r="C297" s="2712"/>
      <c r="E297" s="2711"/>
    </row>
    <row r="298" spans="1:5" s="1723" customFormat="1">
      <c r="A298" s="2711"/>
      <c r="C298" s="2712"/>
      <c r="E298" s="2711"/>
    </row>
    <row r="299" spans="1:5" s="1723" customFormat="1">
      <c r="A299" s="2711"/>
      <c r="C299" s="2712"/>
      <c r="E299" s="2711"/>
    </row>
    <row r="300" spans="1:5" s="1723" customFormat="1">
      <c r="A300" s="2711"/>
      <c r="C300" s="2712"/>
      <c r="E300" s="2711"/>
    </row>
    <row r="301" spans="1:5" s="1723" customFormat="1">
      <c r="A301" s="2711"/>
      <c r="C301" s="2712"/>
      <c r="E301" s="2711"/>
    </row>
    <row r="302" spans="1:5" s="1723" customFormat="1">
      <c r="A302" s="2711"/>
      <c r="C302" s="2712"/>
      <c r="E302" s="2711"/>
    </row>
    <row r="303" spans="1:5" s="1723" customFormat="1">
      <c r="A303" s="2711"/>
      <c r="C303" s="2712"/>
      <c r="E303" s="2711"/>
    </row>
    <row r="304" spans="1:5" s="1723" customFormat="1">
      <c r="A304" s="2711"/>
      <c r="C304" s="2712"/>
      <c r="E304" s="2711"/>
    </row>
    <row r="305" spans="1:5" s="1723" customFormat="1">
      <c r="A305" s="2711"/>
      <c r="C305" s="2712"/>
      <c r="E305" s="2711"/>
    </row>
    <row r="306" spans="1:5" s="1723" customFormat="1">
      <c r="A306" s="2711"/>
      <c r="C306" s="2712"/>
      <c r="E306" s="2711"/>
    </row>
    <row r="307" spans="1:5" s="1723" customFormat="1">
      <c r="A307" s="2711"/>
      <c r="C307" s="2712"/>
      <c r="E307" s="2711"/>
    </row>
    <row r="308" spans="1:5" s="1723" customFormat="1">
      <c r="A308" s="2711"/>
      <c r="C308" s="2712"/>
      <c r="E308" s="2711"/>
    </row>
    <row r="309" spans="1:5" s="1723" customFormat="1">
      <c r="A309" s="2711"/>
      <c r="C309" s="2712"/>
      <c r="E309" s="2711"/>
    </row>
    <row r="310" spans="1:5" s="1723" customFormat="1">
      <c r="A310" s="2711"/>
      <c r="C310" s="2712"/>
      <c r="E310" s="2711"/>
    </row>
    <row r="311" spans="1:5" s="1723" customFormat="1">
      <c r="A311" s="2711"/>
      <c r="C311" s="2712"/>
      <c r="E311" s="2711"/>
    </row>
    <row r="312" spans="1:5" s="1723" customFormat="1">
      <c r="A312" s="2711"/>
      <c r="C312" s="2712"/>
      <c r="E312" s="2711"/>
    </row>
    <row r="313" spans="1:5" s="1723" customFormat="1">
      <c r="A313" s="2711"/>
      <c r="C313" s="2712"/>
      <c r="E313" s="2711"/>
    </row>
    <row r="314" spans="1:5" s="1723" customFormat="1">
      <c r="A314" s="2711"/>
      <c r="C314" s="2712"/>
      <c r="E314" s="2711"/>
    </row>
    <row r="315" spans="1:5" s="1723" customFormat="1">
      <c r="A315" s="2711"/>
      <c r="C315" s="2712"/>
      <c r="E315" s="2711"/>
    </row>
    <row r="316" spans="1:5" s="1723" customFormat="1">
      <c r="A316" s="2711"/>
      <c r="C316" s="2712"/>
      <c r="E316" s="2711"/>
    </row>
    <row r="317" spans="1:5" s="1723" customFormat="1">
      <c r="A317" s="2711"/>
      <c r="C317" s="2712"/>
      <c r="E317" s="2711"/>
    </row>
    <row r="318" spans="1:5" s="1723" customFormat="1">
      <c r="A318" s="2711"/>
      <c r="C318" s="2712"/>
      <c r="E318" s="2711"/>
    </row>
    <row r="319" spans="1:5" s="1723" customFormat="1">
      <c r="A319" s="2711"/>
      <c r="C319" s="2712"/>
      <c r="E319" s="2711"/>
    </row>
    <row r="320" spans="1:5" s="1723" customFormat="1">
      <c r="A320" s="2711"/>
      <c r="C320" s="2712"/>
      <c r="E320" s="2711"/>
    </row>
    <row r="321" spans="1:5" s="1723" customFormat="1">
      <c r="A321" s="2711"/>
      <c r="C321" s="2712"/>
      <c r="E321" s="2711"/>
    </row>
    <row r="322" spans="1:5" s="1723" customFormat="1">
      <c r="A322" s="2711"/>
      <c r="C322" s="2712"/>
      <c r="E322" s="2711"/>
    </row>
    <row r="323" spans="1:5" s="1723" customFormat="1">
      <c r="A323" s="2711"/>
      <c r="C323" s="2712"/>
      <c r="E323" s="2711"/>
    </row>
    <row r="324" spans="1:5" s="1723" customFormat="1">
      <c r="A324" s="2711"/>
      <c r="C324" s="2712"/>
      <c r="E324" s="2711"/>
    </row>
    <row r="325" spans="1:5" s="1723" customFormat="1">
      <c r="A325" s="2711"/>
      <c r="C325" s="2712"/>
      <c r="E325" s="2711"/>
    </row>
    <row r="326" spans="1:5" s="1723" customFormat="1">
      <c r="A326" s="2711"/>
      <c r="C326" s="2712"/>
      <c r="E326" s="2711"/>
    </row>
    <row r="327" spans="1:5" s="1723" customFormat="1">
      <c r="A327" s="2711"/>
      <c r="C327" s="2712"/>
      <c r="E327" s="2711"/>
    </row>
    <row r="328" spans="1:5" s="1723" customFormat="1">
      <c r="A328" s="2711"/>
      <c r="C328" s="2712"/>
      <c r="E328" s="2711"/>
    </row>
    <row r="329" spans="1:5" s="1723" customFormat="1">
      <c r="A329" s="2711"/>
      <c r="C329" s="2712"/>
      <c r="E329" s="2711"/>
    </row>
    <row r="330" spans="1:5" s="1723" customFormat="1">
      <c r="A330" s="2711"/>
      <c r="C330" s="2712"/>
      <c r="E330" s="2711"/>
    </row>
    <row r="331" spans="1:5" s="1723" customFormat="1">
      <c r="A331" s="2711"/>
      <c r="C331" s="2712"/>
      <c r="E331" s="2711"/>
    </row>
    <row r="332" spans="1:5" s="1723" customFormat="1">
      <c r="A332" s="2711"/>
      <c r="C332" s="2712"/>
      <c r="E332" s="2711"/>
    </row>
    <row r="333" spans="1:5" s="1723" customFormat="1">
      <c r="A333" s="2711"/>
      <c r="C333" s="2712"/>
      <c r="E333" s="2711"/>
    </row>
    <row r="334" spans="1:5" s="1723" customFormat="1">
      <c r="A334" s="2711"/>
      <c r="C334" s="2712"/>
      <c r="E334" s="2711"/>
    </row>
    <row r="335" spans="1:5" s="1723" customFormat="1">
      <c r="A335" s="2711"/>
      <c r="C335" s="2712"/>
      <c r="E335" s="2711"/>
    </row>
    <row r="336" spans="1:5" s="1723" customFormat="1">
      <c r="A336" s="2711"/>
      <c r="C336" s="2712"/>
      <c r="E336" s="2711"/>
    </row>
    <row r="337" spans="1:5" s="1723" customFormat="1">
      <c r="A337" s="2711"/>
      <c r="C337" s="2712"/>
      <c r="E337" s="2711"/>
    </row>
    <row r="338" spans="1:5" s="1723" customFormat="1">
      <c r="A338" s="2711"/>
      <c r="C338" s="2712"/>
      <c r="E338" s="2711"/>
    </row>
    <row r="339" spans="1:5" s="1723" customFormat="1">
      <c r="A339" s="2711"/>
      <c r="C339" s="2712"/>
      <c r="E339" s="2711"/>
    </row>
    <row r="340" spans="1:5" s="1723" customFormat="1">
      <c r="A340" s="2711"/>
      <c r="C340" s="2712"/>
      <c r="E340" s="2711"/>
    </row>
    <row r="341" spans="1:5" s="1723" customFormat="1">
      <c r="A341" s="2711"/>
      <c r="C341" s="2712"/>
      <c r="E341" s="2711"/>
    </row>
    <row r="342" spans="1:5" s="1723" customFormat="1">
      <c r="A342" s="2711"/>
      <c r="C342" s="2712"/>
      <c r="E342" s="2711"/>
    </row>
    <row r="343" spans="1:5" s="1723" customFormat="1">
      <c r="A343" s="2711"/>
      <c r="C343" s="2712"/>
      <c r="E343" s="2711"/>
    </row>
    <row r="344" spans="1:5" s="1723" customFormat="1">
      <c r="A344" s="2711"/>
      <c r="C344" s="2712"/>
      <c r="E344" s="2711"/>
    </row>
    <row r="345" spans="1:5" s="1723" customFormat="1">
      <c r="A345" s="2711"/>
      <c r="C345" s="2712"/>
      <c r="E345" s="2711"/>
    </row>
    <row r="346" spans="1:5" s="1723" customFormat="1">
      <c r="A346" s="2711"/>
      <c r="C346" s="2712"/>
      <c r="E346" s="2711"/>
    </row>
    <row r="347" spans="1:5" s="1723" customFormat="1">
      <c r="A347" s="2711"/>
      <c r="C347" s="2712"/>
      <c r="E347" s="2711"/>
    </row>
    <row r="348" spans="1:5" s="1723" customFormat="1">
      <c r="A348" s="2711"/>
      <c r="C348" s="2712"/>
      <c r="E348" s="2711"/>
    </row>
    <row r="349" spans="1:5" s="1723" customFormat="1">
      <c r="A349" s="2711"/>
      <c r="C349" s="2712"/>
      <c r="E349" s="2711"/>
    </row>
    <row r="350" spans="1:5" s="1723" customFormat="1">
      <c r="A350" s="2711"/>
      <c r="C350" s="2712"/>
      <c r="E350" s="2711"/>
    </row>
    <row r="351" spans="1:5" s="1723" customFormat="1">
      <c r="A351" s="2711"/>
      <c r="C351" s="2712"/>
      <c r="E351" s="2711"/>
    </row>
    <row r="352" spans="1:5" s="1723" customFormat="1">
      <c r="A352" s="2711"/>
      <c r="C352" s="2712"/>
      <c r="E352" s="2711"/>
    </row>
    <row r="353" spans="1:5" s="1723" customFormat="1">
      <c r="A353" s="2711"/>
      <c r="C353" s="2712"/>
      <c r="E353" s="2711"/>
    </row>
    <row r="354" spans="1:5" s="1723" customFormat="1">
      <c r="A354" s="2711"/>
      <c r="C354" s="2712"/>
      <c r="E354" s="2711"/>
    </row>
    <row r="355" spans="1:5" s="1723" customFormat="1">
      <c r="A355" s="2711"/>
      <c r="C355" s="2712"/>
      <c r="E355" s="2711"/>
    </row>
    <row r="356" spans="1:5" s="1723" customFormat="1">
      <c r="A356" s="2711"/>
      <c r="C356" s="2712"/>
      <c r="E356" s="2711"/>
    </row>
    <row r="357" spans="1:5" s="1723" customFormat="1">
      <c r="A357" s="2711"/>
      <c r="C357" s="2712"/>
      <c r="E357" s="2711"/>
    </row>
    <row r="358" spans="1:5" s="1723" customFormat="1">
      <c r="A358" s="2711"/>
      <c r="C358" s="2712"/>
      <c r="E358" s="2711"/>
    </row>
    <row r="359" spans="1:5" s="1723" customFormat="1">
      <c r="A359" s="2711"/>
      <c r="C359" s="2712"/>
      <c r="E359" s="2711"/>
    </row>
    <row r="360" spans="1:5" s="1723" customFormat="1">
      <c r="A360" s="2711"/>
      <c r="C360" s="2712"/>
      <c r="E360" s="2711"/>
    </row>
    <row r="361" spans="1:5" s="1723" customFormat="1">
      <c r="A361" s="2711"/>
      <c r="C361" s="2712"/>
      <c r="E361" s="2711"/>
    </row>
    <row r="362" spans="1:5" s="1723" customFormat="1">
      <c r="A362" s="2711"/>
      <c r="C362" s="2712"/>
      <c r="E362" s="2711"/>
    </row>
    <row r="363" spans="1:5" s="1723" customFormat="1">
      <c r="A363" s="2711"/>
      <c r="C363" s="2712"/>
      <c r="E363" s="2711"/>
    </row>
    <row r="364" spans="1:5" s="1723" customFormat="1">
      <c r="A364" s="2711"/>
      <c r="C364" s="2712"/>
      <c r="E364" s="2711"/>
    </row>
    <row r="365" spans="1:5" s="1723" customFormat="1">
      <c r="A365" s="2711"/>
      <c r="C365" s="2712"/>
      <c r="E365" s="2711"/>
    </row>
    <row r="366" spans="1:5" s="1723" customFormat="1">
      <c r="A366" s="2711"/>
      <c r="C366" s="2712"/>
      <c r="E366" s="2711"/>
    </row>
    <row r="367" spans="1:5" s="1723" customFormat="1">
      <c r="A367" s="2711"/>
      <c r="C367" s="2712"/>
      <c r="E367" s="2711"/>
    </row>
    <row r="368" spans="1:5" s="1723" customFormat="1">
      <c r="A368" s="2711"/>
      <c r="C368" s="2712"/>
      <c r="E368" s="2711"/>
    </row>
    <row r="369" spans="1:5" s="1723" customFormat="1">
      <c r="A369" s="2711"/>
      <c r="C369" s="2712"/>
      <c r="E369" s="2711"/>
    </row>
    <row r="370" spans="1:5" s="1723" customFormat="1">
      <c r="A370" s="2711"/>
      <c r="C370" s="2712"/>
      <c r="E370" s="2711"/>
    </row>
    <row r="371" spans="1:5" s="1723" customFormat="1">
      <c r="A371" s="2711"/>
      <c r="C371" s="2712"/>
      <c r="E371" s="2711"/>
    </row>
    <row r="372" spans="1:5" s="1723" customFormat="1">
      <c r="A372" s="2711"/>
      <c r="C372" s="2712"/>
      <c r="E372" s="2711"/>
    </row>
    <row r="373" spans="1:5" s="1723" customFormat="1">
      <c r="A373" s="2711"/>
      <c r="C373" s="2712"/>
      <c r="E373" s="2711"/>
    </row>
    <row r="374" spans="1:5" s="1723" customFormat="1">
      <c r="A374" s="2711"/>
      <c r="C374" s="2712"/>
      <c r="E374" s="2711"/>
    </row>
    <row r="375" spans="1:5" s="1723" customFormat="1">
      <c r="A375" s="2711"/>
      <c r="C375" s="2712"/>
      <c r="E375" s="2711"/>
    </row>
    <row r="376" spans="1:5" s="1723" customFormat="1">
      <c r="A376" s="2711"/>
      <c r="C376" s="2712"/>
      <c r="E376" s="2711"/>
    </row>
    <row r="377" spans="1:5" s="1723" customFormat="1">
      <c r="A377" s="2711"/>
      <c r="C377" s="2712"/>
      <c r="E377" s="2711"/>
    </row>
    <row r="378" spans="1:5" s="1723" customFormat="1">
      <c r="A378" s="2711"/>
      <c r="C378" s="2712"/>
      <c r="E378" s="2711"/>
    </row>
    <row r="379" spans="1:5" s="1723" customFormat="1">
      <c r="A379" s="2711"/>
      <c r="C379" s="2712"/>
      <c r="E379" s="2711"/>
    </row>
    <row r="380" spans="1:5" s="1723" customFormat="1">
      <c r="A380" s="2711"/>
      <c r="C380" s="2712"/>
      <c r="E380" s="2711"/>
    </row>
    <row r="381" spans="1:5" s="1723" customFormat="1">
      <c r="A381" s="2711"/>
      <c r="C381" s="2712"/>
      <c r="E381" s="2711"/>
    </row>
    <row r="382" spans="1:5" s="1723" customFormat="1">
      <c r="A382" s="2711"/>
      <c r="C382" s="2712"/>
      <c r="E382" s="2711"/>
    </row>
    <row r="383" spans="1:5" s="1723" customFormat="1">
      <c r="A383" s="2711"/>
      <c r="C383" s="2712"/>
      <c r="E383" s="2711"/>
    </row>
    <row r="384" spans="1:5" s="1723" customFormat="1">
      <c r="A384" s="2711"/>
      <c r="C384" s="2712"/>
      <c r="E384" s="2711"/>
    </row>
    <row r="385" spans="1:5" s="1723" customFormat="1">
      <c r="A385" s="2711"/>
      <c r="C385" s="2712"/>
      <c r="E385" s="2711"/>
    </row>
    <row r="386" spans="1:5" s="1723" customFormat="1">
      <c r="A386" s="2711"/>
      <c r="C386" s="2712"/>
      <c r="E386" s="2711"/>
    </row>
    <row r="387" spans="1:5" s="1723" customFormat="1">
      <c r="A387" s="2711"/>
      <c r="C387" s="2712"/>
      <c r="E387" s="2711"/>
    </row>
    <row r="388" spans="1:5" s="1723" customFormat="1">
      <c r="A388" s="2711"/>
      <c r="C388" s="2712"/>
      <c r="E388" s="2711"/>
    </row>
    <row r="389" spans="1:5" s="1723" customFormat="1">
      <c r="A389" s="2711"/>
      <c r="C389" s="2712"/>
      <c r="E389" s="2711"/>
    </row>
    <row r="390" spans="1:5" s="1723" customFormat="1">
      <c r="A390" s="2711"/>
      <c r="C390" s="2712"/>
      <c r="E390" s="2711"/>
    </row>
    <row r="391" spans="1:5" s="1723" customFormat="1">
      <c r="A391" s="2711"/>
      <c r="C391" s="2712"/>
      <c r="E391" s="2711"/>
    </row>
    <row r="392" spans="1:5" s="1723" customFormat="1">
      <c r="A392" s="2711"/>
      <c r="C392" s="2712"/>
      <c r="E392" s="2711"/>
    </row>
    <row r="393" spans="1:5" s="1723" customFormat="1">
      <c r="A393" s="2711"/>
      <c r="C393" s="2712"/>
      <c r="E393" s="2711"/>
    </row>
    <row r="394" spans="1:5" s="1723" customFormat="1">
      <c r="A394" s="2711"/>
      <c r="C394" s="2712"/>
      <c r="E394" s="2711"/>
    </row>
    <row r="395" spans="1:5" s="1723" customFormat="1">
      <c r="A395" s="2711"/>
      <c r="C395" s="2712"/>
      <c r="E395" s="2711"/>
    </row>
    <row r="396" spans="1:5" s="1723" customFormat="1">
      <c r="A396" s="2711"/>
      <c r="C396" s="2712"/>
      <c r="E396" s="2711"/>
    </row>
    <row r="397" spans="1:5" s="1723" customFormat="1">
      <c r="A397" s="2711"/>
      <c r="C397" s="2712"/>
      <c r="E397" s="2711"/>
    </row>
    <row r="398" spans="1:5" s="1723" customFormat="1">
      <c r="A398" s="2711"/>
      <c r="C398" s="2712"/>
      <c r="E398" s="2711"/>
    </row>
    <row r="399" spans="1:5" s="1723" customFormat="1">
      <c r="A399" s="2711"/>
      <c r="C399" s="2712"/>
      <c r="E399" s="2711"/>
    </row>
    <row r="400" spans="1:5" s="1723" customFormat="1">
      <c r="A400" s="2711"/>
      <c r="C400" s="2712"/>
      <c r="E400" s="2711"/>
    </row>
    <row r="401" spans="1:5" s="1723" customFormat="1">
      <c r="A401" s="2711"/>
      <c r="C401" s="2712"/>
      <c r="E401" s="2711"/>
    </row>
    <row r="402" spans="1:5" s="1723" customFormat="1">
      <c r="A402" s="2711"/>
      <c r="C402" s="2712"/>
      <c r="E402" s="2711"/>
    </row>
    <row r="403" spans="1:5" s="1723" customFormat="1">
      <c r="A403" s="2711"/>
      <c r="C403" s="2712"/>
      <c r="E403" s="2711"/>
    </row>
    <row r="404" spans="1:5" s="1723" customFormat="1">
      <c r="A404" s="2711"/>
      <c r="C404" s="2712"/>
      <c r="E404" s="2711"/>
    </row>
    <row r="405" spans="1:5" s="1723" customFormat="1">
      <c r="A405" s="2711"/>
      <c r="C405" s="2712"/>
      <c r="E405" s="2711"/>
    </row>
    <row r="406" spans="1:5" s="1723" customFormat="1">
      <c r="A406" s="2711"/>
      <c r="C406" s="2712"/>
      <c r="E406" s="2711"/>
    </row>
    <row r="407" spans="1:5" s="1723" customFormat="1">
      <c r="A407" s="2711"/>
      <c r="C407" s="2712"/>
      <c r="E407" s="2711"/>
    </row>
    <row r="408" spans="1:5" s="1723" customFormat="1">
      <c r="A408" s="2711"/>
      <c r="C408" s="2712"/>
      <c r="E408" s="2711"/>
    </row>
    <row r="409" spans="1:5" s="1723" customFormat="1">
      <c r="A409" s="2711"/>
      <c r="C409" s="2712"/>
      <c r="E409" s="2711"/>
    </row>
    <row r="410" spans="1:5" s="1723" customFormat="1">
      <c r="A410" s="2711"/>
      <c r="C410" s="2712"/>
      <c r="E410" s="2711"/>
    </row>
    <row r="411" spans="1:5" s="1723" customFormat="1">
      <c r="A411" s="2711"/>
      <c r="C411" s="2712"/>
      <c r="E411" s="2711"/>
    </row>
    <row r="412" spans="1:5" s="1723" customFormat="1">
      <c r="A412" s="2711"/>
      <c r="C412" s="2712"/>
      <c r="E412" s="2711"/>
    </row>
    <row r="413" spans="1:5" s="1723" customFormat="1">
      <c r="A413" s="2711"/>
      <c r="C413" s="2712"/>
      <c r="E413" s="2711"/>
    </row>
    <row r="414" spans="1:5" s="1723" customFormat="1">
      <c r="A414" s="2711"/>
      <c r="C414" s="2712"/>
      <c r="E414" s="2711"/>
    </row>
    <row r="415" spans="1:5" s="1723" customFormat="1">
      <c r="A415" s="2711"/>
      <c r="C415" s="2712"/>
      <c r="E415" s="2711"/>
    </row>
    <row r="416" spans="1:5" s="1723" customFormat="1">
      <c r="A416" s="2711"/>
      <c r="C416" s="2712"/>
      <c r="E416" s="2711"/>
    </row>
    <row r="417" spans="1:5" s="1723" customFormat="1">
      <c r="A417" s="2711"/>
      <c r="C417" s="2712"/>
      <c r="E417" s="2711"/>
    </row>
    <row r="418" spans="1:5" s="1723" customFormat="1">
      <c r="A418" s="2711"/>
      <c r="C418" s="2712"/>
      <c r="E418" s="2711"/>
    </row>
    <row r="419" spans="1:5" s="1723" customFormat="1">
      <c r="A419" s="2711"/>
      <c r="C419" s="2712"/>
      <c r="E419" s="2711"/>
    </row>
    <row r="420" spans="1:5" s="1723" customFormat="1">
      <c r="A420" s="2711"/>
      <c r="C420" s="2712"/>
      <c r="E420" s="2711"/>
    </row>
    <row r="421" spans="1:5" s="1723" customFormat="1">
      <c r="A421" s="2711"/>
      <c r="C421" s="2712"/>
      <c r="E421" s="2711"/>
    </row>
    <row r="422" spans="1:5" s="1723" customFormat="1">
      <c r="A422" s="2711"/>
      <c r="C422" s="2712"/>
      <c r="E422" s="2711"/>
    </row>
    <row r="423" spans="1:5" s="1723" customFormat="1">
      <c r="A423" s="2711"/>
      <c r="C423" s="2712"/>
      <c r="E423" s="2711"/>
    </row>
    <row r="424" spans="1:5" s="1723" customFormat="1">
      <c r="A424" s="2711"/>
      <c r="C424" s="2712"/>
      <c r="E424" s="2711"/>
    </row>
    <row r="425" spans="1:5" s="1723" customFormat="1">
      <c r="A425" s="2711"/>
      <c r="C425" s="2712"/>
      <c r="E425" s="2711"/>
    </row>
    <row r="426" spans="1:5" s="1723" customFormat="1">
      <c r="A426" s="2711"/>
      <c r="C426" s="2712"/>
      <c r="E426" s="2711"/>
    </row>
    <row r="427" spans="1:5" s="1723" customFormat="1">
      <c r="A427" s="2711"/>
      <c r="C427" s="2712"/>
      <c r="E427" s="2711"/>
    </row>
    <row r="428" spans="1:5" s="1723" customFormat="1">
      <c r="A428" s="2711"/>
      <c r="C428" s="2712"/>
      <c r="E428" s="2711"/>
    </row>
    <row r="429" spans="1:5" s="1723" customFormat="1">
      <c r="A429" s="2711"/>
      <c r="C429" s="2712"/>
      <c r="E429" s="2711"/>
    </row>
    <row r="430" spans="1:5" s="1723" customFormat="1">
      <c r="A430" s="2711"/>
      <c r="C430" s="2712"/>
      <c r="E430" s="2711"/>
    </row>
    <row r="431" spans="1:5" s="1723" customFormat="1">
      <c r="A431" s="2711"/>
      <c r="C431" s="2712"/>
      <c r="E431" s="2711"/>
    </row>
    <row r="432" spans="1:5" s="1723" customFormat="1">
      <c r="A432" s="2711"/>
      <c r="C432" s="2712"/>
      <c r="E432" s="2711"/>
    </row>
    <row r="433" spans="1:5" s="1723" customFormat="1">
      <c r="A433" s="2711"/>
      <c r="C433" s="2712"/>
      <c r="E433" s="2711"/>
    </row>
    <row r="434" spans="1:5" s="1723" customFormat="1">
      <c r="A434" s="2711"/>
      <c r="C434" s="2712"/>
      <c r="E434" s="2711"/>
    </row>
    <row r="435" spans="1:5" s="1723" customFormat="1">
      <c r="A435" s="2711"/>
      <c r="C435" s="2712"/>
      <c r="E435" s="2711"/>
    </row>
    <row r="436" spans="1:5" s="1723" customFormat="1">
      <c r="A436" s="2711"/>
      <c r="C436" s="2712"/>
      <c r="E436" s="2711"/>
    </row>
    <row r="437" spans="1:5" s="1723" customFormat="1">
      <c r="A437" s="2711"/>
      <c r="C437" s="2712"/>
      <c r="E437" s="2711"/>
    </row>
    <row r="438" spans="1:5" s="1723" customFormat="1">
      <c r="A438" s="2711"/>
      <c r="C438" s="2712"/>
      <c r="E438" s="2711"/>
    </row>
    <row r="439" spans="1:5" s="1723" customFormat="1">
      <c r="A439" s="2711"/>
      <c r="C439" s="2712"/>
      <c r="E439" s="2711"/>
    </row>
    <row r="440" spans="1:5" s="1723" customFormat="1">
      <c r="A440" s="2711"/>
      <c r="C440" s="2712"/>
      <c r="E440" s="2711"/>
    </row>
    <row r="441" spans="1:5" s="1723" customFormat="1">
      <c r="A441" s="2711"/>
      <c r="C441" s="2712"/>
      <c r="E441" s="2711"/>
    </row>
    <row r="442" spans="1:5" s="1723" customFormat="1">
      <c r="A442" s="2711"/>
      <c r="C442" s="2712"/>
      <c r="E442" s="2711"/>
    </row>
    <row r="443" spans="1:5" s="1723" customFormat="1">
      <c r="A443" s="2711"/>
      <c r="C443" s="2712"/>
      <c r="E443" s="2711"/>
    </row>
    <row r="444" spans="1:5" s="1723" customFormat="1">
      <c r="A444" s="2711"/>
      <c r="C444" s="2712"/>
      <c r="E444" s="2711"/>
    </row>
    <row r="445" spans="1:5" s="1723" customFormat="1">
      <c r="A445" s="2711"/>
      <c r="C445" s="2712"/>
      <c r="E445" s="2711"/>
    </row>
    <row r="446" spans="1:5" s="1723" customFormat="1">
      <c r="A446" s="2711"/>
      <c r="C446" s="2712"/>
      <c r="E446" s="2711"/>
    </row>
    <row r="447" spans="1:5" s="1723" customFormat="1">
      <c r="A447" s="2711"/>
      <c r="C447" s="2712"/>
      <c r="E447" s="2711"/>
    </row>
    <row r="448" spans="1:5" s="1723" customFormat="1">
      <c r="A448" s="2711"/>
      <c r="C448" s="2712"/>
      <c r="E448" s="2711"/>
    </row>
    <row r="449" spans="1:5" s="1723" customFormat="1">
      <c r="A449" s="2711"/>
      <c r="C449" s="2712"/>
      <c r="E449" s="2711"/>
    </row>
    <row r="450" spans="1:5" s="1723" customFormat="1">
      <c r="A450" s="2711"/>
      <c r="C450" s="2712"/>
      <c r="E450" s="2711"/>
    </row>
    <row r="451" spans="1:5" s="1723" customFormat="1">
      <c r="A451" s="2711"/>
      <c r="C451" s="2712"/>
      <c r="E451" s="2711"/>
    </row>
    <row r="452" spans="1:5" s="1723" customFormat="1">
      <c r="A452" s="2711"/>
      <c r="C452" s="2712"/>
      <c r="E452" s="2711"/>
    </row>
    <row r="453" spans="1:5" s="1723" customFormat="1">
      <c r="A453" s="2711"/>
      <c r="C453" s="2712"/>
      <c r="E453" s="2711"/>
    </row>
    <row r="454" spans="1:5" s="1723" customFormat="1">
      <c r="A454" s="2711"/>
      <c r="C454" s="2712"/>
      <c r="E454" s="2711"/>
    </row>
    <row r="455" spans="1:5" s="1723" customFormat="1">
      <c r="A455" s="2711"/>
      <c r="C455" s="2712"/>
      <c r="E455" s="2711"/>
    </row>
    <row r="456" spans="1:5" s="1723" customFormat="1">
      <c r="A456" s="2711"/>
      <c r="C456" s="2712"/>
      <c r="E456" s="2711"/>
    </row>
    <row r="457" spans="1:5" s="1723" customFormat="1">
      <c r="A457" s="2711"/>
      <c r="C457" s="2712"/>
      <c r="E457" s="2711"/>
    </row>
    <row r="458" spans="1:5" s="1723" customFormat="1">
      <c r="A458" s="2711"/>
      <c r="C458" s="2712"/>
      <c r="E458" s="2711"/>
    </row>
    <row r="459" spans="1:5" s="1723" customFormat="1">
      <c r="A459" s="2711"/>
      <c r="C459" s="2712"/>
      <c r="E459" s="2711"/>
    </row>
    <row r="460" spans="1:5" s="1723" customFormat="1">
      <c r="A460" s="2711"/>
      <c r="C460" s="2712"/>
      <c r="E460" s="2711"/>
    </row>
    <row r="461" spans="1:5" s="1723" customFormat="1">
      <c r="A461" s="2711"/>
      <c r="C461" s="2712"/>
      <c r="E461" s="2711"/>
    </row>
    <row r="462" spans="1:5" s="1723" customFormat="1">
      <c r="A462" s="2711"/>
      <c r="C462" s="2712"/>
      <c r="E462" s="2711"/>
    </row>
    <row r="463" spans="1:5" s="1723" customFormat="1">
      <c r="A463" s="2711"/>
      <c r="C463" s="2712"/>
      <c r="E463" s="2711"/>
    </row>
    <row r="464" spans="1:5" s="1723" customFormat="1">
      <c r="A464" s="2711"/>
      <c r="C464" s="2712"/>
      <c r="E464" s="2711"/>
    </row>
    <row r="465" spans="1:5" s="1723" customFormat="1">
      <c r="A465" s="2711"/>
      <c r="C465" s="2712"/>
      <c r="E465" s="2711"/>
    </row>
    <row r="466" spans="1:5" s="1723" customFormat="1">
      <c r="A466" s="2711"/>
      <c r="C466" s="2712"/>
      <c r="E466" s="2711"/>
    </row>
    <row r="467" spans="1:5" s="1723" customFormat="1">
      <c r="A467" s="2711"/>
      <c r="C467" s="2712"/>
      <c r="E467" s="2711"/>
    </row>
    <row r="468" spans="1:5" s="1723" customFormat="1">
      <c r="A468" s="2711"/>
      <c r="C468" s="2712"/>
      <c r="E468" s="2711"/>
    </row>
    <row r="469" spans="1:5" s="1723" customFormat="1">
      <c r="A469" s="2711"/>
      <c r="C469" s="2712"/>
      <c r="E469" s="2711"/>
    </row>
    <row r="470" spans="1:5" s="1723" customFormat="1">
      <c r="A470" s="2711"/>
      <c r="C470" s="2712"/>
      <c r="E470" s="2711"/>
    </row>
    <row r="471" spans="1:5" s="1723" customFormat="1">
      <c r="A471" s="2711"/>
      <c r="C471" s="2712"/>
      <c r="E471" s="2711"/>
    </row>
    <row r="472" spans="1:5" s="1723" customFormat="1">
      <c r="A472" s="2711"/>
      <c r="C472" s="2712"/>
      <c r="E472" s="2711"/>
    </row>
    <row r="473" spans="1:5" s="1723" customFormat="1">
      <c r="A473" s="2711"/>
      <c r="C473" s="2712"/>
      <c r="E473" s="2711"/>
    </row>
    <row r="474" spans="1:5" s="1723" customFormat="1">
      <c r="A474" s="2711"/>
      <c r="C474" s="2712"/>
      <c r="E474" s="2711"/>
    </row>
    <row r="475" spans="1:5" s="1723" customFormat="1">
      <c r="A475" s="2711"/>
      <c r="C475" s="2712"/>
      <c r="E475" s="2711"/>
    </row>
    <row r="476" spans="1:5" s="1723" customFormat="1">
      <c r="A476" s="2711"/>
      <c r="C476" s="2712"/>
      <c r="E476" s="2711"/>
    </row>
    <row r="477" spans="1:5" s="1723" customFormat="1">
      <c r="A477" s="2711"/>
      <c r="C477" s="2712"/>
      <c r="E477" s="2711"/>
    </row>
    <row r="478" spans="1:5" s="1723" customFormat="1">
      <c r="A478" s="2711"/>
      <c r="C478" s="2712"/>
      <c r="E478" s="2711"/>
    </row>
    <row r="479" spans="1:5" s="1723" customFormat="1">
      <c r="A479" s="2711"/>
      <c r="C479" s="2712"/>
      <c r="E479" s="2711"/>
    </row>
    <row r="480" spans="1:5" s="1723" customFormat="1">
      <c r="A480" s="2711"/>
      <c r="C480" s="2712"/>
      <c r="E480" s="2711"/>
    </row>
    <row r="481" spans="1:5" s="1723" customFormat="1">
      <c r="A481" s="2711"/>
      <c r="C481" s="2712"/>
      <c r="E481" s="2711"/>
    </row>
    <row r="482" spans="1:5" s="1723" customFormat="1">
      <c r="A482" s="2711"/>
      <c r="C482" s="2712"/>
      <c r="E482" s="2711"/>
    </row>
    <row r="483" spans="1:5" s="1723" customFormat="1">
      <c r="A483" s="2711"/>
      <c r="C483" s="2712"/>
      <c r="E483" s="2711"/>
    </row>
    <row r="484" spans="1:5" s="1723" customFormat="1">
      <c r="A484" s="2711"/>
      <c r="C484" s="2712"/>
      <c r="E484" s="2711"/>
    </row>
    <row r="485" spans="1:5" s="1723" customFormat="1">
      <c r="A485" s="2711"/>
      <c r="C485" s="2712"/>
      <c r="E485" s="2711"/>
    </row>
    <row r="486" spans="1:5" s="1723" customFormat="1">
      <c r="A486" s="2711"/>
      <c r="C486" s="2712"/>
      <c r="E486" s="2711"/>
    </row>
    <row r="487" spans="1:5" s="1723" customFormat="1">
      <c r="A487" s="2711"/>
      <c r="C487" s="2712"/>
      <c r="E487" s="2711"/>
    </row>
    <row r="488" spans="1:5" s="1723" customFormat="1">
      <c r="A488" s="2711"/>
      <c r="C488" s="2712"/>
      <c r="E488" s="2711"/>
    </row>
    <row r="489" spans="1:5" s="1723" customFormat="1">
      <c r="A489" s="2711"/>
      <c r="C489" s="2712"/>
      <c r="E489" s="2711"/>
    </row>
    <row r="490" spans="1:5" s="1723"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-2.5</v>
      </c>
      <c r="G1" s="709">
        <f>MATCH(C1,'数据-取费表'!A6:A16,0)+5</f>
        <v>10</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98" t="s">
        <v>1807</v>
      </c>
      <c r="C8" s="1516">
        <f ca="1">ROUND(F8*F10*F9*(1-F11)/10000,0)</f>
        <v>0</v>
      </c>
      <c r="D8" s="317" t="s">
        <v>1817</v>
      </c>
      <c r="E8" s="57" t="s">
        <v>585</v>
      </c>
      <c r="F8" s="720">
        <f ca="1">INDIRECT("'数据-取费表'!u"&amp;$G$1)</f>
        <v>0</v>
      </c>
      <c r="G8" s="1145"/>
      <c r="H8" s="2009" t="s">
        <v>1353</v>
      </c>
      <c r="I8" s="3698" t="s">
        <v>1807</v>
      </c>
      <c r="J8" s="718">
        <f ca="1">ROUND(M8*M10*M9*(1-M11)/10000,0)</f>
        <v>0</v>
      </c>
      <c r="K8" s="315" t="s">
        <v>1817</v>
      </c>
      <c r="L8" s="719" t="s">
        <v>1267</v>
      </c>
      <c r="M8" s="720">
        <f ca="1">INDIRECT("'数据-取费表'!z"&amp;$G$1)</f>
        <v>0</v>
      </c>
    </row>
    <row r="9" spans="1:25" ht="18" customHeight="1">
      <c r="A9" s="2005"/>
      <c r="B9" s="3699"/>
      <c r="C9" s="1517"/>
      <c r="D9" s="330"/>
      <c r="E9" s="57" t="s">
        <v>586</v>
      </c>
      <c r="F9" s="720">
        <f ca="1">IF(INDIRECT("'数据-取费表'!ah"&amp;$G$1)="",INDIRECT("'数据-取费表'!k"&amp;$G$1),INDIRECT("'数据-取费表'!ah"&amp;$G$1))</f>
        <v>0</v>
      </c>
      <c r="G9" s="1145"/>
      <c r="H9" s="1994"/>
      <c r="I9" s="3699"/>
      <c r="J9" s="723"/>
      <c r="K9" s="724"/>
      <c r="L9" s="719" t="s">
        <v>1268</v>
      </c>
      <c r="M9" s="720">
        <f ca="1">F9</f>
        <v>0</v>
      </c>
    </row>
    <row r="10" spans="1:25" ht="18" customHeight="1">
      <c r="A10" s="1998"/>
      <c r="B10" s="3700"/>
      <c r="C10" s="1517"/>
      <c r="D10" s="330"/>
      <c r="E10" s="57" t="s">
        <v>587</v>
      </c>
      <c r="F10" s="720">
        <f ca="1">INDIRECT("'数据-取费表'!ai"&amp;$G$1)</f>
        <v>0</v>
      </c>
      <c r="G10" s="1145"/>
      <c r="H10" s="1994"/>
      <c r="I10" s="3700"/>
      <c r="J10" s="723"/>
      <c r="K10" s="724"/>
      <c r="L10" s="719" t="s">
        <v>1269</v>
      </c>
      <c r="M10" s="720">
        <f ca="1">INDIRECT("'数据-取费表'!ai"&amp;$G$1)</f>
        <v>0</v>
      </c>
    </row>
    <row r="11" spans="1:25" ht="18" customHeight="1">
      <c r="A11" s="721"/>
      <c r="B11" s="3701"/>
      <c r="C11" s="1517"/>
      <c r="D11" s="330"/>
      <c r="E11" s="57" t="s">
        <v>588</v>
      </c>
      <c r="F11" s="729">
        <f ca="1">INDIRECT("'数据-取费表'!w"&amp;$G$1)</f>
        <v>0</v>
      </c>
      <c r="G11" s="1145"/>
      <c r="H11" s="2010"/>
      <c r="I11" s="3700"/>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2221</v>
      </c>
      <c r="E12" s="2003" t="s">
        <v>1808</v>
      </c>
      <c r="F12" s="2076"/>
      <c r="G12" s="1145"/>
      <c r="H12" s="2037" t="s">
        <v>1354</v>
      </c>
      <c r="I12" s="2041" t="s">
        <v>1803</v>
      </c>
      <c r="J12" s="718">
        <f ca="1">ROUND(IF(M12="押一",J8/12*M13,IF(M12="押二",J8/12*2*M13,IF(M12="押三",J8/12*3*M13,J13*M13))),0)</f>
        <v>0</v>
      </c>
      <c r="K12" s="2006" t="s">
        <v>2221</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7.0000000000000007E-2</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3232</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1E-3</v>
      </c>
      <c r="D26" s="2044" t="str">
        <f>IF(F25&lt;=1,"销售费用×利率×(建设周期÷2)","销售费用×((1+利率)^(建设周期÷2)-1)")</f>
        <v>销售费用×((1+利率)^(建设周期÷2)-1)</v>
      </c>
      <c r="E26" s="719" t="s">
        <v>629</v>
      </c>
      <c r="F26" s="753">
        <f ca="1">'数据-取费表'!B40</f>
        <v>3.1899999999999998E-2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8"/>
      <c r="H33" s="2757" t="s">
        <v>2268</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3232</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97"/>
      <c r="J36" s="1690"/>
      <c r="K36" s="1691"/>
      <c r="L36" s="1690"/>
      <c r="M36" s="1690"/>
    </row>
    <row r="37" spans="1:18" ht="18" customHeight="1">
      <c r="A37" s="749"/>
      <c r="B37" s="728"/>
      <c r="C37" s="65"/>
      <c r="D37" s="750"/>
      <c r="E37" s="719" t="s">
        <v>621</v>
      </c>
      <c r="F37" s="720">
        <f ca="1">INDIRECT("'数据-取费表'!r"&amp;$G$1)</f>
        <v>0</v>
      </c>
      <c r="G37" s="1668"/>
      <c r="H37" s="1677"/>
      <c r="I37" s="3697"/>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60" t="s">
        <v>2211</v>
      </c>
      <c r="F43" s="2361">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2" t="s">
        <v>2214</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2225</v>
      </c>
      <c r="J54" s="2416">
        <f ca="1">IF(M48="住宅",MAX(J52,L49-'数据-取费表'!B20),MIN(J52,L49-'数据-取费表'!B20))</f>
        <v>-2.5</v>
      </c>
      <c r="K54" s="3702"/>
      <c r="L54" s="3703"/>
      <c r="O54" s="1960" t="s">
        <v>1742</v>
      </c>
      <c r="P54" s="1958" t="s">
        <v>1743</v>
      </c>
      <c r="Q54" s="1959">
        <f ca="1">J54</f>
        <v>-2.5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5" thickBot="1">
      <c r="A56" s="1704"/>
      <c r="B56" s="1705"/>
      <c r="C56" s="1705"/>
      <c r="I56" s="2380" t="s">
        <v>1709</v>
      </c>
      <c r="J56" s="2353" t="e">
        <f ca="1">ROUND(IF(J48="钢混",J58/J51,1-(1-2%)*(J51-J58)/J51),3)</f>
        <v>#DIV/0!</v>
      </c>
      <c r="K56" s="2381" t="s">
        <v>1710</v>
      </c>
      <c r="L56" s="1946"/>
      <c r="O56" s="1963" t="s">
        <v>1765</v>
      </c>
      <c r="P56" s="1145"/>
      <c r="Q56" s="1330"/>
      <c r="R56" s="1145"/>
    </row>
    <row r="57" spans="1:18" s="1672" customFormat="1" ht="43.5"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29.25"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2194</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5"/>
      <c r="Q65" s="1330"/>
      <c r="R65" s="1145"/>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5" customWidth="1"/>
    <col min="2" max="2" width="8.875" style="2825"/>
    <col min="3" max="5" width="12.875" style="2825" customWidth="1"/>
    <col min="6" max="6" width="47.5" style="2825" customWidth="1"/>
    <col min="7" max="7" width="13" style="2819" customWidth="1"/>
    <col min="8" max="8" width="8.875" style="2819"/>
    <col min="9" max="9" width="8.875" style="2820"/>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20"/>
    <col min="23" max="256" width="8.875" style="2825"/>
    <col min="257" max="257" width="9.5" style="2825" customWidth="1"/>
    <col min="258" max="258" width="8.875" style="2825"/>
    <col min="259" max="261" width="12.875" style="2825" customWidth="1"/>
    <col min="262" max="262" width="47.5" style="2825" customWidth="1"/>
    <col min="263" max="263" width="13" style="2825" customWidth="1"/>
    <col min="264" max="265" width="8.875" style="2825"/>
    <col min="266" max="266" width="5.75" style="2825" customWidth="1"/>
    <col min="267" max="267" width="11.75" style="2825" customWidth="1"/>
    <col min="268" max="269" width="10.75" style="2825" customWidth="1"/>
    <col min="270" max="270" width="10" style="2825" customWidth="1"/>
    <col min="271" max="272" width="10.5" style="2825" bestFit="1" customWidth="1"/>
    <col min="273" max="273" width="10" style="2825" customWidth="1"/>
    <col min="274" max="274" width="10.125" style="2825" customWidth="1"/>
    <col min="275" max="275" width="10" style="2825" customWidth="1"/>
    <col min="276" max="276" width="26.125" style="2825" customWidth="1"/>
    <col min="277" max="512" width="8.875" style="2825"/>
    <col min="513" max="513" width="9.5" style="2825" customWidth="1"/>
    <col min="514" max="514" width="8.875" style="2825"/>
    <col min="515" max="517" width="12.875" style="2825" customWidth="1"/>
    <col min="518" max="518" width="47.5" style="2825" customWidth="1"/>
    <col min="519" max="519" width="13" style="2825" customWidth="1"/>
    <col min="520" max="521" width="8.875" style="2825"/>
    <col min="522" max="522" width="5.75" style="2825" customWidth="1"/>
    <col min="523" max="523" width="11.75" style="2825" customWidth="1"/>
    <col min="524" max="525" width="10.75" style="2825" customWidth="1"/>
    <col min="526" max="526" width="10" style="2825" customWidth="1"/>
    <col min="527" max="528" width="10.5" style="2825" bestFit="1" customWidth="1"/>
    <col min="529" max="529" width="10" style="2825" customWidth="1"/>
    <col min="530" max="530" width="10.125" style="2825" customWidth="1"/>
    <col min="531" max="531" width="10" style="2825" customWidth="1"/>
    <col min="532" max="532" width="26.125" style="2825" customWidth="1"/>
    <col min="533" max="768" width="8.875" style="2825"/>
    <col min="769" max="769" width="9.5" style="2825" customWidth="1"/>
    <col min="770" max="770" width="8.875" style="2825"/>
    <col min="771" max="773" width="12.875" style="2825" customWidth="1"/>
    <col min="774" max="774" width="47.5" style="2825" customWidth="1"/>
    <col min="775" max="775" width="13" style="2825" customWidth="1"/>
    <col min="776" max="777" width="8.875" style="2825"/>
    <col min="778" max="778" width="5.75" style="2825" customWidth="1"/>
    <col min="779" max="779" width="11.75" style="2825" customWidth="1"/>
    <col min="780" max="781" width="10.75" style="2825" customWidth="1"/>
    <col min="782" max="782" width="10" style="2825" customWidth="1"/>
    <col min="783" max="784" width="10.5" style="2825" bestFit="1" customWidth="1"/>
    <col min="785" max="785" width="10" style="2825" customWidth="1"/>
    <col min="786" max="786" width="10.125" style="2825" customWidth="1"/>
    <col min="787" max="787" width="10" style="2825" customWidth="1"/>
    <col min="788" max="788" width="26.125" style="2825" customWidth="1"/>
    <col min="789" max="1024" width="8.875" style="2825"/>
    <col min="1025" max="1025" width="9.5" style="2825" customWidth="1"/>
    <col min="1026" max="1026" width="8.875" style="2825"/>
    <col min="1027" max="1029" width="12.875" style="2825" customWidth="1"/>
    <col min="1030" max="1030" width="47.5" style="2825" customWidth="1"/>
    <col min="1031" max="1031" width="13" style="2825" customWidth="1"/>
    <col min="1032" max="1033" width="8.875" style="2825"/>
    <col min="1034" max="1034" width="5.75" style="2825" customWidth="1"/>
    <col min="1035" max="1035" width="11.75" style="2825" customWidth="1"/>
    <col min="1036" max="1037" width="10.75" style="2825" customWidth="1"/>
    <col min="1038" max="1038" width="10" style="2825" customWidth="1"/>
    <col min="1039" max="1040" width="10.5" style="2825" bestFit="1" customWidth="1"/>
    <col min="1041" max="1041" width="10" style="2825" customWidth="1"/>
    <col min="1042" max="1042" width="10.125" style="2825" customWidth="1"/>
    <col min="1043" max="1043" width="10" style="2825" customWidth="1"/>
    <col min="1044" max="1044" width="26.125" style="2825" customWidth="1"/>
    <col min="1045" max="1280" width="8.875" style="2825"/>
    <col min="1281" max="1281" width="9.5" style="2825" customWidth="1"/>
    <col min="1282" max="1282" width="8.875" style="2825"/>
    <col min="1283" max="1285" width="12.875" style="2825" customWidth="1"/>
    <col min="1286" max="1286" width="47.5" style="2825" customWidth="1"/>
    <col min="1287" max="1287" width="13" style="2825" customWidth="1"/>
    <col min="1288" max="1289" width="8.875" style="2825"/>
    <col min="1290" max="1290" width="5.75" style="2825" customWidth="1"/>
    <col min="1291" max="1291" width="11.75" style="2825" customWidth="1"/>
    <col min="1292" max="1293" width="10.75" style="2825" customWidth="1"/>
    <col min="1294" max="1294" width="10" style="2825" customWidth="1"/>
    <col min="1295" max="1296" width="10.5" style="2825" bestFit="1" customWidth="1"/>
    <col min="1297" max="1297" width="10" style="2825" customWidth="1"/>
    <col min="1298" max="1298" width="10.125" style="2825" customWidth="1"/>
    <col min="1299" max="1299" width="10" style="2825" customWidth="1"/>
    <col min="1300" max="1300" width="26.125" style="2825" customWidth="1"/>
    <col min="1301" max="1536" width="8.875" style="2825"/>
    <col min="1537" max="1537" width="9.5" style="2825" customWidth="1"/>
    <col min="1538" max="1538" width="8.875" style="2825"/>
    <col min="1539" max="1541" width="12.875" style="2825" customWidth="1"/>
    <col min="1542" max="1542" width="47.5" style="2825" customWidth="1"/>
    <col min="1543" max="1543" width="13" style="2825" customWidth="1"/>
    <col min="1544" max="1545" width="8.875" style="2825"/>
    <col min="1546" max="1546" width="5.75" style="2825" customWidth="1"/>
    <col min="1547" max="1547" width="11.75" style="2825" customWidth="1"/>
    <col min="1548" max="1549" width="10.75" style="2825" customWidth="1"/>
    <col min="1550" max="1550" width="10" style="2825" customWidth="1"/>
    <col min="1551" max="1552" width="10.5" style="2825" bestFit="1" customWidth="1"/>
    <col min="1553" max="1553" width="10" style="2825" customWidth="1"/>
    <col min="1554" max="1554" width="10.125" style="2825" customWidth="1"/>
    <col min="1555" max="1555" width="10" style="2825" customWidth="1"/>
    <col min="1556" max="1556" width="26.125" style="2825" customWidth="1"/>
    <col min="1557" max="1792" width="8.875" style="2825"/>
    <col min="1793" max="1793" width="9.5" style="2825" customWidth="1"/>
    <col min="1794" max="1794" width="8.875" style="2825"/>
    <col min="1795" max="1797" width="12.875" style="2825" customWidth="1"/>
    <col min="1798" max="1798" width="47.5" style="2825" customWidth="1"/>
    <col min="1799" max="1799" width="13" style="2825" customWidth="1"/>
    <col min="1800" max="1801" width="8.875" style="2825"/>
    <col min="1802" max="1802" width="5.75" style="2825" customWidth="1"/>
    <col min="1803" max="1803" width="11.75" style="2825" customWidth="1"/>
    <col min="1804" max="1805" width="10.75" style="2825" customWidth="1"/>
    <col min="1806" max="1806" width="10" style="2825" customWidth="1"/>
    <col min="1807" max="1808" width="10.5" style="2825" bestFit="1" customWidth="1"/>
    <col min="1809" max="1809" width="10" style="2825" customWidth="1"/>
    <col min="1810" max="1810" width="10.125" style="2825" customWidth="1"/>
    <col min="1811" max="1811" width="10" style="2825" customWidth="1"/>
    <col min="1812" max="1812" width="26.125" style="2825" customWidth="1"/>
    <col min="1813" max="2048" width="8.875" style="2825"/>
    <col min="2049" max="2049" width="9.5" style="2825" customWidth="1"/>
    <col min="2050" max="2050" width="8.875" style="2825"/>
    <col min="2051" max="2053" width="12.875" style="2825" customWidth="1"/>
    <col min="2054" max="2054" width="47.5" style="2825" customWidth="1"/>
    <col min="2055" max="2055" width="13" style="2825" customWidth="1"/>
    <col min="2056" max="2057" width="8.875" style="2825"/>
    <col min="2058" max="2058" width="5.75" style="2825" customWidth="1"/>
    <col min="2059" max="2059" width="11.75" style="2825" customWidth="1"/>
    <col min="2060" max="2061" width="10.75" style="2825" customWidth="1"/>
    <col min="2062" max="2062" width="10" style="2825" customWidth="1"/>
    <col min="2063" max="2064" width="10.5" style="2825" bestFit="1" customWidth="1"/>
    <col min="2065" max="2065" width="10" style="2825" customWidth="1"/>
    <col min="2066" max="2066" width="10.125" style="2825" customWidth="1"/>
    <col min="2067" max="2067" width="10" style="2825" customWidth="1"/>
    <col min="2068" max="2068" width="26.125" style="2825" customWidth="1"/>
    <col min="2069" max="2304" width="8.875" style="2825"/>
    <col min="2305" max="2305" width="9.5" style="2825" customWidth="1"/>
    <col min="2306" max="2306" width="8.875" style="2825"/>
    <col min="2307" max="2309" width="12.875" style="2825" customWidth="1"/>
    <col min="2310" max="2310" width="47.5" style="2825" customWidth="1"/>
    <col min="2311" max="2311" width="13" style="2825" customWidth="1"/>
    <col min="2312" max="2313" width="8.875" style="2825"/>
    <col min="2314" max="2314" width="5.75" style="2825" customWidth="1"/>
    <col min="2315" max="2315" width="11.75" style="2825" customWidth="1"/>
    <col min="2316" max="2317" width="10.75" style="2825" customWidth="1"/>
    <col min="2318" max="2318" width="10" style="2825" customWidth="1"/>
    <col min="2319" max="2320" width="10.5" style="2825" bestFit="1" customWidth="1"/>
    <col min="2321" max="2321" width="10" style="2825" customWidth="1"/>
    <col min="2322" max="2322" width="10.125" style="2825" customWidth="1"/>
    <col min="2323" max="2323" width="10" style="2825" customWidth="1"/>
    <col min="2324" max="2324" width="26.125" style="2825" customWidth="1"/>
    <col min="2325" max="2560" width="8.875" style="2825"/>
    <col min="2561" max="2561" width="9.5" style="2825" customWidth="1"/>
    <col min="2562" max="2562" width="8.875" style="2825"/>
    <col min="2563" max="2565" width="12.875" style="2825" customWidth="1"/>
    <col min="2566" max="2566" width="47.5" style="2825" customWidth="1"/>
    <col min="2567" max="2567" width="13" style="2825" customWidth="1"/>
    <col min="2568" max="2569" width="8.875" style="2825"/>
    <col min="2570" max="2570" width="5.75" style="2825" customWidth="1"/>
    <col min="2571" max="2571" width="11.75" style="2825" customWidth="1"/>
    <col min="2572" max="2573" width="10.75" style="2825" customWidth="1"/>
    <col min="2574" max="2574" width="10" style="2825" customWidth="1"/>
    <col min="2575" max="2576" width="10.5" style="2825" bestFit="1" customWidth="1"/>
    <col min="2577" max="2577" width="10" style="2825" customWidth="1"/>
    <col min="2578" max="2578" width="10.125" style="2825" customWidth="1"/>
    <col min="2579" max="2579" width="10" style="2825" customWidth="1"/>
    <col min="2580" max="2580" width="26.125" style="2825" customWidth="1"/>
    <col min="2581" max="2816" width="8.875" style="2825"/>
    <col min="2817" max="2817" width="9.5" style="2825" customWidth="1"/>
    <col min="2818" max="2818" width="8.875" style="2825"/>
    <col min="2819" max="2821" width="12.875" style="2825" customWidth="1"/>
    <col min="2822" max="2822" width="47.5" style="2825" customWidth="1"/>
    <col min="2823" max="2823" width="13" style="2825" customWidth="1"/>
    <col min="2824" max="2825" width="8.875" style="2825"/>
    <col min="2826" max="2826" width="5.75" style="2825" customWidth="1"/>
    <col min="2827" max="2827" width="11.75" style="2825" customWidth="1"/>
    <col min="2828" max="2829" width="10.75" style="2825" customWidth="1"/>
    <col min="2830" max="2830" width="10" style="2825" customWidth="1"/>
    <col min="2831" max="2832" width="10.5" style="2825" bestFit="1" customWidth="1"/>
    <col min="2833" max="2833" width="10" style="2825" customWidth="1"/>
    <col min="2834" max="2834" width="10.125" style="2825" customWidth="1"/>
    <col min="2835" max="2835" width="10" style="2825" customWidth="1"/>
    <col min="2836" max="2836" width="26.125" style="2825" customWidth="1"/>
    <col min="2837" max="3072" width="8.875" style="2825"/>
    <col min="3073" max="3073" width="9.5" style="2825" customWidth="1"/>
    <col min="3074" max="3074" width="8.875" style="2825"/>
    <col min="3075" max="3077" width="12.875" style="2825" customWidth="1"/>
    <col min="3078" max="3078" width="47.5" style="2825" customWidth="1"/>
    <col min="3079" max="3079" width="13" style="2825" customWidth="1"/>
    <col min="3080" max="3081" width="8.875" style="2825"/>
    <col min="3082" max="3082" width="5.75" style="2825" customWidth="1"/>
    <col min="3083" max="3083" width="11.75" style="2825" customWidth="1"/>
    <col min="3084" max="3085" width="10.75" style="2825" customWidth="1"/>
    <col min="3086" max="3086" width="10" style="2825" customWidth="1"/>
    <col min="3087" max="3088" width="10.5" style="2825" bestFit="1" customWidth="1"/>
    <col min="3089" max="3089" width="10" style="2825" customWidth="1"/>
    <col min="3090" max="3090" width="10.125" style="2825" customWidth="1"/>
    <col min="3091" max="3091" width="10" style="2825" customWidth="1"/>
    <col min="3092" max="3092" width="26.125" style="2825" customWidth="1"/>
    <col min="3093" max="3328" width="8.875" style="2825"/>
    <col min="3329" max="3329" width="9.5" style="2825" customWidth="1"/>
    <col min="3330" max="3330" width="8.875" style="2825"/>
    <col min="3331" max="3333" width="12.875" style="2825" customWidth="1"/>
    <col min="3334" max="3334" width="47.5" style="2825" customWidth="1"/>
    <col min="3335" max="3335" width="13" style="2825" customWidth="1"/>
    <col min="3336" max="3337" width="8.875" style="2825"/>
    <col min="3338" max="3338" width="5.75" style="2825" customWidth="1"/>
    <col min="3339" max="3339" width="11.75" style="2825" customWidth="1"/>
    <col min="3340" max="3341" width="10.75" style="2825" customWidth="1"/>
    <col min="3342" max="3342" width="10" style="2825" customWidth="1"/>
    <col min="3343" max="3344" width="10.5" style="2825" bestFit="1" customWidth="1"/>
    <col min="3345" max="3345" width="10" style="2825" customWidth="1"/>
    <col min="3346" max="3346" width="10.125" style="2825" customWidth="1"/>
    <col min="3347" max="3347" width="10" style="2825" customWidth="1"/>
    <col min="3348" max="3348" width="26.125" style="2825" customWidth="1"/>
    <col min="3349" max="3584" width="8.875" style="2825"/>
    <col min="3585" max="3585" width="9.5" style="2825" customWidth="1"/>
    <col min="3586" max="3586" width="8.875" style="2825"/>
    <col min="3587" max="3589" width="12.875" style="2825" customWidth="1"/>
    <col min="3590" max="3590" width="47.5" style="2825" customWidth="1"/>
    <col min="3591" max="3591" width="13" style="2825" customWidth="1"/>
    <col min="3592" max="3593" width="8.875" style="2825"/>
    <col min="3594" max="3594" width="5.75" style="2825" customWidth="1"/>
    <col min="3595" max="3595" width="11.75" style="2825" customWidth="1"/>
    <col min="3596" max="3597" width="10.75" style="2825" customWidth="1"/>
    <col min="3598" max="3598" width="10" style="2825" customWidth="1"/>
    <col min="3599" max="3600" width="10.5" style="2825" bestFit="1" customWidth="1"/>
    <col min="3601" max="3601" width="10" style="2825" customWidth="1"/>
    <col min="3602" max="3602" width="10.125" style="2825" customWidth="1"/>
    <col min="3603" max="3603" width="10" style="2825" customWidth="1"/>
    <col min="3604" max="3604" width="26.125" style="2825" customWidth="1"/>
    <col min="3605" max="3840" width="8.875" style="2825"/>
    <col min="3841" max="3841" width="9.5" style="2825" customWidth="1"/>
    <col min="3842" max="3842" width="8.875" style="2825"/>
    <col min="3843" max="3845" width="12.875" style="2825" customWidth="1"/>
    <col min="3846" max="3846" width="47.5" style="2825" customWidth="1"/>
    <col min="3847" max="3847" width="13" style="2825" customWidth="1"/>
    <col min="3848" max="3849" width="8.875" style="2825"/>
    <col min="3850" max="3850" width="5.75" style="2825" customWidth="1"/>
    <col min="3851" max="3851" width="11.75" style="2825" customWidth="1"/>
    <col min="3852" max="3853" width="10.75" style="2825" customWidth="1"/>
    <col min="3854" max="3854" width="10" style="2825" customWidth="1"/>
    <col min="3855" max="3856" width="10.5" style="2825" bestFit="1" customWidth="1"/>
    <col min="3857" max="3857" width="10" style="2825" customWidth="1"/>
    <col min="3858" max="3858" width="10.125" style="2825" customWidth="1"/>
    <col min="3859" max="3859" width="10" style="2825" customWidth="1"/>
    <col min="3860" max="3860" width="26.125" style="2825" customWidth="1"/>
    <col min="3861" max="4096" width="8.875" style="2825"/>
    <col min="4097" max="4097" width="9.5" style="2825" customWidth="1"/>
    <col min="4098" max="4098" width="8.875" style="2825"/>
    <col min="4099" max="4101" width="12.875" style="2825" customWidth="1"/>
    <col min="4102" max="4102" width="47.5" style="2825" customWidth="1"/>
    <col min="4103" max="4103" width="13" style="2825" customWidth="1"/>
    <col min="4104" max="4105" width="8.875" style="2825"/>
    <col min="4106" max="4106" width="5.75" style="2825" customWidth="1"/>
    <col min="4107" max="4107" width="11.75" style="2825" customWidth="1"/>
    <col min="4108" max="4109" width="10.75" style="2825" customWidth="1"/>
    <col min="4110" max="4110" width="10" style="2825" customWidth="1"/>
    <col min="4111" max="4112" width="10.5" style="2825" bestFit="1" customWidth="1"/>
    <col min="4113" max="4113" width="10" style="2825" customWidth="1"/>
    <col min="4114" max="4114" width="10.125" style="2825" customWidth="1"/>
    <col min="4115" max="4115" width="10" style="2825" customWidth="1"/>
    <col min="4116" max="4116" width="26.125" style="2825" customWidth="1"/>
    <col min="4117" max="4352" width="8.875" style="2825"/>
    <col min="4353" max="4353" width="9.5" style="2825" customWidth="1"/>
    <col min="4354" max="4354" width="8.875" style="2825"/>
    <col min="4355" max="4357" width="12.875" style="2825" customWidth="1"/>
    <col min="4358" max="4358" width="47.5" style="2825" customWidth="1"/>
    <col min="4359" max="4359" width="13" style="2825" customWidth="1"/>
    <col min="4360" max="4361" width="8.875" style="2825"/>
    <col min="4362" max="4362" width="5.75" style="2825" customWidth="1"/>
    <col min="4363" max="4363" width="11.75" style="2825" customWidth="1"/>
    <col min="4364" max="4365" width="10.75" style="2825" customWidth="1"/>
    <col min="4366" max="4366" width="10" style="2825" customWidth="1"/>
    <col min="4367" max="4368" width="10.5" style="2825" bestFit="1" customWidth="1"/>
    <col min="4369" max="4369" width="10" style="2825" customWidth="1"/>
    <col min="4370" max="4370" width="10.125" style="2825" customWidth="1"/>
    <col min="4371" max="4371" width="10" style="2825" customWidth="1"/>
    <col min="4372" max="4372" width="26.125" style="2825" customWidth="1"/>
    <col min="4373" max="4608" width="8.875" style="2825"/>
    <col min="4609" max="4609" width="9.5" style="2825" customWidth="1"/>
    <col min="4610" max="4610" width="8.875" style="2825"/>
    <col min="4611" max="4613" width="12.875" style="2825" customWidth="1"/>
    <col min="4614" max="4614" width="47.5" style="2825" customWidth="1"/>
    <col min="4615" max="4615" width="13" style="2825" customWidth="1"/>
    <col min="4616" max="4617" width="8.875" style="2825"/>
    <col min="4618" max="4618" width="5.75" style="2825" customWidth="1"/>
    <col min="4619" max="4619" width="11.75" style="2825" customWidth="1"/>
    <col min="4620" max="4621" width="10.75" style="2825" customWidth="1"/>
    <col min="4622" max="4622" width="10" style="2825" customWidth="1"/>
    <col min="4623" max="4624" width="10.5" style="2825" bestFit="1" customWidth="1"/>
    <col min="4625" max="4625" width="10" style="2825" customWidth="1"/>
    <col min="4626" max="4626" width="10.125" style="2825" customWidth="1"/>
    <col min="4627" max="4627" width="10" style="2825" customWidth="1"/>
    <col min="4628" max="4628" width="26.125" style="2825" customWidth="1"/>
    <col min="4629" max="4864" width="8.875" style="2825"/>
    <col min="4865" max="4865" width="9.5" style="2825" customWidth="1"/>
    <col min="4866" max="4866" width="8.875" style="2825"/>
    <col min="4867" max="4869" width="12.875" style="2825" customWidth="1"/>
    <col min="4870" max="4870" width="47.5" style="2825" customWidth="1"/>
    <col min="4871" max="4871" width="13" style="2825" customWidth="1"/>
    <col min="4872" max="4873" width="8.875" style="2825"/>
    <col min="4874" max="4874" width="5.75" style="2825" customWidth="1"/>
    <col min="4875" max="4875" width="11.75" style="2825" customWidth="1"/>
    <col min="4876" max="4877" width="10.75" style="2825" customWidth="1"/>
    <col min="4878" max="4878" width="10" style="2825" customWidth="1"/>
    <col min="4879" max="4880" width="10.5" style="2825" bestFit="1" customWidth="1"/>
    <col min="4881" max="4881" width="10" style="2825" customWidth="1"/>
    <col min="4882" max="4882" width="10.125" style="2825" customWidth="1"/>
    <col min="4883" max="4883" width="10" style="2825" customWidth="1"/>
    <col min="4884" max="4884" width="26.125" style="2825" customWidth="1"/>
    <col min="4885" max="5120" width="8.875" style="2825"/>
    <col min="5121" max="5121" width="9.5" style="2825" customWidth="1"/>
    <col min="5122" max="5122" width="8.875" style="2825"/>
    <col min="5123" max="5125" width="12.875" style="2825" customWidth="1"/>
    <col min="5126" max="5126" width="47.5" style="2825" customWidth="1"/>
    <col min="5127" max="5127" width="13" style="2825" customWidth="1"/>
    <col min="5128" max="5129" width="8.875" style="2825"/>
    <col min="5130" max="5130" width="5.75" style="2825" customWidth="1"/>
    <col min="5131" max="5131" width="11.75" style="2825" customWidth="1"/>
    <col min="5132" max="5133" width="10.75" style="2825" customWidth="1"/>
    <col min="5134" max="5134" width="10" style="2825" customWidth="1"/>
    <col min="5135" max="5136" width="10.5" style="2825" bestFit="1" customWidth="1"/>
    <col min="5137" max="5137" width="10" style="2825" customWidth="1"/>
    <col min="5138" max="5138" width="10.125" style="2825" customWidth="1"/>
    <col min="5139" max="5139" width="10" style="2825" customWidth="1"/>
    <col min="5140" max="5140" width="26.125" style="2825" customWidth="1"/>
    <col min="5141" max="5376" width="8.875" style="2825"/>
    <col min="5377" max="5377" width="9.5" style="2825" customWidth="1"/>
    <col min="5378" max="5378" width="8.875" style="2825"/>
    <col min="5379" max="5381" width="12.875" style="2825" customWidth="1"/>
    <col min="5382" max="5382" width="47.5" style="2825" customWidth="1"/>
    <col min="5383" max="5383" width="13" style="2825" customWidth="1"/>
    <col min="5384" max="5385" width="8.875" style="2825"/>
    <col min="5386" max="5386" width="5.75" style="2825" customWidth="1"/>
    <col min="5387" max="5387" width="11.75" style="2825" customWidth="1"/>
    <col min="5388" max="5389" width="10.75" style="2825" customWidth="1"/>
    <col min="5390" max="5390" width="10" style="2825" customWidth="1"/>
    <col min="5391" max="5392" width="10.5" style="2825" bestFit="1" customWidth="1"/>
    <col min="5393" max="5393" width="10" style="2825" customWidth="1"/>
    <col min="5394" max="5394" width="10.125" style="2825" customWidth="1"/>
    <col min="5395" max="5395" width="10" style="2825" customWidth="1"/>
    <col min="5396" max="5396" width="26.125" style="2825" customWidth="1"/>
    <col min="5397" max="5632" width="8.875" style="2825"/>
    <col min="5633" max="5633" width="9.5" style="2825" customWidth="1"/>
    <col min="5634" max="5634" width="8.875" style="2825"/>
    <col min="5635" max="5637" width="12.875" style="2825" customWidth="1"/>
    <col min="5638" max="5638" width="47.5" style="2825" customWidth="1"/>
    <col min="5639" max="5639" width="13" style="2825" customWidth="1"/>
    <col min="5640" max="5641" width="8.875" style="2825"/>
    <col min="5642" max="5642" width="5.75" style="2825" customWidth="1"/>
    <col min="5643" max="5643" width="11.75" style="2825" customWidth="1"/>
    <col min="5644" max="5645" width="10.75" style="2825" customWidth="1"/>
    <col min="5646" max="5646" width="10" style="2825" customWidth="1"/>
    <col min="5647" max="5648" width="10.5" style="2825" bestFit="1" customWidth="1"/>
    <col min="5649" max="5649" width="10" style="2825" customWidth="1"/>
    <col min="5650" max="5650" width="10.125" style="2825" customWidth="1"/>
    <col min="5651" max="5651" width="10" style="2825" customWidth="1"/>
    <col min="5652" max="5652" width="26.125" style="2825" customWidth="1"/>
    <col min="5653" max="5888" width="8.875" style="2825"/>
    <col min="5889" max="5889" width="9.5" style="2825" customWidth="1"/>
    <col min="5890" max="5890" width="8.875" style="2825"/>
    <col min="5891" max="5893" width="12.875" style="2825" customWidth="1"/>
    <col min="5894" max="5894" width="47.5" style="2825" customWidth="1"/>
    <col min="5895" max="5895" width="13" style="2825" customWidth="1"/>
    <col min="5896" max="5897" width="8.875" style="2825"/>
    <col min="5898" max="5898" width="5.75" style="2825" customWidth="1"/>
    <col min="5899" max="5899" width="11.75" style="2825" customWidth="1"/>
    <col min="5900" max="5901" width="10.75" style="2825" customWidth="1"/>
    <col min="5902" max="5902" width="10" style="2825" customWidth="1"/>
    <col min="5903" max="5904" width="10.5" style="2825" bestFit="1" customWidth="1"/>
    <col min="5905" max="5905" width="10" style="2825" customWidth="1"/>
    <col min="5906" max="5906" width="10.125" style="2825" customWidth="1"/>
    <col min="5907" max="5907" width="10" style="2825" customWidth="1"/>
    <col min="5908" max="5908" width="26.125" style="2825" customWidth="1"/>
    <col min="5909" max="6144" width="8.875" style="2825"/>
    <col min="6145" max="6145" width="9.5" style="2825" customWidth="1"/>
    <col min="6146" max="6146" width="8.875" style="2825"/>
    <col min="6147" max="6149" width="12.875" style="2825" customWidth="1"/>
    <col min="6150" max="6150" width="47.5" style="2825" customWidth="1"/>
    <col min="6151" max="6151" width="13" style="2825" customWidth="1"/>
    <col min="6152" max="6153" width="8.875" style="2825"/>
    <col min="6154" max="6154" width="5.75" style="2825" customWidth="1"/>
    <col min="6155" max="6155" width="11.75" style="2825" customWidth="1"/>
    <col min="6156" max="6157" width="10.75" style="2825" customWidth="1"/>
    <col min="6158" max="6158" width="10" style="2825" customWidth="1"/>
    <col min="6159" max="6160" width="10.5" style="2825" bestFit="1" customWidth="1"/>
    <col min="6161" max="6161" width="10" style="2825" customWidth="1"/>
    <col min="6162" max="6162" width="10.125" style="2825" customWidth="1"/>
    <col min="6163" max="6163" width="10" style="2825" customWidth="1"/>
    <col min="6164" max="6164" width="26.125" style="2825" customWidth="1"/>
    <col min="6165" max="6400" width="8.875" style="2825"/>
    <col min="6401" max="6401" width="9.5" style="2825" customWidth="1"/>
    <col min="6402" max="6402" width="8.875" style="2825"/>
    <col min="6403" max="6405" width="12.875" style="2825" customWidth="1"/>
    <col min="6406" max="6406" width="47.5" style="2825" customWidth="1"/>
    <col min="6407" max="6407" width="13" style="2825" customWidth="1"/>
    <col min="6408" max="6409" width="8.875" style="2825"/>
    <col min="6410" max="6410" width="5.75" style="2825" customWidth="1"/>
    <col min="6411" max="6411" width="11.75" style="2825" customWidth="1"/>
    <col min="6412" max="6413" width="10.75" style="2825" customWidth="1"/>
    <col min="6414" max="6414" width="10" style="2825" customWidth="1"/>
    <col min="6415" max="6416" width="10.5" style="2825" bestFit="1" customWidth="1"/>
    <col min="6417" max="6417" width="10" style="2825" customWidth="1"/>
    <col min="6418" max="6418" width="10.125" style="2825" customWidth="1"/>
    <col min="6419" max="6419" width="10" style="2825" customWidth="1"/>
    <col min="6420" max="6420" width="26.125" style="2825" customWidth="1"/>
    <col min="6421" max="6656" width="8.875" style="2825"/>
    <col min="6657" max="6657" width="9.5" style="2825" customWidth="1"/>
    <col min="6658" max="6658" width="8.875" style="2825"/>
    <col min="6659" max="6661" width="12.875" style="2825" customWidth="1"/>
    <col min="6662" max="6662" width="47.5" style="2825" customWidth="1"/>
    <col min="6663" max="6663" width="13" style="2825" customWidth="1"/>
    <col min="6664" max="6665" width="8.875" style="2825"/>
    <col min="6666" max="6666" width="5.75" style="2825" customWidth="1"/>
    <col min="6667" max="6667" width="11.75" style="2825" customWidth="1"/>
    <col min="6668" max="6669" width="10.75" style="2825" customWidth="1"/>
    <col min="6670" max="6670" width="10" style="2825" customWidth="1"/>
    <col min="6671" max="6672" width="10.5" style="2825" bestFit="1" customWidth="1"/>
    <col min="6673" max="6673" width="10" style="2825" customWidth="1"/>
    <col min="6674" max="6674" width="10.125" style="2825" customWidth="1"/>
    <col min="6675" max="6675" width="10" style="2825" customWidth="1"/>
    <col min="6676" max="6676" width="26.125" style="2825" customWidth="1"/>
    <col min="6677" max="6912" width="8.875" style="2825"/>
    <col min="6913" max="6913" width="9.5" style="2825" customWidth="1"/>
    <col min="6914" max="6914" width="8.875" style="2825"/>
    <col min="6915" max="6917" width="12.875" style="2825" customWidth="1"/>
    <col min="6918" max="6918" width="47.5" style="2825" customWidth="1"/>
    <col min="6919" max="6919" width="13" style="2825" customWidth="1"/>
    <col min="6920" max="6921" width="8.875" style="2825"/>
    <col min="6922" max="6922" width="5.75" style="2825" customWidth="1"/>
    <col min="6923" max="6923" width="11.75" style="2825" customWidth="1"/>
    <col min="6924" max="6925" width="10.75" style="2825" customWidth="1"/>
    <col min="6926" max="6926" width="10" style="2825" customWidth="1"/>
    <col min="6927" max="6928" width="10.5" style="2825" bestFit="1" customWidth="1"/>
    <col min="6929" max="6929" width="10" style="2825" customWidth="1"/>
    <col min="6930" max="6930" width="10.125" style="2825" customWidth="1"/>
    <col min="6931" max="6931" width="10" style="2825" customWidth="1"/>
    <col min="6932" max="6932" width="26.125" style="2825" customWidth="1"/>
    <col min="6933" max="7168" width="8.875" style="2825"/>
    <col min="7169" max="7169" width="9.5" style="2825" customWidth="1"/>
    <col min="7170" max="7170" width="8.875" style="2825"/>
    <col min="7171" max="7173" width="12.875" style="2825" customWidth="1"/>
    <col min="7174" max="7174" width="47.5" style="2825" customWidth="1"/>
    <col min="7175" max="7175" width="13" style="2825" customWidth="1"/>
    <col min="7176" max="7177" width="8.875" style="2825"/>
    <col min="7178" max="7178" width="5.75" style="2825" customWidth="1"/>
    <col min="7179" max="7179" width="11.75" style="2825" customWidth="1"/>
    <col min="7180" max="7181" width="10.75" style="2825" customWidth="1"/>
    <col min="7182" max="7182" width="10" style="2825" customWidth="1"/>
    <col min="7183" max="7184" width="10.5" style="2825" bestFit="1" customWidth="1"/>
    <col min="7185" max="7185" width="10" style="2825" customWidth="1"/>
    <col min="7186" max="7186" width="10.125" style="2825" customWidth="1"/>
    <col min="7187" max="7187" width="10" style="2825" customWidth="1"/>
    <col min="7188" max="7188" width="26.125" style="2825" customWidth="1"/>
    <col min="7189" max="7424" width="8.875" style="2825"/>
    <col min="7425" max="7425" width="9.5" style="2825" customWidth="1"/>
    <col min="7426" max="7426" width="8.875" style="2825"/>
    <col min="7427" max="7429" width="12.875" style="2825" customWidth="1"/>
    <col min="7430" max="7430" width="47.5" style="2825" customWidth="1"/>
    <col min="7431" max="7431" width="13" style="2825" customWidth="1"/>
    <col min="7432" max="7433" width="8.875" style="2825"/>
    <col min="7434" max="7434" width="5.75" style="2825" customWidth="1"/>
    <col min="7435" max="7435" width="11.75" style="2825" customWidth="1"/>
    <col min="7436" max="7437" width="10.75" style="2825" customWidth="1"/>
    <col min="7438" max="7438" width="10" style="2825" customWidth="1"/>
    <col min="7439" max="7440" width="10.5" style="2825" bestFit="1" customWidth="1"/>
    <col min="7441" max="7441" width="10" style="2825" customWidth="1"/>
    <col min="7442" max="7442" width="10.125" style="2825" customWidth="1"/>
    <col min="7443" max="7443" width="10" style="2825" customWidth="1"/>
    <col min="7444" max="7444" width="26.125" style="2825" customWidth="1"/>
    <col min="7445" max="7680" width="8.875" style="2825"/>
    <col min="7681" max="7681" width="9.5" style="2825" customWidth="1"/>
    <col min="7682" max="7682" width="8.875" style="2825"/>
    <col min="7683" max="7685" width="12.875" style="2825" customWidth="1"/>
    <col min="7686" max="7686" width="47.5" style="2825" customWidth="1"/>
    <col min="7687" max="7687" width="13" style="2825" customWidth="1"/>
    <col min="7688" max="7689" width="8.875" style="2825"/>
    <col min="7690" max="7690" width="5.75" style="2825" customWidth="1"/>
    <col min="7691" max="7691" width="11.75" style="2825" customWidth="1"/>
    <col min="7692" max="7693" width="10.75" style="2825" customWidth="1"/>
    <col min="7694" max="7694" width="10" style="2825" customWidth="1"/>
    <col min="7695" max="7696" width="10.5" style="2825" bestFit="1" customWidth="1"/>
    <col min="7697" max="7697" width="10" style="2825" customWidth="1"/>
    <col min="7698" max="7698" width="10.125" style="2825" customWidth="1"/>
    <col min="7699" max="7699" width="10" style="2825" customWidth="1"/>
    <col min="7700" max="7700" width="26.125" style="2825" customWidth="1"/>
    <col min="7701" max="7936" width="8.875" style="2825"/>
    <col min="7937" max="7937" width="9.5" style="2825" customWidth="1"/>
    <col min="7938" max="7938" width="8.875" style="2825"/>
    <col min="7939" max="7941" width="12.875" style="2825" customWidth="1"/>
    <col min="7942" max="7942" width="47.5" style="2825" customWidth="1"/>
    <col min="7943" max="7943" width="13" style="2825" customWidth="1"/>
    <col min="7944" max="7945" width="8.875" style="2825"/>
    <col min="7946" max="7946" width="5.75" style="2825" customWidth="1"/>
    <col min="7947" max="7947" width="11.75" style="2825" customWidth="1"/>
    <col min="7948" max="7949" width="10.75" style="2825" customWidth="1"/>
    <col min="7950" max="7950" width="10" style="2825" customWidth="1"/>
    <col min="7951" max="7952" width="10.5" style="2825" bestFit="1" customWidth="1"/>
    <col min="7953" max="7953" width="10" style="2825" customWidth="1"/>
    <col min="7954" max="7954" width="10.125" style="2825" customWidth="1"/>
    <col min="7955" max="7955" width="10" style="2825" customWidth="1"/>
    <col min="7956" max="7956" width="26.125" style="2825" customWidth="1"/>
    <col min="7957" max="8192" width="8.875" style="2825"/>
    <col min="8193" max="8193" width="9.5" style="2825" customWidth="1"/>
    <col min="8194" max="8194" width="8.875" style="2825"/>
    <col min="8195" max="8197" width="12.875" style="2825" customWidth="1"/>
    <col min="8198" max="8198" width="47.5" style="2825" customWidth="1"/>
    <col min="8199" max="8199" width="13" style="2825" customWidth="1"/>
    <col min="8200" max="8201" width="8.875" style="2825"/>
    <col min="8202" max="8202" width="5.75" style="2825" customWidth="1"/>
    <col min="8203" max="8203" width="11.75" style="2825" customWidth="1"/>
    <col min="8204" max="8205" width="10.75" style="2825" customWidth="1"/>
    <col min="8206" max="8206" width="10" style="2825" customWidth="1"/>
    <col min="8207" max="8208" width="10.5" style="2825" bestFit="1" customWidth="1"/>
    <col min="8209" max="8209" width="10" style="2825" customWidth="1"/>
    <col min="8210" max="8210" width="10.125" style="2825" customWidth="1"/>
    <col min="8211" max="8211" width="10" style="2825" customWidth="1"/>
    <col min="8212" max="8212" width="26.125" style="2825" customWidth="1"/>
    <col min="8213" max="8448" width="8.875" style="2825"/>
    <col min="8449" max="8449" width="9.5" style="2825" customWidth="1"/>
    <col min="8450" max="8450" width="8.875" style="2825"/>
    <col min="8451" max="8453" width="12.875" style="2825" customWidth="1"/>
    <col min="8454" max="8454" width="47.5" style="2825" customWidth="1"/>
    <col min="8455" max="8455" width="13" style="2825" customWidth="1"/>
    <col min="8456" max="8457" width="8.875" style="2825"/>
    <col min="8458" max="8458" width="5.75" style="2825" customWidth="1"/>
    <col min="8459" max="8459" width="11.75" style="2825" customWidth="1"/>
    <col min="8460" max="8461" width="10.75" style="2825" customWidth="1"/>
    <col min="8462" max="8462" width="10" style="2825" customWidth="1"/>
    <col min="8463" max="8464" width="10.5" style="2825" bestFit="1" customWidth="1"/>
    <col min="8465" max="8465" width="10" style="2825" customWidth="1"/>
    <col min="8466" max="8466" width="10.125" style="2825" customWidth="1"/>
    <col min="8467" max="8467" width="10" style="2825" customWidth="1"/>
    <col min="8468" max="8468" width="26.125" style="2825" customWidth="1"/>
    <col min="8469" max="8704" width="8.875" style="2825"/>
    <col min="8705" max="8705" width="9.5" style="2825" customWidth="1"/>
    <col min="8706" max="8706" width="8.875" style="2825"/>
    <col min="8707" max="8709" width="12.875" style="2825" customWidth="1"/>
    <col min="8710" max="8710" width="47.5" style="2825" customWidth="1"/>
    <col min="8711" max="8711" width="13" style="2825" customWidth="1"/>
    <col min="8712" max="8713" width="8.875" style="2825"/>
    <col min="8714" max="8714" width="5.75" style="2825" customWidth="1"/>
    <col min="8715" max="8715" width="11.75" style="2825" customWidth="1"/>
    <col min="8716" max="8717" width="10.75" style="2825" customWidth="1"/>
    <col min="8718" max="8718" width="10" style="2825" customWidth="1"/>
    <col min="8719" max="8720" width="10.5" style="2825" bestFit="1" customWidth="1"/>
    <col min="8721" max="8721" width="10" style="2825" customWidth="1"/>
    <col min="8722" max="8722" width="10.125" style="2825" customWidth="1"/>
    <col min="8723" max="8723" width="10" style="2825" customWidth="1"/>
    <col min="8724" max="8724" width="26.125" style="2825" customWidth="1"/>
    <col min="8725" max="8960" width="8.875" style="2825"/>
    <col min="8961" max="8961" width="9.5" style="2825" customWidth="1"/>
    <col min="8962" max="8962" width="8.875" style="2825"/>
    <col min="8963" max="8965" width="12.875" style="2825" customWidth="1"/>
    <col min="8966" max="8966" width="47.5" style="2825" customWidth="1"/>
    <col min="8967" max="8967" width="13" style="2825" customWidth="1"/>
    <col min="8968" max="8969" width="8.875" style="2825"/>
    <col min="8970" max="8970" width="5.75" style="2825" customWidth="1"/>
    <col min="8971" max="8971" width="11.75" style="2825" customWidth="1"/>
    <col min="8972" max="8973" width="10.75" style="2825" customWidth="1"/>
    <col min="8974" max="8974" width="10" style="2825" customWidth="1"/>
    <col min="8975" max="8976" width="10.5" style="2825" bestFit="1" customWidth="1"/>
    <col min="8977" max="8977" width="10" style="2825" customWidth="1"/>
    <col min="8978" max="8978" width="10.125" style="2825" customWidth="1"/>
    <col min="8979" max="8979" width="10" style="2825" customWidth="1"/>
    <col min="8980" max="8980" width="26.125" style="2825" customWidth="1"/>
    <col min="8981" max="9216" width="8.875" style="2825"/>
    <col min="9217" max="9217" width="9.5" style="2825" customWidth="1"/>
    <col min="9218" max="9218" width="8.875" style="2825"/>
    <col min="9219" max="9221" width="12.875" style="2825" customWidth="1"/>
    <col min="9222" max="9222" width="47.5" style="2825" customWidth="1"/>
    <col min="9223" max="9223" width="13" style="2825" customWidth="1"/>
    <col min="9224" max="9225" width="8.875" style="2825"/>
    <col min="9226" max="9226" width="5.75" style="2825" customWidth="1"/>
    <col min="9227" max="9227" width="11.75" style="2825" customWidth="1"/>
    <col min="9228" max="9229" width="10.75" style="2825" customWidth="1"/>
    <col min="9230" max="9230" width="10" style="2825" customWidth="1"/>
    <col min="9231" max="9232" width="10.5" style="2825" bestFit="1" customWidth="1"/>
    <col min="9233" max="9233" width="10" style="2825" customWidth="1"/>
    <col min="9234" max="9234" width="10.125" style="2825" customWidth="1"/>
    <col min="9235" max="9235" width="10" style="2825" customWidth="1"/>
    <col min="9236" max="9236" width="26.125" style="2825" customWidth="1"/>
    <col min="9237" max="9472" width="8.875" style="2825"/>
    <col min="9473" max="9473" width="9.5" style="2825" customWidth="1"/>
    <col min="9474" max="9474" width="8.875" style="2825"/>
    <col min="9475" max="9477" width="12.875" style="2825" customWidth="1"/>
    <col min="9478" max="9478" width="47.5" style="2825" customWidth="1"/>
    <col min="9479" max="9479" width="13" style="2825" customWidth="1"/>
    <col min="9480" max="9481" width="8.875" style="2825"/>
    <col min="9482" max="9482" width="5.75" style="2825" customWidth="1"/>
    <col min="9483" max="9483" width="11.75" style="2825" customWidth="1"/>
    <col min="9484" max="9485" width="10.75" style="2825" customWidth="1"/>
    <col min="9486" max="9486" width="10" style="2825" customWidth="1"/>
    <col min="9487" max="9488" width="10.5" style="2825" bestFit="1" customWidth="1"/>
    <col min="9489" max="9489" width="10" style="2825" customWidth="1"/>
    <col min="9490" max="9490" width="10.125" style="2825" customWidth="1"/>
    <col min="9491" max="9491" width="10" style="2825" customWidth="1"/>
    <col min="9492" max="9492" width="26.125" style="2825" customWidth="1"/>
    <col min="9493" max="9728" width="8.875" style="2825"/>
    <col min="9729" max="9729" width="9.5" style="2825" customWidth="1"/>
    <col min="9730" max="9730" width="8.875" style="2825"/>
    <col min="9731" max="9733" width="12.875" style="2825" customWidth="1"/>
    <col min="9734" max="9734" width="47.5" style="2825" customWidth="1"/>
    <col min="9735" max="9735" width="13" style="2825" customWidth="1"/>
    <col min="9736" max="9737" width="8.875" style="2825"/>
    <col min="9738" max="9738" width="5.75" style="2825" customWidth="1"/>
    <col min="9739" max="9739" width="11.75" style="2825" customWidth="1"/>
    <col min="9740" max="9741" width="10.75" style="2825" customWidth="1"/>
    <col min="9742" max="9742" width="10" style="2825" customWidth="1"/>
    <col min="9743" max="9744" width="10.5" style="2825" bestFit="1" customWidth="1"/>
    <col min="9745" max="9745" width="10" style="2825" customWidth="1"/>
    <col min="9746" max="9746" width="10.125" style="2825" customWidth="1"/>
    <col min="9747" max="9747" width="10" style="2825" customWidth="1"/>
    <col min="9748" max="9748" width="26.125" style="2825" customWidth="1"/>
    <col min="9749" max="9984" width="8.875" style="2825"/>
    <col min="9985" max="9985" width="9.5" style="2825" customWidth="1"/>
    <col min="9986" max="9986" width="8.875" style="2825"/>
    <col min="9987" max="9989" width="12.875" style="2825" customWidth="1"/>
    <col min="9990" max="9990" width="47.5" style="2825" customWidth="1"/>
    <col min="9991" max="9991" width="13" style="2825" customWidth="1"/>
    <col min="9992" max="9993" width="8.875" style="2825"/>
    <col min="9994" max="9994" width="5.75" style="2825" customWidth="1"/>
    <col min="9995" max="9995" width="11.75" style="2825" customWidth="1"/>
    <col min="9996" max="9997" width="10.75" style="2825" customWidth="1"/>
    <col min="9998" max="9998" width="10" style="2825" customWidth="1"/>
    <col min="9999" max="10000" width="10.5" style="2825" bestFit="1" customWidth="1"/>
    <col min="10001" max="10001" width="10" style="2825" customWidth="1"/>
    <col min="10002" max="10002" width="10.125" style="2825" customWidth="1"/>
    <col min="10003" max="10003" width="10" style="2825" customWidth="1"/>
    <col min="10004" max="10004" width="26.125" style="2825" customWidth="1"/>
    <col min="10005" max="10240" width="8.875" style="2825"/>
    <col min="10241" max="10241" width="9.5" style="2825" customWidth="1"/>
    <col min="10242" max="10242" width="8.875" style="2825"/>
    <col min="10243" max="10245" width="12.875" style="2825" customWidth="1"/>
    <col min="10246" max="10246" width="47.5" style="2825" customWidth="1"/>
    <col min="10247" max="10247" width="13" style="2825" customWidth="1"/>
    <col min="10248" max="10249" width="8.875" style="2825"/>
    <col min="10250" max="10250" width="5.75" style="2825" customWidth="1"/>
    <col min="10251" max="10251" width="11.75" style="2825" customWidth="1"/>
    <col min="10252" max="10253" width="10.75" style="2825" customWidth="1"/>
    <col min="10254" max="10254" width="10" style="2825" customWidth="1"/>
    <col min="10255" max="10256" width="10.5" style="2825" bestFit="1" customWidth="1"/>
    <col min="10257" max="10257" width="10" style="2825" customWidth="1"/>
    <col min="10258" max="10258" width="10.125" style="2825" customWidth="1"/>
    <col min="10259" max="10259" width="10" style="2825" customWidth="1"/>
    <col min="10260" max="10260" width="26.125" style="2825" customWidth="1"/>
    <col min="10261" max="10496" width="8.875" style="2825"/>
    <col min="10497" max="10497" width="9.5" style="2825" customWidth="1"/>
    <col min="10498" max="10498" width="8.875" style="2825"/>
    <col min="10499" max="10501" width="12.875" style="2825" customWidth="1"/>
    <col min="10502" max="10502" width="47.5" style="2825" customWidth="1"/>
    <col min="10503" max="10503" width="13" style="2825" customWidth="1"/>
    <col min="10504" max="10505" width="8.875" style="2825"/>
    <col min="10506" max="10506" width="5.75" style="2825" customWidth="1"/>
    <col min="10507" max="10507" width="11.75" style="2825" customWidth="1"/>
    <col min="10508" max="10509" width="10.75" style="2825" customWidth="1"/>
    <col min="10510" max="10510" width="10" style="2825" customWidth="1"/>
    <col min="10511" max="10512" width="10.5" style="2825" bestFit="1" customWidth="1"/>
    <col min="10513" max="10513" width="10" style="2825" customWidth="1"/>
    <col min="10514" max="10514" width="10.125" style="2825" customWidth="1"/>
    <col min="10515" max="10515" width="10" style="2825" customWidth="1"/>
    <col min="10516" max="10516" width="26.125" style="2825" customWidth="1"/>
    <col min="10517" max="10752" width="8.875" style="2825"/>
    <col min="10753" max="10753" width="9.5" style="2825" customWidth="1"/>
    <col min="10754" max="10754" width="8.875" style="2825"/>
    <col min="10755" max="10757" width="12.875" style="2825" customWidth="1"/>
    <col min="10758" max="10758" width="47.5" style="2825" customWidth="1"/>
    <col min="10759" max="10759" width="13" style="2825" customWidth="1"/>
    <col min="10760" max="10761" width="8.875" style="2825"/>
    <col min="10762" max="10762" width="5.75" style="2825" customWidth="1"/>
    <col min="10763" max="10763" width="11.75" style="2825" customWidth="1"/>
    <col min="10764" max="10765" width="10.75" style="2825" customWidth="1"/>
    <col min="10766" max="10766" width="10" style="2825" customWidth="1"/>
    <col min="10767" max="10768" width="10.5" style="2825" bestFit="1" customWidth="1"/>
    <col min="10769" max="10769" width="10" style="2825" customWidth="1"/>
    <col min="10770" max="10770" width="10.125" style="2825" customWidth="1"/>
    <col min="10771" max="10771" width="10" style="2825" customWidth="1"/>
    <col min="10772" max="10772" width="26.125" style="2825" customWidth="1"/>
    <col min="10773" max="11008" width="8.875" style="2825"/>
    <col min="11009" max="11009" width="9.5" style="2825" customWidth="1"/>
    <col min="11010" max="11010" width="8.875" style="2825"/>
    <col min="11011" max="11013" width="12.875" style="2825" customWidth="1"/>
    <col min="11014" max="11014" width="47.5" style="2825" customWidth="1"/>
    <col min="11015" max="11015" width="13" style="2825" customWidth="1"/>
    <col min="11016" max="11017" width="8.875" style="2825"/>
    <col min="11018" max="11018" width="5.75" style="2825" customWidth="1"/>
    <col min="11019" max="11019" width="11.75" style="2825" customWidth="1"/>
    <col min="11020" max="11021" width="10.75" style="2825" customWidth="1"/>
    <col min="11022" max="11022" width="10" style="2825" customWidth="1"/>
    <col min="11023" max="11024" width="10.5" style="2825" bestFit="1" customWidth="1"/>
    <col min="11025" max="11025" width="10" style="2825" customWidth="1"/>
    <col min="11026" max="11026" width="10.125" style="2825" customWidth="1"/>
    <col min="11027" max="11027" width="10" style="2825" customWidth="1"/>
    <col min="11028" max="11028" width="26.125" style="2825" customWidth="1"/>
    <col min="11029" max="11264" width="8.875" style="2825"/>
    <col min="11265" max="11265" width="9.5" style="2825" customWidth="1"/>
    <col min="11266" max="11266" width="8.875" style="2825"/>
    <col min="11267" max="11269" width="12.875" style="2825" customWidth="1"/>
    <col min="11270" max="11270" width="47.5" style="2825" customWidth="1"/>
    <col min="11271" max="11271" width="13" style="2825" customWidth="1"/>
    <col min="11272" max="11273" width="8.875" style="2825"/>
    <col min="11274" max="11274" width="5.75" style="2825" customWidth="1"/>
    <col min="11275" max="11275" width="11.75" style="2825" customWidth="1"/>
    <col min="11276" max="11277" width="10.75" style="2825" customWidth="1"/>
    <col min="11278" max="11278" width="10" style="2825" customWidth="1"/>
    <col min="11279" max="11280" width="10.5" style="2825" bestFit="1" customWidth="1"/>
    <col min="11281" max="11281" width="10" style="2825" customWidth="1"/>
    <col min="11282" max="11282" width="10.125" style="2825" customWidth="1"/>
    <col min="11283" max="11283" width="10" style="2825" customWidth="1"/>
    <col min="11284" max="11284" width="26.125" style="2825" customWidth="1"/>
    <col min="11285" max="11520" width="8.875" style="2825"/>
    <col min="11521" max="11521" width="9.5" style="2825" customWidth="1"/>
    <col min="11522" max="11522" width="8.875" style="2825"/>
    <col min="11523" max="11525" width="12.875" style="2825" customWidth="1"/>
    <col min="11526" max="11526" width="47.5" style="2825" customWidth="1"/>
    <col min="11527" max="11527" width="13" style="2825" customWidth="1"/>
    <col min="11528" max="11529" width="8.875" style="2825"/>
    <col min="11530" max="11530" width="5.75" style="2825" customWidth="1"/>
    <col min="11531" max="11531" width="11.75" style="2825" customWidth="1"/>
    <col min="11532" max="11533" width="10.75" style="2825" customWidth="1"/>
    <col min="11534" max="11534" width="10" style="2825" customWidth="1"/>
    <col min="11535" max="11536" width="10.5" style="2825" bestFit="1" customWidth="1"/>
    <col min="11537" max="11537" width="10" style="2825" customWidth="1"/>
    <col min="11538" max="11538" width="10.125" style="2825" customWidth="1"/>
    <col min="11539" max="11539" width="10" style="2825" customWidth="1"/>
    <col min="11540" max="11540" width="26.125" style="2825" customWidth="1"/>
    <col min="11541" max="11776" width="8.875" style="2825"/>
    <col min="11777" max="11777" width="9.5" style="2825" customWidth="1"/>
    <col min="11778" max="11778" width="8.875" style="2825"/>
    <col min="11779" max="11781" width="12.875" style="2825" customWidth="1"/>
    <col min="11782" max="11782" width="47.5" style="2825" customWidth="1"/>
    <col min="11783" max="11783" width="13" style="2825" customWidth="1"/>
    <col min="11784" max="11785" width="8.875" style="2825"/>
    <col min="11786" max="11786" width="5.75" style="2825" customWidth="1"/>
    <col min="11787" max="11787" width="11.75" style="2825" customWidth="1"/>
    <col min="11788" max="11789" width="10.75" style="2825" customWidth="1"/>
    <col min="11790" max="11790" width="10" style="2825" customWidth="1"/>
    <col min="11791" max="11792" width="10.5" style="2825" bestFit="1" customWidth="1"/>
    <col min="11793" max="11793" width="10" style="2825" customWidth="1"/>
    <col min="11794" max="11794" width="10.125" style="2825" customWidth="1"/>
    <col min="11795" max="11795" width="10" style="2825" customWidth="1"/>
    <col min="11796" max="11796" width="26.125" style="2825" customWidth="1"/>
    <col min="11797" max="12032" width="8.875" style="2825"/>
    <col min="12033" max="12033" width="9.5" style="2825" customWidth="1"/>
    <col min="12034" max="12034" width="8.875" style="2825"/>
    <col min="12035" max="12037" width="12.875" style="2825" customWidth="1"/>
    <col min="12038" max="12038" width="47.5" style="2825" customWidth="1"/>
    <col min="12039" max="12039" width="13" style="2825" customWidth="1"/>
    <col min="12040" max="12041" width="8.875" style="2825"/>
    <col min="12042" max="12042" width="5.75" style="2825" customWidth="1"/>
    <col min="12043" max="12043" width="11.75" style="2825" customWidth="1"/>
    <col min="12044" max="12045" width="10.75" style="2825" customWidth="1"/>
    <col min="12046" max="12046" width="10" style="2825" customWidth="1"/>
    <col min="12047" max="12048" width="10.5" style="2825" bestFit="1" customWidth="1"/>
    <col min="12049" max="12049" width="10" style="2825" customWidth="1"/>
    <col min="12050" max="12050" width="10.125" style="2825" customWidth="1"/>
    <col min="12051" max="12051" width="10" style="2825" customWidth="1"/>
    <col min="12052" max="12052" width="26.125" style="2825" customWidth="1"/>
    <col min="12053" max="12288" width="8.875" style="2825"/>
    <col min="12289" max="12289" width="9.5" style="2825" customWidth="1"/>
    <col min="12290" max="12290" width="8.875" style="2825"/>
    <col min="12291" max="12293" width="12.875" style="2825" customWidth="1"/>
    <col min="12294" max="12294" width="47.5" style="2825" customWidth="1"/>
    <col min="12295" max="12295" width="13" style="2825" customWidth="1"/>
    <col min="12296" max="12297" width="8.875" style="2825"/>
    <col min="12298" max="12298" width="5.75" style="2825" customWidth="1"/>
    <col min="12299" max="12299" width="11.75" style="2825" customWidth="1"/>
    <col min="12300" max="12301" width="10.75" style="2825" customWidth="1"/>
    <col min="12302" max="12302" width="10" style="2825" customWidth="1"/>
    <col min="12303" max="12304" width="10.5" style="2825" bestFit="1" customWidth="1"/>
    <col min="12305" max="12305" width="10" style="2825" customWidth="1"/>
    <col min="12306" max="12306" width="10.125" style="2825" customWidth="1"/>
    <col min="12307" max="12307" width="10" style="2825" customWidth="1"/>
    <col min="12308" max="12308" width="26.125" style="2825" customWidth="1"/>
    <col min="12309" max="12544" width="8.875" style="2825"/>
    <col min="12545" max="12545" width="9.5" style="2825" customWidth="1"/>
    <col min="12546" max="12546" width="8.875" style="2825"/>
    <col min="12547" max="12549" width="12.875" style="2825" customWidth="1"/>
    <col min="12550" max="12550" width="47.5" style="2825" customWidth="1"/>
    <col min="12551" max="12551" width="13" style="2825" customWidth="1"/>
    <col min="12552" max="12553" width="8.875" style="2825"/>
    <col min="12554" max="12554" width="5.75" style="2825" customWidth="1"/>
    <col min="12555" max="12555" width="11.75" style="2825" customWidth="1"/>
    <col min="12556" max="12557" width="10.75" style="2825" customWidth="1"/>
    <col min="12558" max="12558" width="10" style="2825" customWidth="1"/>
    <col min="12559" max="12560" width="10.5" style="2825" bestFit="1" customWidth="1"/>
    <col min="12561" max="12561" width="10" style="2825" customWidth="1"/>
    <col min="12562" max="12562" width="10.125" style="2825" customWidth="1"/>
    <col min="12563" max="12563" width="10" style="2825" customWidth="1"/>
    <col min="12564" max="12564" width="26.125" style="2825" customWidth="1"/>
    <col min="12565" max="12800" width="8.875" style="2825"/>
    <col min="12801" max="12801" width="9.5" style="2825" customWidth="1"/>
    <col min="12802" max="12802" width="8.875" style="2825"/>
    <col min="12803" max="12805" width="12.875" style="2825" customWidth="1"/>
    <col min="12806" max="12806" width="47.5" style="2825" customWidth="1"/>
    <col min="12807" max="12807" width="13" style="2825" customWidth="1"/>
    <col min="12808" max="12809" width="8.875" style="2825"/>
    <col min="12810" max="12810" width="5.75" style="2825" customWidth="1"/>
    <col min="12811" max="12811" width="11.75" style="2825" customWidth="1"/>
    <col min="12812" max="12813" width="10.75" style="2825" customWidth="1"/>
    <col min="12814" max="12814" width="10" style="2825" customWidth="1"/>
    <col min="12815" max="12816" width="10.5" style="2825" bestFit="1" customWidth="1"/>
    <col min="12817" max="12817" width="10" style="2825" customWidth="1"/>
    <col min="12818" max="12818" width="10.125" style="2825" customWidth="1"/>
    <col min="12819" max="12819" width="10" style="2825" customWidth="1"/>
    <col min="12820" max="12820" width="26.125" style="2825" customWidth="1"/>
    <col min="12821" max="13056" width="8.875" style="2825"/>
    <col min="13057" max="13057" width="9.5" style="2825" customWidth="1"/>
    <col min="13058" max="13058" width="8.875" style="2825"/>
    <col min="13059" max="13061" width="12.875" style="2825" customWidth="1"/>
    <col min="13062" max="13062" width="47.5" style="2825" customWidth="1"/>
    <col min="13063" max="13063" width="13" style="2825" customWidth="1"/>
    <col min="13064" max="13065" width="8.875" style="2825"/>
    <col min="13066" max="13066" width="5.75" style="2825" customWidth="1"/>
    <col min="13067" max="13067" width="11.75" style="2825" customWidth="1"/>
    <col min="13068" max="13069" width="10.75" style="2825" customWidth="1"/>
    <col min="13070" max="13070" width="10" style="2825" customWidth="1"/>
    <col min="13071" max="13072" width="10.5" style="2825" bestFit="1" customWidth="1"/>
    <col min="13073" max="13073" width="10" style="2825" customWidth="1"/>
    <col min="13074" max="13074" width="10.125" style="2825" customWidth="1"/>
    <col min="13075" max="13075" width="10" style="2825" customWidth="1"/>
    <col min="13076" max="13076" width="26.125" style="2825" customWidth="1"/>
    <col min="13077" max="13312" width="8.875" style="2825"/>
    <col min="13313" max="13313" width="9.5" style="2825" customWidth="1"/>
    <col min="13314" max="13314" width="8.875" style="2825"/>
    <col min="13315" max="13317" width="12.875" style="2825" customWidth="1"/>
    <col min="13318" max="13318" width="47.5" style="2825" customWidth="1"/>
    <col min="13319" max="13319" width="13" style="2825" customWidth="1"/>
    <col min="13320" max="13321" width="8.875" style="2825"/>
    <col min="13322" max="13322" width="5.75" style="2825" customWidth="1"/>
    <col min="13323" max="13323" width="11.75" style="2825" customWidth="1"/>
    <col min="13324" max="13325" width="10.75" style="2825" customWidth="1"/>
    <col min="13326" max="13326" width="10" style="2825" customWidth="1"/>
    <col min="13327" max="13328" width="10.5" style="2825" bestFit="1" customWidth="1"/>
    <col min="13329" max="13329" width="10" style="2825" customWidth="1"/>
    <col min="13330" max="13330" width="10.125" style="2825" customWidth="1"/>
    <col min="13331" max="13331" width="10" style="2825" customWidth="1"/>
    <col min="13332" max="13332" width="26.125" style="2825" customWidth="1"/>
    <col min="13333" max="13568" width="8.875" style="2825"/>
    <col min="13569" max="13569" width="9.5" style="2825" customWidth="1"/>
    <col min="13570" max="13570" width="8.875" style="2825"/>
    <col min="13571" max="13573" width="12.875" style="2825" customWidth="1"/>
    <col min="13574" max="13574" width="47.5" style="2825" customWidth="1"/>
    <col min="13575" max="13575" width="13" style="2825" customWidth="1"/>
    <col min="13576" max="13577" width="8.875" style="2825"/>
    <col min="13578" max="13578" width="5.75" style="2825" customWidth="1"/>
    <col min="13579" max="13579" width="11.75" style="2825" customWidth="1"/>
    <col min="13580" max="13581" width="10.75" style="2825" customWidth="1"/>
    <col min="13582" max="13582" width="10" style="2825" customWidth="1"/>
    <col min="13583" max="13584" width="10.5" style="2825" bestFit="1" customWidth="1"/>
    <col min="13585" max="13585" width="10" style="2825" customWidth="1"/>
    <col min="13586" max="13586" width="10.125" style="2825" customWidth="1"/>
    <col min="13587" max="13587" width="10" style="2825" customWidth="1"/>
    <col min="13588" max="13588" width="26.125" style="2825" customWidth="1"/>
    <col min="13589" max="13824" width="8.875" style="2825"/>
    <col min="13825" max="13825" width="9.5" style="2825" customWidth="1"/>
    <col min="13826" max="13826" width="8.875" style="2825"/>
    <col min="13827" max="13829" width="12.875" style="2825" customWidth="1"/>
    <col min="13830" max="13830" width="47.5" style="2825" customWidth="1"/>
    <col min="13831" max="13831" width="13" style="2825" customWidth="1"/>
    <col min="13832" max="13833" width="8.875" style="2825"/>
    <col min="13834" max="13834" width="5.75" style="2825" customWidth="1"/>
    <col min="13835" max="13835" width="11.75" style="2825" customWidth="1"/>
    <col min="13836" max="13837" width="10.75" style="2825" customWidth="1"/>
    <col min="13838" max="13838" width="10" style="2825" customWidth="1"/>
    <col min="13839" max="13840" width="10.5" style="2825" bestFit="1" customWidth="1"/>
    <col min="13841" max="13841" width="10" style="2825" customWidth="1"/>
    <col min="13842" max="13842" width="10.125" style="2825" customWidth="1"/>
    <col min="13843" max="13843" width="10" style="2825" customWidth="1"/>
    <col min="13844" max="13844" width="26.125" style="2825" customWidth="1"/>
    <col min="13845" max="14080" width="8.875" style="2825"/>
    <col min="14081" max="14081" width="9.5" style="2825" customWidth="1"/>
    <col min="14082" max="14082" width="8.875" style="2825"/>
    <col min="14083" max="14085" width="12.875" style="2825" customWidth="1"/>
    <col min="14086" max="14086" width="47.5" style="2825" customWidth="1"/>
    <col min="14087" max="14087" width="13" style="2825" customWidth="1"/>
    <col min="14088" max="14089" width="8.875" style="2825"/>
    <col min="14090" max="14090" width="5.75" style="2825" customWidth="1"/>
    <col min="14091" max="14091" width="11.75" style="2825" customWidth="1"/>
    <col min="14092" max="14093" width="10.75" style="2825" customWidth="1"/>
    <col min="14094" max="14094" width="10" style="2825" customWidth="1"/>
    <col min="14095" max="14096" width="10.5" style="2825" bestFit="1" customWidth="1"/>
    <col min="14097" max="14097" width="10" style="2825" customWidth="1"/>
    <col min="14098" max="14098" width="10.125" style="2825" customWidth="1"/>
    <col min="14099" max="14099" width="10" style="2825" customWidth="1"/>
    <col min="14100" max="14100" width="26.125" style="2825" customWidth="1"/>
    <col min="14101" max="14336" width="8.875" style="2825"/>
    <col min="14337" max="14337" width="9.5" style="2825" customWidth="1"/>
    <col min="14338" max="14338" width="8.875" style="2825"/>
    <col min="14339" max="14341" width="12.875" style="2825" customWidth="1"/>
    <col min="14342" max="14342" width="47.5" style="2825" customWidth="1"/>
    <col min="14343" max="14343" width="13" style="2825" customWidth="1"/>
    <col min="14344" max="14345" width="8.875" style="2825"/>
    <col min="14346" max="14346" width="5.75" style="2825" customWidth="1"/>
    <col min="14347" max="14347" width="11.75" style="2825" customWidth="1"/>
    <col min="14348" max="14349" width="10.75" style="2825" customWidth="1"/>
    <col min="14350" max="14350" width="10" style="2825" customWidth="1"/>
    <col min="14351" max="14352" width="10.5" style="2825" bestFit="1" customWidth="1"/>
    <col min="14353" max="14353" width="10" style="2825" customWidth="1"/>
    <col min="14354" max="14354" width="10.125" style="2825" customWidth="1"/>
    <col min="14355" max="14355" width="10" style="2825" customWidth="1"/>
    <col min="14356" max="14356" width="26.125" style="2825" customWidth="1"/>
    <col min="14357" max="14592" width="8.875" style="2825"/>
    <col min="14593" max="14593" width="9.5" style="2825" customWidth="1"/>
    <col min="14594" max="14594" width="8.875" style="2825"/>
    <col min="14595" max="14597" width="12.875" style="2825" customWidth="1"/>
    <col min="14598" max="14598" width="47.5" style="2825" customWidth="1"/>
    <col min="14599" max="14599" width="13" style="2825" customWidth="1"/>
    <col min="14600" max="14601" width="8.875" style="2825"/>
    <col min="14602" max="14602" width="5.75" style="2825" customWidth="1"/>
    <col min="14603" max="14603" width="11.75" style="2825" customWidth="1"/>
    <col min="14604" max="14605" width="10.75" style="2825" customWidth="1"/>
    <col min="14606" max="14606" width="10" style="2825" customWidth="1"/>
    <col min="14607" max="14608" width="10.5" style="2825" bestFit="1" customWidth="1"/>
    <col min="14609" max="14609" width="10" style="2825" customWidth="1"/>
    <col min="14610" max="14610" width="10.125" style="2825" customWidth="1"/>
    <col min="14611" max="14611" width="10" style="2825" customWidth="1"/>
    <col min="14612" max="14612" width="26.125" style="2825" customWidth="1"/>
    <col min="14613" max="14848" width="8.875" style="2825"/>
    <col min="14849" max="14849" width="9.5" style="2825" customWidth="1"/>
    <col min="14850" max="14850" width="8.875" style="2825"/>
    <col min="14851" max="14853" width="12.875" style="2825" customWidth="1"/>
    <col min="14854" max="14854" width="47.5" style="2825" customWidth="1"/>
    <col min="14855" max="14855" width="13" style="2825" customWidth="1"/>
    <col min="14856" max="14857" width="8.875" style="2825"/>
    <col min="14858" max="14858" width="5.75" style="2825" customWidth="1"/>
    <col min="14859" max="14859" width="11.75" style="2825" customWidth="1"/>
    <col min="14860" max="14861" width="10.75" style="2825" customWidth="1"/>
    <col min="14862" max="14862" width="10" style="2825" customWidth="1"/>
    <col min="14863" max="14864" width="10.5" style="2825" bestFit="1" customWidth="1"/>
    <col min="14865" max="14865" width="10" style="2825" customWidth="1"/>
    <col min="14866" max="14866" width="10.125" style="2825" customWidth="1"/>
    <col min="14867" max="14867" width="10" style="2825" customWidth="1"/>
    <col min="14868" max="14868" width="26.125" style="2825" customWidth="1"/>
    <col min="14869" max="15104" width="8.875" style="2825"/>
    <col min="15105" max="15105" width="9.5" style="2825" customWidth="1"/>
    <col min="15106" max="15106" width="8.875" style="2825"/>
    <col min="15107" max="15109" width="12.875" style="2825" customWidth="1"/>
    <col min="15110" max="15110" width="47.5" style="2825" customWidth="1"/>
    <col min="15111" max="15111" width="13" style="2825" customWidth="1"/>
    <col min="15112" max="15113" width="8.875" style="2825"/>
    <col min="15114" max="15114" width="5.75" style="2825" customWidth="1"/>
    <col min="15115" max="15115" width="11.75" style="2825" customWidth="1"/>
    <col min="15116" max="15117" width="10.75" style="2825" customWidth="1"/>
    <col min="15118" max="15118" width="10" style="2825" customWidth="1"/>
    <col min="15119" max="15120" width="10.5" style="2825" bestFit="1" customWidth="1"/>
    <col min="15121" max="15121" width="10" style="2825" customWidth="1"/>
    <col min="15122" max="15122" width="10.125" style="2825" customWidth="1"/>
    <col min="15123" max="15123" width="10" style="2825" customWidth="1"/>
    <col min="15124" max="15124" width="26.125" style="2825" customWidth="1"/>
    <col min="15125" max="15360" width="8.875" style="2825"/>
    <col min="15361" max="15361" width="9.5" style="2825" customWidth="1"/>
    <col min="15362" max="15362" width="8.875" style="2825"/>
    <col min="15363" max="15365" width="12.875" style="2825" customWidth="1"/>
    <col min="15366" max="15366" width="47.5" style="2825" customWidth="1"/>
    <col min="15367" max="15367" width="13" style="2825" customWidth="1"/>
    <col min="15368" max="15369" width="8.875" style="2825"/>
    <col min="15370" max="15370" width="5.75" style="2825" customWidth="1"/>
    <col min="15371" max="15371" width="11.75" style="2825" customWidth="1"/>
    <col min="15372" max="15373" width="10.75" style="2825" customWidth="1"/>
    <col min="15374" max="15374" width="10" style="2825" customWidth="1"/>
    <col min="15375" max="15376" width="10.5" style="2825" bestFit="1" customWidth="1"/>
    <col min="15377" max="15377" width="10" style="2825" customWidth="1"/>
    <col min="15378" max="15378" width="10.125" style="2825" customWidth="1"/>
    <col min="15379" max="15379" width="10" style="2825" customWidth="1"/>
    <col min="15380" max="15380" width="26.125" style="2825" customWidth="1"/>
    <col min="15381" max="15616" width="8.875" style="2825"/>
    <col min="15617" max="15617" width="9.5" style="2825" customWidth="1"/>
    <col min="15618" max="15618" width="8.875" style="2825"/>
    <col min="15619" max="15621" width="12.875" style="2825" customWidth="1"/>
    <col min="15622" max="15622" width="47.5" style="2825" customWidth="1"/>
    <col min="15623" max="15623" width="13" style="2825" customWidth="1"/>
    <col min="15624" max="15625" width="8.875" style="2825"/>
    <col min="15626" max="15626" width="5.75" style="2825" customWidth="1"/>
    <col min="15627" max="15627" width="11.75" style="2825" customWidth="1"/>
    <col min="15628" max="15629" width="10.75" style="2825" customWidth="1"/>
    <col min="15630" max="15630" width="10" style="2825" customWidth="1"/>
    <col min="15631" max="15632" width="10.5" style="2825" bestFit="1" customWidth="1"/>
    <col min="15633" max="15633" width="10" style="2825" customWidth="1"/>
    <col min="15634" max="15634" width="10.125" style="2825" customWidth="1"/>
    <col min="15635" max="15635" width="10" style="2825" customWidth="1"/>
    <col min="15636" max="15636" width="26.125" style="2825" customWidth="1"/>
    <col min="15637" max="15872" width="8.875" style="2825"/>
    <col min="15873" max="15873" width="9.5" style="2825" customWidth="1"/>
    <col min="15874" max="15874" width="8.875" style="2825"/>
    <col min="15875" max="15877" width="12.875" style="2825" customWidth="1"/>
    <col min="15878" max="15878" width="47.5" style="2825" customWidth="1"/>
    <col min="15879" max="15879" width="13" style="2825" customWidth="1"/>
    <col min="15880" max="15881" width="8.875" style="2825"/>
    <col min="15882" max="15882" width="5.75" style="2825" customWidth="1"/>
    <col min="15883" max="15883" width="11.75" style="2825" customWidth="1"/>
    <col min="15884" max="15885" width="10.75" style="2825" customWidth="1"/>
    <col min="15886" max="15886" width="10" style="2825" customWidth="1"/>
    <col min="15887" max="15888" width="10.5" style="2825" bestFit="1" customWidth="1"/>
    <col min="15889" max="15889" width="10" style="2825" customWidth="1"/>
    <col min="15890" max="15890" width="10.125" style="2825" customWidth="1"/>
    <col min="15891" max="15891" width="10" style="2825" customWidth="1"/>
    <col min="15892" max="15892" width="26.125" style="2825" customWidth="1"/>
    <col min="15893" max="16128" width="8.875" style="2825"/>
    <col min="16129" max="16129" width="9.5" style="2825" customWidth="1"/>
    <col min="16130" max="16130" width="8.875" style="2825"/>
    <col min="16131" max="16133" width="12.875" style="2825" customWidth="1"/>
    <col min="16134" max="16134" width="47.5" style="2825" customWidth="1"/>
    <col min="16135" max="16135" width="13" style="2825" customWidth="1"/>
    <col min="16136" max="16137" width="8.875" style="2825"/>
    <col min="16138" max="16138" width="5.75" style="2825" customWidth="1"/>
    <col min="16139" max="16139" width="11.75" style="2825" customWidth="1"/>
    <col min="16140" max="16141" width="10.75" style="2825" customWidth="1"/>
    <col min="16142" max="16142" width="10" style="2825" customWidth="1"/>
    <col min="16143" max="16144" width="10.5" style="2825" bestFit="1" customWidth="1"/>
    <col min="16145" max="16145" width="10" style="2825" customWidth="1"/>
    <col min="16146" max="16146" width="10.125" style="2825" customWidth="1"/>
    <col min="16147" max="16147" width="10" style="2825" customWidth="1"/>
    <col min="16148" max="16148" width="26.125" style="2825" customWidth="1"/>
    <col min="16149" max="16384" width="8.875" style="2825"/>
  </cols>
  <sheetData>
    <row r="1" spans="1:22" ht="21" customHeight="1">
      <c r="A1" s="2814" t="s">
        <v>2429</v>
      </c>
      <c r="B1" s="2815"/>
      <c r="C1" s="2828"/>
      <c r="D1" s="2828"/>
      <c r="E1" s="2816"/>
      <c r="F1" s="2817"/>
      <c r="G1" s="2818"/>
      <c r="J1" s="2821" t="s">
        <v>2286</v>
      </c>
      <c r="K1" s="2822"/>
      <c r="L1" s="2822"/>
      <c r="M1" s="2822"/>
      <c r="N1" s="2822"/>
      <c r="O1" s="2822"/>
      <c r="P1" s="2822"/>
      <c r="Q1" s="2822"/>
      <c r="R1" s="2823"/>
      <c r="S1" s="2824"/>
      <c r="T1" s="2824"/>
      <c r="U1" s="2824"/>
    </row>
    <row r="2" spans="1:22" s="2837" customFormat="1" ht="13.15" customHeight="1">
      <c r="A2" s="2826" t="s">
        <v>2287</v>
      </c>
      <c r="B2" s="2827" t="e">
        <f>C40</f>
        <v>#DIV/0!</v>
      </c>
      <c r="C2" s="2828" t="s">
        <v>2288</v>
      </c>
      <c r="D2" s="2828"/>
      <c r="E2" s="2829"/>
      <c r="F2" s="2830"/>
      <c r="G2" s="2831"/>
      <c r="H2" s="2832"/>
      <c r="I2" s="2833"/>
      <c r="J2" s="3704" t="s">
        <v>2289</v>
      </c>
      <c r="K2" s="3705"/>
      <c r="L2" s="2834" t="s">
        <v>2290</v>
      </c>
      <c r="M2" s="2834" t="s">
        <v>2291</v>
      </c>
      <c r="N2" s="2834" t="s">
        <v>2292</v>
      </c>
      <c r="O2" s="2834" t="s">
        <v>2293</v>
      </c>
      <c r="P2" s="2834" t="s">
        <v>2294</v>
      </c>
      <c r="Q2" s="2835" t="s">
        <v>2295</v>
      </c>
      <c r="R2" s="2836" t="s">
        <v>2296</v>
      </c>
      <c r="S2" s="2824"/>
      <c r="T2" s="2824"/>
      <c r="U2" s="2824"/>
      <c r="V2" s="2833"/>
    </row>
    <row r="3" spans="1:22" s="2837" customFormat="1" ht="13.15" customHeight="1">
      <c r="A3" s="2838" t="s">
        <v>2297</v>
      </c>
      <c r="B3" s="2839" t="e">
        <f>ROUND(B2*10000/B4,0)</f>
        <v>#DIV/0!</v>
      </c>
      <c r="C3" s="2828" t="s">
        <v>2298</v>
      </c>
      <c r="D3" s="2828"/>
      <c r="E3" s="2829"/>
      <c r="F3" s="2830"/>
      <c r="G3" s="2831"/>
      <c r="H3" s="2832"/>
      <c r="I3" s="2833"/>
      <c r="J3" s="3706" t="s">
        <v>2299</v>
      </c>
      <c r="K3" s="3707"/>
      <c r="L3" s="2840"/>
      <c r="M3" s="2840"/>
      <c r="N3" s="2840"/>
      <c r="O3" s="2840"/>
      <c r="P3" s="2840"/>
      <c r="Q3" s="2841"/>
      <c r="R3" s="2842">
        <f>SUM(L3:Q3)</f>
        <v>0</v>
      </c>
      <c r="S3" s="2824"/>
      <c r="T3" s="2824"/>
      <c r="U3" s="2824"/>
      <c r="V3" s="2833"/>
    </row>
    <row r="4" spans="1:22" s="2837" customFormat="1" ht="13.15" customHeight="1">
      <c r="A4" s="2843" t="s">
        <v>2300</v>
      </c>
      <c r="B4" s="2844"/>
      <c r="C4" s="2828"/>
      <c r="D4" s="2828"/>
      <c r="E4" s="2829"/>
      <c r="F4" s="2830"/>
      <c r="G4" s="2831"/>
      <c r="H4" s="2832"/>
      <c r="I4" s="2833"/>
      <c r="J4" s="3706" t="s">
        <v>2301</v>
      </c>
      <c r="K4" s="3707"/>
      <c r="L4" s="2845"/>
      <c r="M4" s="2845"/>
      <c r="N4" s="2845"/>
      <c r="O4" s="2845"/>
      <c r="P4" s="2845"/>
      <c r="Q4" s="2846"/>
      <c r="R4" s="2847">
        <f>SUM(L4:Q4)</f>
        <v>0</v>
      </c>
      <c r="S4" s="2824"/>
      <c r="T4" s="2824"/>
      <c r="U4" s="2824"/>
      <c r="V4" s="2833"/>
    </row>
    <row r="5" spans="1:22" s="2837" customFormat="1" ht="13.15" customHeight="1" thickBot="1">
      <c r="A5" s="2848" t="s">
        <v>2302</v>
      </c>
      <c r="B5" s="2849"/>
      <c r="C5" s="2828"/>
      <c r="D5" s="2850"/>
      <c r="E5" s="2830"/>
      <c r="F5" s="2830"/>
      <c r="G5" s="2831"/>
      <c r="H5" s="2832"/>
      <c r="I5" s="2833"/>
      <c r="J5" s="2851" t="s">
        <v>2303</v>
      </c>
      <c r="K5" s="2852"/>
      <c r="L5" s="2852"/>
      <c r="M5" s="2853"/>
      <c r="N5" s="2853"/>
      <c r="O5" s="2853"/>
      <c r="P5" s="2853"/>
      <c r="Q5" s="2853"/>
      <c r="R5" s="2836">
        <f>SUM(R14,R19,R24,R25,R27,R28)</f>
        <v>0</v>
      </c>
      <c r="S5" s="2824"/>
      <c r="T5" s="2824" t="s">
        <v>2304</v>
      </c>
      <c r="U5" s="2824" t="e">
        <f>ROUND(R5*10000/365/R3,1)</f>
        <v>#DIV/0!</v>
      </c>
      <c r="V5" s="2833"/>
    </row>
    <row r="6" spans="1:22" s="2837" customFormat="1" ht="13.15" customHeight="1" thickBot="1">
      <c r="A6" s="3708" t="s">
        <v>2305</v>
      </c>
      <c r="B6" s="3709"/>
      <c r="C6" s="3710"/>
      <c r="D6" s="2854"/>
      <c r="E6" s="2855"/>
      <c r="F6" s="2856"/>
      <c r="G6" s="2857"/>
      <c r="H6" s="2832"/>
      <c r="I6" s="2833"/>
      <c r="J6" s="3711">
        <v>1</v>
      </c>
      <c r="K6" s="3712" t="s">
        <v>2306</v>
      </c>
      <c r="L6" s="2858" t="s">
        <v>2307</v>
      </c>
      <c r="M6" s="2859" t="s">
        <v>2308</v>
      </c>
      <c r="N6" s="2859" t="s">
        <v>2309</v>
      </c>
      <c r="O6" s="2859" t="s">
        <v>2310</v>
      </c>
      <c r="P6" s="2859" t="s">
        <v>2311</v>
      </c>
      <c r="Q6" s="2859" t="s">
        <v>2312</v>
      </c>
      <c r="R6" s="2842" t="s">
        <v>2313</v>
      </c>
      <c r="S6" s="2824"/>
      <c r="T6" s="2824" t="s">
        <v>2314</v>
      </c>
      <c r="U6" s="2824"/>
      <c r="V6" s="2833"/>
    </row>
    <row r="7" spans="1:22" s="2837" customFormat="1" ht="13.15" customHeight="1">
      <c r="A7" s="2860" t="s">
        <v>2315</v>
      </c>
      <c r="B7" s="2861"/>
      <c r="C7" s="2862"/>
      <c r="D7" s="2863">
        <f>SUM(D9,D10,D11,D17,0)</f>
        <v>0</v>
      </c>
      <c r="E7" s="2864" t="e">
        <f>E9+E10+E11+E17</f>
        <v>#DIV/0!</v>
      </c>
      <c r="F7" s="2865"/>
      <c r="G7" s="2866"/>
      <c r="H7" s="2832"/>
      <c r="I7" s="2833"/>
      <c r="J7" s="3711"/>
      <c r="K7" s="3713"/>
      <c r="L7" s="2867" t="s">
        <v>2316</v>
      </c>
      <c r="M7" s="2868"/>
      <c r="N7" s="2844"/>
      <c r="O7" s="2869"/>
      <c r="P7" s="2869"/>
      <c r="Q7" s="2870">
        <v>365</v>
      </c>
      <c r="R7" s="2871">
        <f>ROUND(M7*N7*O7*P7*Q7/10000,0)</f>
        <v>0</v>
      </c>
      <c r="S7" s="2824"/>
      <c r="T7" s="2824" t="s">
        <v>2317</v>
      </c>
      <c r="U7" s="2824"/>
      <c r="V7" s="2833"/>
    </row>
    <row r="8" spans="1:22" s="2837" customFormat="1" ht="13.15" customHeight="1">
      <c r="A8" s="2872" t="s">
        <v>2318</v>
      </c>
      <c r="B8" s="3715" t="s">
        <v>2319</v>
      </c>
      <c r="C8" s="3716"/>
      <c r="D8" s="2873" t="s">
        <v>2320</v>
      </c>
      <c r="E8" s="2874" t="s">
        <v>2321</v>
      </c>
      <c r="F8" s="2875" t="s">
        <v>2322</v>
      </c>
      <c r="G8" s="2876"/>
      <c r="H8" s="2832"/>
      <c r="I8" s="2833"/>
      <c r="J8" s="3711"/>
      <c r="K8" s="3713"/>
      <c r="L8" s="2867" t="s">
        <v>2323</v>
      </c>
      <c r="M8" s="2868"/>
      <c r="N8" s="2844"/>
      <c r="O8" s="2869"/>
      <c r="P8" s="2869"/>
      <c r="Q8" s="2870">
        <v>365</v>
      </c>
      <c r="R8" s="2871">
        <f t="shared" ref="R8:R13" si="0">ROUND(M8*N8*O8*P8*Q8/10000,0)</f>
        <v>0</v>
      </c>
      <c r="S8" s="2824"/>
      <c r="T8" s="2824" t="s">
        <v>2324</v>
      </c>
      <c r="U8" s="2824"/>
      <c r="V8" s="2833"/>
    </row>
    <row r="9" spans="1:22" s="2837" customFormat="1" ht="13.15" customHeight="1">
      <c r="A9" s="2872">
        <v>1</v>
      </c>
      <c r="B9" s="3715" t="s">
        <v>2325</v>
      </c>
      <c r="C9" s="3716"/>
      <c r="D9" s="2873">
        <f>ROUND(D6*E9,0)</f>
        <v>0</v>
      </c>
      <c r="E9" s="2877"/>
      <c r="F9" s="2878" t="s">
        <v>2326</v>
      </c>
      <c r="G9" s="2857"/>
      <c r="H9" s="2832"/>
      <c r="I9" s="2833"/>
      <c r="J9" s="3711"/>
      <c r="K9" s="3713"/>
      <c r="L9" s="2867" t="s">
        <v>2327</v>
      </c>
      <c r="M9" s="2868"/>
      <c r="N9" s="2844"/>
      <c r="O9" s="2869"/>
      <c r="P9" s="2869"/>
      <c r="Q9" s="2870">
        <v>365</v>
      </c>
      <c r="R9" s="2871">
        <f t="shared" si="0"/>
        <v>0</v>
      </c>
      <c r="S9" s="2824"/>
      <c r="T9" s="2824"/>
      <c r="U9" s="2824"/>
      <c r="V9" s="2833"/>
    </row>
    <row r="10" spans="1:22" s="2837" customFormat="1" ht="13.15" customHeight="1">
      <c r="A10" s="2872">
        <v>2</v>
      </c>
      <c r="B10" s="3715" t="s">
        <v>2328</v>
      </c>
      <c r="C10" s="3716"/>
      <c r="D10" s="2873">
        <f>ROUND(D6*E10,0)</f>
        <v>0</v>
      </c>
      <c r="E10" s="2877"/>
      <c r="F10" s="2878" t="s">
        <v>2329</v>
      </c>
      <c r="G10" s="2857"/>
      <c r="H10" s="2832"/>
      <c r="I10" s="2833"/>
      <c r="J10" s="3711"/>
      <c r="K10" s="3713"/>
      <c r="L10" s="2867" t="s">
        <v>2330</v>
      </c>
      <c r="M10" s="2868"/>
      <c r="N10" s="2844"/>
      <c r="O10" s="2869"/>
      <c r="P10" s="2869"/>
      <c r="Q10" s="2870">
        <v>365</v>
      </c>
      <c r="R10" s="2871">
        <f t="shared" si="0"/>
        <v>0</v>
      </c>
      <c r="S10" s="2824"/>
      <c r="T10" s="2824"/>
      <c r="U10" s="2824"/>
      <c r="V10" s="2833"/>
    </row>
    <row r="11" spans="1:22" s="2837" customFormat="1" ht="13.15" customHeight="1">
      <c r="A11" s="2872">
        <v>3</v>
      </c>
      <c r="B11" s="3715" t="s">
        <v>2331</v>
      </c>
      <c r="C11" s="3716"/>
      <c r="D11" s="2873">
        <f>D12+D14+D15+D16</f>
        <v>0</v>
      </c>
      <c r="E11" s="2879" t="e">
        <f>D11/D6</f>
        <v>#DIV/0!</v>
      </c>
      <c r="F11" s="2875"/>
      <c r="G11" s="2876"/>
      <c r="H11" s="2832"/>
      <c r="I11" s="2833"/>
      <c r="J11" s="3711"/>
      <c r="K11" s="3713"/>
      <c r="L11" s="2867" t="s">
        <v>2332</v>
      </c>
      <c r="M11" s="2868"/>
      <c r="N11" s="2844"/>
      <c r="O11" s="2869"/>
      <c r="P11" s="2869"/>
      <c r="Q11" s="2870">
        <v>365</v>
      </c>
      <c r="R11" s="2871">
        <f t="shared" si="0"/>
        <v>0</v>
      </c>
      <c r="S11" s="2824"/>
      <c r="T11" s="2824"/>
      <c r="U11" s="2824"/>
      <c r="V11" s="2833"/>
    </row>
    <row r="12" spans="1:22" s="2837" customFormat="1" ht="13.15" customHeight="1">
      <c r="A12" s="2880" t="s">
        <v>2333</v>
      </c>
      <c r="B12" s="3717" t="s">
        <v>2334</v>
      </c>
      <c r="C12" s="3718"/>
      <c r="D12" s="2881">
        <f>ROUND(D13*1.2%*(1-30%),0)</f>
        <v>0</v>
      </c>
      <c r="E12" s="2882">
        <v>1.2E-2</v>
      </c>
      <c r="F12" s="2875" t="s">
        <v>2335</v>
      </c>
      <c r="G12" s="2876"/>
      <c r="H12" s="2832"/>
      <c r="I12" s="2833"/>
      <c r="J12" s="3711"/>
      <c r="K12" s="3713"/>
      <c r="L12" s="2867" t="s">
        <v>2336</v>
      </c>
      <c r="M12" s="2868"/>
      <c r="N12" s="2844"/>
      <c r="O12" s="2869"/>
      <c r="P12" s="2869"/>
      <c r="Q12" s="2870">
        <v>365</v>
      </c>
      <c r="R12" s="2871">
        <f t="shared" si="0"/>
        <v>0</v>
      </c>
      <c r="S12" s="2824"/>
      <c r="T12" s="2824"/>
      <c r="U12" s="2824"/>
      <c r="V12" s="2833"/>
    </row>
    <row r="13" spans="1:22" s="2837" customFormat="1" ht="13.15" customHeight="1">
      <c r="A13" s="2880"/>
      <c r="B13" s="2883"/>
      <c r="C13" s="2884" t="s">
        <v>2337</v>
      </c>
      <c r="D13" s="2885"/>
      <c r="E13" s="2886"/>
      <c r="F13" s="2875"/>
      <c r="G13" s="2876"/>
      <c r="H13" s="2832"/>
      <c r="I13" s="2833"/>
      <c r="J13" s="3711"/>
      <c r="K13" s="3713"/>
      <c r="L13" s="2867" t="s">
        <v>2338</v>
      </c>
      <c r="M13" s="2868"/>
      <c r="N13" s="2844"/>
      <c r="O13" s="2869"/>
      <c r="P13" s="2869"/>
      <c r="Q13" s="2870">
        <v>365</v>
      </c>
      <c r="R13" s="2871">
        <f t="shared" si="0"/>
        <v>0</v>
      </c>
      <c r="S13" s="2824"/>
      <c r="T13" s="2824"/>
      <c r="U13" s="2824"/>
      <c r="V13" s="2833"/>
    </row>
    <row r="14" spans="1:22" s="2837" customFormat="1" ht="13.15" customHeight="1">
      <c r="A14" s="2880" t="s">
        <v>2339</v>
      </c>
      <c r="B14" s="3717" t="s">
        <v>2340</v>
      </c>
      <c r="C14" s="3718"/>
      <c r="D14" s="2881">
        <f>ROUND(E14*B5/10000,0)</f>
        <v>0</v>
      </c>
      <c r="E14" s="2870"/>
      <c r="F14" s="2875" t="s">
        <v>2341</v>
      </c>
      <c r="G14" s="2876"/>
      <c r="H14" s="2832"/>
      <c r="I14" s="2833"/>
      <c r="J14" s="3711"/>
      <c r="K14" s="3714"/>
      <c r="L14" s="2887" t="s">
        <v>2342</v>
      </c>
      <c r="M14" s="2888">
        <f>SUM(M7:M13)</f>
        <v>0</v>
      </c>
      <c r="N14" s="2888" t="e">
        <f>ROUND((N7*M7+N8*M8+N9*M9+N10*M10+N11*M11+N12*M12+N13*M13)/M14,0)</f>
        <v>#DIV/0!</v>
      </c>
      <c r="O14" s="2889"/>
      <c r="P14" s="2889"/>
      <c r="Q14" s="2890"/>
      <c r="R14" s="2836">
        <f>SUM(R7:R13)</f>
        <v>0</v>
      </c>
      <c r="S14" s="2824"/>
      <c r="T14" s="2824"/>
      <c r="U14" s="2824"/>
      <c r="V14" s="2833"/>
    </row>
    <row r="15" spans="1:22" s="2837" customFormat="1" ht="13.15" customHeight="1">
      <c r="A15" s="2880" t="s">
        <v>2343</v>
      </c>
      <c r="B15" s="3717" t="s">
        <v>2344</v>
      </c>
      <c r="C15" s="3718"/>
      <c r="D15" s="2881">
        <f>ROUND(D6*E15,0)</f>
        <v>0</v>
      </c>
      <c r="E15" s="2882">
        <v>5.5E-2</v>
      </c>
      <c r="F15" s="2875" t="s">
        <v>2345</v>
      </c>
      <c r="G15" s="2857"/>
      <c r="H15" s="2832"/>
      <c r="I15" s="2833"/>
      <c r="J15" s="3711">
        <v>2</v>
      </c>
      <c r="K15" s="3712" t="s">
        <v>2346</v>
      </c>
      <c r="L15" s="2867" t="s">
        <v>2347</v>
      </c>
      <c r="M15" s="2868" t="s">
        <v>2348</v>
      </c>
      <c r="N15" s="2868" t="s">
        <v>2349</v>
      </c>
      <c r="O15" s="2869" t="s">
        <v>2350</v>
      </c>
      <c r="P15" s="2869" t="s">
        <v>2351</v>
      </c>
      <c r="Q15" s="2844" t="s">
        <v>2352</v>
      </c>
      <c r="R15" s="2891" t="s">
        <v>2353</v>
      </c>
      <c r="S15" s="2824"/>
      <c r="T15" s="2824"/>
      <c r="U15" s="2824"/>
      <c r="V15" s="2833"/>
    </row>
    <row r="16" spans="1:22" s="2837" customFormat="1" ht="13.15" customHeight="1">
      <c r="A16" s="2880" t="s">
        <v>2354</v>
      </c>
      <c r="B16" s="3717" t="s">
        <v>2355</v>
      </c>
      <c r="C16" s="3718"/>
      <c r="D16" s="2892">
        <f>D6*E16</f>
        <v>0</v>
      </c>
      <c r="E16" s="2893"/>
      <c r="F16" s="2878" t="s">
        <v>2356</v>
      </c>
      <c r="G16" s="2857"/>
      <c r="H16" s="2832"/>
      <c r="I16" s="2833"/>
      <c r="J16" s="3711"/>
      <c r="K16" s="3713"/>
      <c r="L16" s="2867" t="s">
        <v>2357</v>
      </c>
      <c r="M16" s="2868"/>
      <c r="N16" s="2868"/>
      <c r="O16" s="2869"/>
      <c r="P16" s="2870">
        <v>365</v>
      </c>
      <c r="Q16" s="2844"/>
      <c r="R16" s="2891">
        <f>ROUND(M16*N16*O16*P16/10000,0)</f>
        <v>0</v>
      </c>
      <c r="S16" s="2824"/>
      <c r="T16" s="2824"/>
      <c r="U16" s="2824"/>
      <c r="V16" s="2833"/>
    </row>
    <row r="17" spans="1:22" s="2837" customFormat="1" ht="13.15" customHeight="1" thickBot="1">
      <c r="A17" s="2894">
        <v>4</v>
      </c>
      <c r="B17" s="3719" t="s">
        <v>2358</v>
      </c>
      <c r="C17" s="3720"/>
      <c r="D17" s="2895">
        <f>ROUND(D6*E17,0)</f>
        <v>0</v>
      </c>
      <c r="E17" s="2896"/>
      <c r="F17" s="2897" t="s">
        <v>2359</v>
      </c>
      <c r="G17" s="2857"/>
      <c r="H17" s="2832"/>
      <c r="I17" s="2833"/>
      <c r="J17" s="3711"/>
      <c r="K17" s="3713"/>
      <c r="L17" s="2867" t="s">
        <v>2360</v>
      </c>
      <c r="M17" s="2868"/>
      <c r="N17" s="2868"/>
      <c r="O17" s="2869"/>
      <c r="P17" s="2870">
        <v>365</v>
      </c>
      <c r="Q17" s="2844"/>
      <c r="R17" s="2891">
        <f>ROUND(M17*N17*O17*P17/10000,0)</f>
        <v>0</v>
      </c>
      <c r="S17" s="2824"/>
      <c r="T17" s="2824"/>
      <c r="U17" s="2824"/>
      <c r="V17" s="2833"/>
    </row>
    <row r="18" spans="1:22" s="2837" customFormat="1" ht="13.15" customHeight="1" thickBot="1">
      <c r="A18" s="2860" t="s">
        <v>2361</v>
      </c>
      <c r="B18" s="2861"/>
      <c r="C18" s="2861"/>
      <c r="D18" s="2898">
        <f>ROUND(D6*E18,0)</f>
        <v>0</v>
      </c>
      <c r="E18" s="2899"/>
      <c r="F18" s="2900" t="s">
        <v>2362</v>
      </c>
      <c r="G18" s="2857"/>
      <c r="H18" s="2832"/>
      <c r="I18" s="2833"/>
      <c r="J18" s="3711"/>
      <c r="K18" s="3713"/>
      <c r="L18" s="2867" t="s">
        <v>2363</v>
      </c>
      <c r="M18" s="2868"/>
      <c r="N18" s="2868"/>
      <c r="O18" s="2869"/>
      <c r="P18" s="2870">
        <v>365</v>
      </c>
      <c r="Q18" s="2844"/>
      <c r="R18" s="2891">
        <f>ROUND(M18*N18*O18*P18/10000,0)</f>
        <v>0</v>
      </c>
      <c r="S18" s="2824"/>
      <c r="T18" s="2824"/>
      <c r="U18" s="2824"/>
      <c r="V18" s="2833"/>
    </row>
    <row r="19" spans="1:22" s="2837" customFormat="1" ht="13.15" customHeight="1" thickBot="1">
      <c r="A19" s="2901" t="s">
        <v>2364</v>
      </c>
      <c r="B19" s="2855"/>
      <c r="C19" s="2855"/>
      <c r="D19" s="2855"/>
      <c r="E19" s="2855"/>
      <c r="F19" s="2856"/>
      <c r="G19" s="2876"/>
      <c r="H19" s="2832"/>
      <c r="I19" s="2833"/>
      <c r="J19" s="3711"/>
      <c r="K19" s="3714"/>
      <c r="L19" s="2887" t="s">
        <v>2342</v>
      </c>
      <c r="M19" s="2888"/>
      <c r="N19" s="2888">
        <f>SUM(N16:N18)</f>
        <v>0</v>
      </c>
      <c r="O19" s="2889"/>
      <c r="P19" s="2902" t="s">
        <v>2430</v>
      </c>
      <c r="Q19" s="2869"/>
      <c r="R19" s="2903">
        <f>ROUND(IF(P19="按比例",R14*Q19,SUM(R16:R18)),0)</f>
        <v>0</v>
      </c>
      <c r="S19" s="2824"/>
      <c r="T19" s="2824"/>
      <c r="U19" s="2824"/>
      <c r="V19" s="2833"/>
    </row>
    <row r="20" spans="1:22" s="2837" customFormat="1" ht="13.15" customHeight="1">
      <c r="A20" s="2860"/>
      <c r="B20" s="2861"/>
      <c r="C20" s="2861"/>
      <c r="D20" s="2861"/>
      <c r="E20" s="2861"/>
      <c r="F20" s="2904"/>
      <c r="G20" s="2876"/>
      <c r="H20" s="2832"/>
      <c r="I20" s="2833"/>
      <c r="J20" s="3711">
        <v>3</v>
      </c>
      <c r="K20" s="3712" t="s">
        <v>2365</v>
      </c>
      <c r="L20" s="2867" t="s">
        <v>2366</v>
      </c>
      <c r="M20" s="2868" t="s">
        <v>2367</v>
      </c>
      <c r="N20" s="2905" t="s">
        <v>2368</v>
      </c>
      <c r="O20" s="2869" t="s">
        <v>2369</v>
      </c>
      <c r="P20" s="2870" t="s">
        <v>2370</v>
      </c>
      <c r="Q20" s="2844" t="s">
        <v>2371</v>
      </c>
      <c r="R20" s="2891" t="s">
        <v>2313</v>
      </c>
      <c r="S20" s="2824"/>
      <c r="T20" s="2824"/>
      <c r="U20" s="2824"/>
      <c r="V20" s="2833"/>
    </row>
    <row r="21" spans="1:22" s="2837" customFormat="1" ht="13.15" customHeight="1">
      <c r="A21" s="2860"/>
      <c r="B21" s="2861"/>
      <c r="C21" s="2906" t="s">
        <v>2372</v>
      </c>
      <c r="D21" s="2907" t="s">
        <v>2373</v>
      </c>
      <c r="E21" s="2908" t="s">
        <v>2374</v>
      </c>
      <c r="F21" s="2904"/>
      <c r="G21" s="2876"/>
      <c r="H21" s="2832"/>
      <c r="I21" s="2833"/>
      <c r="J21" s="3711"/>
      <c r="K21" s="3713"/>
      <c r="L21" s="2867" t="s">
        <v>2375</v>
      </c>
      <c r="M21" s="2868"/>
      <c r="N21" s="2868"/>
      <c r="O21" s="2869"/>
      <c r="P21" s="2870">
        <v>365</v>
      </c>
      <c r="Q21" s="2844"/>
      <c r="R21" s="2909">
        <f>ROUND(M21*N21*O21*P21/10000,0)</f>
        <v>0</v>
      </c>
      <c r="S21" s="2824"/>
      <c r="T21" s="2824"/>
      <c r="U21" s="2824"/>
      <c r="V21" s="2833"/>
    </row>
    <row r="22" spans="1:22" s="2837" customFormat="1" ht="13.15" customHeight="1">
      <c r="A22" s="2860"/>
      <c r="B22" s="2861"/>
      <c r="C22" s="2910" t="s">
        <v>2376</v>
      </c>
      <c r="D22" s="2911" t="s">
        <v>2377</v>
      </c>
      <c r="E22" s="2912" t="s">
        <v>2378</v>
      </c>
      <c r="F22" s="2904"/>
      <c r="G22" s="2824"/>
      <c r="H22" s="2832"/>
      <c r="I22" s="2833"/>
      <c r="J22" s="3711"/>
      <c r="K22" s="3713"/>
      <c r="L22" s="2867" t="s">
        <v>2379</v>
      </c>
      <c r="M22" s="2868"/>
      <c r="N22" s="2868"/>
      <c r="O22" s="2869"/>
      <c r="P22" s="2870">
        <v>365</v>
      </c>
      <c r="Q22" s="2844"/>
      <c r="R22" s="2909">
        <f>ROUND(M22*N22*O22*P22/10000,0)</f>
        <v>0</v>
      </c>
      <c r="S22" s="2824"/>
      <c r="T22" s="2824"/>
      <c r="U22" s="2824"/>
      <c r="V22" s="2833"/>
    </row>
    <row r="23" spans="1:22" s="2837" customFormat="1" ht="13.15" customHeight="1">
      <c r="A23" s="2913">
        <v>1</v>
      </c>
      <c r="B23" s="2914" t="s">
        <v>2380</v>
      </c>
      <c r="C23" s="2915">
        <f>D6</f>
        <v>0</v>
      </c>
      <c r="D23" s="2916">
        <f>C23*(1+D24)</f>
        <v>0</v>
      </c>
      <c r="E23" s="2917">
        <f>D23*(1+E24)</f>
        <v>0</v>
      </c>
      <c r="F23" s="2918"/>
      <c r="G23" s="2919"/>
      <c r="H23" s="2832"/>
      <c r="I23" s="2833"/>
      <c r="J23" s="3711"/>
      <c r="K23" s="3713"/>
      <c r="L23" s="2867" t="s">
        <v>2381</v>
      </c>
      <c r="M23" s="2868"/>
      <c r="N23" s="2868"/>
      <c r="O23" s="2869"/>
      <c r="P23" s="2870">
        <v>365</v>
      </c>
      <c r="Q23" s="2844"/>
      <c r="R23" s="2909">
        <f>ROUND(M23*N23*O23*P23/10000,0)</f>
        <v>0</v>
      </c>
      <c r="S23" s="2824"/>
      <c r="T23" s="2824"/>
      <c r="U23" s="2824"/>
      <c r="V23" s="2833"/>
    </row>
    <row r="24" spans="1:22" s="2837" customFormat="1" ht="13.15" customHeight="1">
      <c r="A24" s="2920"/>
      <c r="B24" s="2921" t="s">
        <v>2382</v>
      </c>
      <c r="C24" s="2922"/>
      <c r="D24" s="2923"/>
      <c r="E24" s="2924"/>
      <c r="F24" s="2925"/>
      <c r="G24" s="2919"/>
      <c r="H24" s="2832"/>
      <c r="I24" s="2833"/>
      <c r="J24" s="3711"/>
      <c r="K24" s="3714"/>
      <c r="L24" s="2887" t="s">
        <v>2342</v>
      </c>
      <c r="M24" s="2888">
        <f>SUM(M21:M23)</f>
        <v>0</v>
      </c>
      <c r="N24" s="2888"/>
      <c r="O24" s="2889"/>
      <c r="P24" s="2902" t="s">
        <v>2430</v>
      </c>
      <c r="Q24" s="2869"/>
      <c r="R24" s="2903">
        <f>ROUND(IF(P24="按比例",R14*Q24,SUM(R21:R23)),0)</f>
        <v>0</v>
      </c>
      <c r="S24" s="2824"/>
      <c r="T24" s="2824"/>
      <c r="U24" s="2824"/>
      <c r="V24" s="2833"/>
    </row>
    <row r="25" spans="1:22" s="2932" customFormat="1" ht="13.15" customHeight="1">
      <c r="A25" s="2920"/>
      <c r="B25" s="2921"/>
      <c r="C25" s="2922"/>
      <c r="D25" s="2923"/>
      <c r="E25" s="2924"/>
      <c r="F25" s="2925"/>
      <c r="G25" s="2824"/>
      <c r="H25" s="2832"/>
      <c r="I25" s="2833"/>
      <c r="J25" s="2926">
        <v>4</v>
      </c>
      <c r="K25" s="2927" t="s">
        <v>2383</v>
      </c>
      <c r="L25" s="2928"/>
      <c r="M25" s="2928"/>
      <c r="N25" s="2928"/>
      <c r="O25" s="2928"/>
      <c r="P25" s="2929"/>
      <c r="Q25" s="2930"/>
      <c r="R25" s="2903">
        <f>ROUND(R14*Q25,0)</f>
        <v>0</v>
      </c>
      <c r="S25" s="2824"/>
      <c r="T25" s="2824"/>
      <c r="U25" s="2824"/>
      <c r="V25" s="2931"/>
    </row>
    <row r="26" spans="1:22" s="2932" customFormat="1" ht="13.15" customHeight="1">
      <c r="A26" s="2913">
        <v>2</v>
      </c>
      <c r="B26" s="2914" t="s">
        <v>2384</v>
      </c>
      <c r="C26" s="2915">
        <f>D7</f>
        <v>0</v>
      </c>
      <c r="D26" s="2916">
        <f>D23*D27</f>
        <v>0</v>
      </c>
      <c r="E26" s="2917">
        <f>E23*E27</f>
        <v>0</v>
      </c>
      <c r="F26" s="2918"/>
      <c r="G26" s="2919"/>
      <c r="H26" s="2832"/>
      <c r="I26" s="2833"/>
      <c r="J26" s="3721">
        <v>5</v>
      </c>
      <c r="K26" s="2933" t="s">
        <v>2385</v>
      </c>
      <c r="L26" s="2934"/>
      <c r="M26" s="2935"/>
      <c r="N26" s="2936" t="s">
        <v>2386</v>
      </c>
      <c r="O26" s="2936" t="s">
        <v>2387</v>
      </c>
      <c r="P26" s="2937" t="s">
        <v>2388</v>
      </c>
      <c r="Q26" s="2937" t="s">
        <v>2389</v>
      </c>
      <c r="R26" s="2842" t="s">
        <v>2390</v>
      </c>
      <c r="S26" s="2876"/>
      <c r="T26" s="2876"/>
      <c r="U26" s="2876"/>
      <c r="V26" s="2931"/>
    </row>
    <row r="27" spans="1:22" s="2837" customFormat="1" ht="13.15" customHeight="1">
      <c r="A27" s="2920"/>
      <c r="B27" s="2921" t="s">
        <v>2391</v>
      </c>
      <c r="C27" s="2938" t="e">
        <f>E7</f>
        <v>#DIV/0!</v>
      </c>
      <c r="D27" s="2923"/>
      <c r="E27" s="2924"/>
      <c r="F27" s="2925"/>
      <c r="G27" s="2919"/>
      <c r="H27" s="2939"/>
      <c r="I27" s="2931"/>
      <c r="J27" s="3722"/>
      <c r="K27" s="2940"/>
      <c r="L27" s="2941"/>
      <c r="M27" s="2942"/>
      <c r="N27" s="2943"/>
      <c r="O27" s="2943"/>
      <c r="P27" s="2943"/>
      <c r="Q27" s="2944"/>
      <c r="R27" s="2903">
        <f>ROUND(O27*N27*P27*(1-Q27)/10000,0)</f>
        <v>0</v>
      </c>
      <c r="S27" s="2824"/>
      <c r="T27" s="2824"/>
      <c r="U27" s="2824"/>
      <c r="V27" s="2833"/>
    </row>
    <row r="28" spans="1:22" s="2932" customFormat="1" ht="13.15" customHeight="1" thickBot="1">
      <c r="A28" s="2920"/>
      <c r="B28" s="2921"/>
      <c r="C28" s="2938"/>
      <c r="D28" s="2923"/>
      <c r="E28" s="2924" t="s">
        <v>2392</v>
      </c>
      <c r="F28" s="2925"/>
      <c r="G28" s="2824"/>
      <c r="H28" s="2939"/>
      <c r="I28" s="2931"/>
      <c r="J28" s="2945">
        <v>6</v>
      </c>
      <c r="K28" s="2946" t="s">
        <v>2393</v>
      </c>
      <c r="L28" s="2947" t="s">
        <v>2394</v>
      </c>
      <c r="M28" s="2948"/>
      <c r="N28" s="2947" t="s">
        <v>2395</v>
      </c>
      <c r="O28" s="2949"/>
      <c r="P28" s="2947" t="s">
        <v>2396</v>
      </c>
      <c r="Q28" s="2950">
        <v>1.4999999999999999E-2</v>
      </c>
      <c r="R28" s="2951"/>
      <c r="S28" s="2824"/>
      <c r="T28" s="2824"/>
      <c r="U28" s="2824"/>
      <c r="V28" s="2931"/>
    </row>
    <row r="29" spans="1:22" s="2932" customFormat="1" ht="13.15" customHeight="1">
      <c r="A29" s="2913">
        <v>3</v>
      </c>
      <c r="B29" s="2914" t="s">
        <v>2397</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15" customHeight="1" thickBot="1">
      <c r="A30" s="2920"/>
      <c r="B30" s="2921" t="s">
        <v>2398</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15" customHeight="1">
      <c r="A31" s="2920"/>
      <c r="B31" s="2921"/>
      <c r="C31" s="2953"/>
      <c r="D31" s="2952"/>
      <c r="E31" s="2886"/>
      <c r="F31" s="2925"/>
      <c r="G31" s="2824"/>
      <c r="H31" s="2939"/>
      <c r="I31" s="2931"/>
      <c r="J31" s="2821" t="s">
        <v>2399</v>
      </c>
      <c r="K31" s="2822"/>
      <c r="L31" s="2822"/>
      <c r="M31" s="2822"/>
      <c r="N31" s="2822"/>
      <c r="O31" s="2822"/>
      <c r="P31" s="2822"/>
      <c r="Q31" s="2822"/>
      <c r="R31" s="2823"/>
      <c r="S31" s="2824"/>
      <c r="T31" s="2824"/>
      <c r="U31" s="2824"/>
      <c r="V31" s="2931"/>
    </row>
    <row r="32" spans="1:22" s="2932" customFormat="1" ht="13.15" customHeight="1">
      <c r="A32" s="2913">
        <v>4</v>
      </c>
      <c r="B32" s="2914" t="s">
        <v>2400</v>
      </c>
      <c r="C32" s="2915">
        <f>C23-C26-C29</f>
        <v>0</v>
      </c>
      <c r="D32" s="2916">
        <f>D23-D26-D29</f>
        <v>0</v>
      </c>
      <c r="E32" s="2917">
        <f>E23-E26-E29</f>
        <v>0</v>
      </c>
      <c r="F32" s="2918"/>
      <c r="G32" s="2824"/>
      <c r="H32" s="2832"/>
      <c r="I32" s="2833"/>
      <c r="J32" s="3704" t="s">
        <v>2401</v>
      </c>
      <c r="K32" s="3705"/>
      <c r="L32" s="2834" t="s">
        <v>2402</v>
      </c>
      <c r="M32" s="2834" t="s">
        <v>2291</v>
      </c>
      <c r="N32" s="2834" t="s">
        <v>2292</v>
      </c>
      <c r="O32" s="2834" t="s">
        <v>2293</v>
      </c>
      <c r="P32" s="2834" t="s">
        <v>2294</v>
      </c>
      <c r="Q32" s="2835" t="s">
        <v>2403</v>
      </c>
      <c r="R32" s="2954" t="s">
        <v>2404</v>
      </c>
      <c r="S32" s="2824"/>
      <c r="T32" s="2824"/>
      <c r="U32" s="2824"/>
      <c r="V32" s="2931"/>
    </row>
    <row r="33" spans="1:23" s="2837" customFormat="1" ht="13.15" customHeight="1">
      <c r="A33" s="2913"/>
      <c r="B33" s="2914"/>
      <c r="C33" s="2915"/>
      <c r="D33" s="2955"/>
      <c r="E33" s="2956"/>
      <c r="F33" s="2918"/>
      <c r="G33" s="2824"/>
      <c r="H33" s="2939"/>
      <c r="I33" s="2931"/>
      <c r="J33" s="3706" t="s">
        <v>2405</v>
      </c>
      <c r="K33" s="3707"/>
      <c r="L33" s="2840"/>
      <c r="M33" s="2840"/>
      <c r="N33" s="2840"/>
      <c r="O33" s="2840"/>
      <c r="P33" s="2840"/>
      <c r="Q33" s="2841"/>
      <c r="R33" s="2957">
        <f>SUM(L33:Q33)</f>
        <v>0</v>
      </c>
      <c r="S33" s="2824"/>
      <c r="T33" s="2824"/>
      <c r="U33" s="2824"/>
      <c r="V33" s="2833"/>
    </row>
    <row r="34" spans="1:23" s="2837" customFormat="1" ht="13.15" customHeight="1">
      <c r="A34" s="2913">
        <v>5</v>
      </c>
      <c r="B34" s="2914" t="s">
        <v>2406</v>
      </c>
      <c r="C34" s="2958"/>
      <c r="D34" s="2959"/>
      <c r="E34" s="2960"/>
      <c r="F34" s="2918"/>
      <c r="G34" s="2824"/>
      <c r="H34" s="2939"/>
      <c r="I34" s="2931"/>
      <c r="J34" s="3706" t="s">
        <v>2407</v>
      </c>
      <c r="K34" s="3707"/>
      <c r="L34" s="2845"/>
      <c r="M34" s="2845"/>
      <c r="N34" s="2845"/>
      <c r="O34" s="2845"/>
      <c r="P34" s="2845"/>
      <c r="Q34" s="2846"/>
      <c r="R34" s="2961">
        <f>SUM(L34:Q34)</f>
        <v>0</v>
      </c>
      <c r="S34" s="2824"/>
      <c r="T34" s="2824"/>
      <c r="U34" s="2824" t="e">
        <f>ROUND(R35*10000/365/R33,1)</f>
        <v>#DIV/0!</v>
      </c>
      <c r="V34" s="2833"/>
    </row>
    <row r="35" spans="1:23" s="2837" customFormat="1" ht="13.15" customHeight="1">
      <c r="A35" s="2913">
        <v>6</v>
      </c>
      <c r="B35" s="2914" t="s">
        <v>2408</v>
      </c>
      <c r="C35" s="2962"/>
      <c r="D35" s="2963"/>
      <c r="E35" s="2964"/>
      <c r="F35" s="2918"/>
      <c r="G35" s="2965"/>
      <c r="H35" s="2832"/>
      <c r="I35" s="2931"/>
      <c r="J35" s="2851" t="s">
        <v>2409</v>
      </c>
      <c r="K35" s="2852"/>
      <c r="L35" s="2852"/>
      <c r="M35" s="2853"/>
      <c r="N35" s="2853"/>
      <c r="O35" s="2853"/>
      <c r="P35" s="2853"/>
      <c r="Q35" s="2853"/>
      <c r="R35" s="2966">
        <f>R40+R41+R43</f>
        <v>0</v>
      </c>
      <c r="S35" s="2824"/>
      <c r="T35" s="2824" t="s">
        <v>2410</v>
      </c>
      <c r="U35" s="2824"/>
      <c r="V35" s="2833"/>
    </row>
    <row r="36" spans="1:23" s="2837" customFormat="1" ht="13.15" customHeight="1" thickBot="1">
      <c r="A36" s="2913">
        <v>7</v>
      </c>
      <c r="B36" s="2967" t="s">
        <v>2411</v>
      </c>
      <c r="C36" s="2968"/>
      <c r="D36" s="2969"/>
      <c r="E36" s="2970"/>
      <c r="F36" s="2971">
        <f>C36+D36+E36</f>
        <v>0</v>
      </c>
      <c r="G36" s="2824"/>
      <c r="H36" s="2832"/>
      <c r="I36" s="2833"/>
      <c r="J36" s="3711">
        <v>1</v>
      </c>
      <c r="K36" s="3712" t="s">
        <v>2412</v>
      </c>
      <c r="L36" s="2858"/>
      <c r="M36" s="2859"/>
      <c r="N36" s="2859"/>
      <c r="O36" s="2859"/>
      <c r="P36" s="2859"/>
      <c r="Q36" s="2859"/>
      <c r="R36" s="2842" t="s">
        <v>2313</v>
      </c>
      <c r="S36" s="2824"/>
      <c r="T36" s="2824" t="s">
        <v>2314</v>
      </c>
      <c r="U36" s="2824"/>
      <c r="V36" s="2833"/>
    </row>
    <row r="37" spans="1:23" s="2837" customFormat="1" ht="13.15" customHeight="1">
      <c r="A37" s="2913"/>
      <c r="B37" s="2914"/>
      <c r="C37" s="2914"/>
      <c r="D37" s="2914"/>
      <c r="E37" s="2914"/>
      <c r="F37" s="2918"/>
      <c r="G37" s="2824"/>
      <c r="H37" s="2832"/>
      <c r="I37" s="2833"/>
      <c r="J37" s="3711"/>
      <c r="K37" s="3713"/>
      <c r="L37" s="2867"/>
      <c r="M37" s="2868"/>
      <c r="N37" s="2844"/>
      <c r="O37" s="2869"/>
      <c r="P37" s="2869"/>
      <c r="Q37" s="2870"/>
      <c r="R37" s="2871"/>
      <c r="S37" s="2824"/>
      <c r="T37" s="2824" t="s">
        <v>2317</v>
      </c>
      <c r="U37" s="2824"/>
      <c r="V37" s="2833"/>
    </row>
    <row r="38" spans="1:23" s="2837" customFormat="1" ht="13.15" customHeight="1">
      <c r="A38" s="2913">
        <v>8</v>
      </c>
      <c r="B38" s="2914"/>
      <c r="C38" s="2873" t="e">
        <f>ROUND(C32*(1-((1+C35)/(1+C34))^C36)/(C34-C35),0)</f>
        <v>#DIV/0!</v>
      </c>
      <c r="D38" s="2873">
        <f>IF(D23=0,0,ROUND(D32*(1-((1+D35)/(1+D34))^D36)/(D34-D35),0))</f>
        <v>0</v>
      </c>
      <c r="E38" s="2873">
        <f>IF(E23=0,0,ROUND(E32*(1-((1+E35)/(1+E34))^E36)/(E34-E35),0))</f>
        <v>0</v>
      </c>
      <c r="F38" s="2918"/>
      <c r="G38" s="2824"/>
      <c r="H38" s="2832"/>
      <c r="I38" s="2833"/>
      <c r="J38" s="3711"/>
      <c r="K38" s="3713"/>
      <c r="L38" s="2867"/>
      <c r="M38" s="2868"/>
      <c r="N38" s="2844"/>
      <c r="O38" s="2869"/>
      <c r="P38" s="2869"/>
      <c r="Q38" s="2870"/>
      <c r="R38" s="2871"/>
      <c r="S38" s="2824"/>
      <c r="T38" s="2824" t="s">
        <v>2324</v>
      </c>
      <c r="U38" s="2824"/>
      <c r="V38" s="2833"/>
    </row>
    <row r="39" spans="1:23" s="2837" customFormat="1" ht="13.15" customHeight="1">
      <c r="A39" s="2913">
        <v>9</v>
      </c>
      <c r="B39" s="2914" t="s">
        <v>2413</v>
      </c>
      <c r="C39" s="2881" t="e">
        <f>C38</f>
        <v>#DIV/0!</v>
      </c>
      <c r="D39" s="2914">
        <f>D38/(1+D34)^C36</f>
        <v>0</v>
      </c>
      <c r="E39" s="2914">
        <f>E38/(1+E34)^(C36+D36)</f>
        <v>0</v>
      </c>
      <c r="F39" s="2918"/>
      <c r="G39" s="2833"/>
      <c r="H39" s="2832"/>
      <c r="I39" s="2833"/>
      <c r="J39" s="3711"/>
      <c r="K39" s="3713"/>
      <c r="L39" s="2867"/>
      <c r="M39" s="2868"/>
      <c r="N39" s="2844"/>
      <c r="O39" s="2869"/>
      <c r="P39" s="2869"/>
      <c r="Q39" s="2870"/>
      <c r="R39" s="2871"/>
      <c r="S39" s="2824"/>
      <c r="T39" s="2824"/>
      <c r="U39" s="2824"/>
      <c r="V39" s="2833"/>
    </row>
    <row r="40" spans="1:23" s="2837" customFormat="1" ht="13.15" customHeight="1">
      <c r="A40" s="2972">
        <v>10</v>
      </c>
      <c r="B40" s="2914" t="s">
        <v>2414</v>
      </c>
      <c r="C40" s="2973" t="e">
        <f>C39+D39+E39</f>
        <v>#DIV/0!</v>
      </c>
      <c r="D40" s="2974"/>
      <c r="E40" s="2974"/>
      <c r="F40" s="2975"/>
      <c r="G40" s="2824"/>
      <c r="H40" s="2832"/>
      <c r="I40" s="2833"/>
      <c r="J40" s="3711"/>
      <c r="K40" s="3714"/>
      <c r="L40" s="2887" t="s">
        <v>2415</v>
      </c>
      <c r="M40" s="2888"/>
      <c r="N40" s="2888"/>
      <c r="O40" s="2889"/>
      <c r="P40" s="2889"/>
      <c r="Q40" s="2890"/>
      <c r="R40" s="2836">
        <f>SUM(R37:R39)</f>
        <v>0</v>
      </c>
      <c r="S40" s="2824"/>
      <c r="T40" s="2824"/>
      <c r="U40" s="2824"/>
      <c r="V40" s="2833"/>
    </row>
    <row r="41" spans="1:23" s="2837" customFormat="1" ht="13.15" customHeight="1" thickBot="1">
      <c r="A41" s="2976">
        <v>11</v>
      </c>
      <c r="B41" s="2977" t="s">
        <v>2416</v>
      </c>
      <c r="C41" s="2977" t="e">
        <f>ROUND(C40*10000/B4,0)</f>
        <v>#DIV/0!</v>
      </c>
      <c r="D41" s="2978"/>
      <c r="E41" s="2978"/>
      <c r="F41" s="2979"/>
      <c r="G41" s="2832"/>
      <c r="H41" s="2832"/>
      <c r="I41" s="2833"/>
      <c r="J41" s="2926">
        <v>2</v>
      </c>
      <c r="K41" s="2927" t="s">
        <v>2417</v>
      </c>
      <c r="L41" s="2928"/>
      <c r="M41" s="2928"/>
      <c r="N41" s="2928"/>
      <c r="O41" s="2928"/>
      <c r="P41" s="2929"/>
      <c r="Q41" s="2930"/>
      <c r="R41" s="2903">
        <f>ROUND(R40*Q41,0)</f>
        <v>0</v>
      </c>
      <c r="S41" s="2824"/>
      <c r="T41" s="2824"/>
      <c r="U41" s="2876"/>
      <c r="V41" s="2833"/>
    </row>
    <row r="42" spans="1:23" s="2837" customFormat="1" ht="13.15" customHeight="1">
      <c r="G42" s="2832"/>
      <c r="H42" s="2832"/>
      <c r="I42" s="2833"/>
      <c r="J42" s="3721">
        <v>3</v>
      </c>
      <c r="K42" s="2933" t="s">
        <v>2418</v>
      </c>
      <c r="L42" s="2934"/>
      <c r="M42" s="2935"/>
      <c r="N42" s="2936" t="s">
        <v>2419</v>
      </c>
      <c r="O42" s="2936" t="s">
        <v>2420</v>
      </c>
      <c r="P42" s="2937" t="s">
        <v>2421</v>
      </c>
      <c r="Q42" s="2937" t="s">
        <v>2422</v>
      </c>
      <c r="R42" s="2842" t="s">
        <v>2423</v>
      </c>
      <c r="S42" s="2876"/>
      <c r="T42" s="2876"/>
      <c r="U42" s="2824"/>
      <c r="V42" s="2833"/>
    </row>
    <row r="43" spans="1:23" ht="13.15" customHeight="1">
      <c r="A43" s="2837"/>
      <c r="B43" s="2837"/>
      <c r="C43" s="2837"/>
      <c r="D43" s="2837"/>
      <c r="E43" s="2837"/>
      <c r="F43" s="2837"/>
      <c r="I43" s="2819"/>
      <c r="J43" s="3722"/>
      <c r="K43" s="2940"/>
      <c r="L43" s="2941"/>
      <c r="M43" s="2942"/>
      <c r="N43" s="2868"/>
      <c r="O43" s="2868"/>
      <c r="P43" s="2868"/>
      <c r="Q43" s="2930"/>
      <c r="R43" s="2903">
        <f>ROUND(O43*N43*P43*(1-Q43)/10000,0)</f>
        <v>0</v>
      </c>
      <c r="S43" s="2824"/>
      <c r="T43" s="2824"/>
      <c r="V43" s="2980"/>
      <c r="W43" s="2981"/>
    </row>
    <row r="44" spans="1:23" ht="13.15" customHeight="1" thickBot="1">
      <c r="J44" s="2945">
        <v>6</v>
      </c>
      <c r="K44" s="2946" t="s">
        <v>2424</v>
      </c>
      <c r="L44" s="2982" t="s">
        <v>2425</v>
      </c>
      <c r="M44" s="2948"/>
      <c r="N44" s="2982" t="s">
        <v>2426</v>
      </c>
      <c r="O44" s="2948"/>
      <c r="P44" s="2982" t="s">
        <v>2427</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6"/>
      <c r="D2" s="2766"/>
      <c r="E2" s="2766"/>
      <c r="F2" s="2766"/>
      <c r="G2" s="2766"/>
    </row>
    <row r="3" spans="1:25" s="1672" customFormat="1" ht="18" customHeight="1">
      <c r="A3" s="1170" t="s">
        <v>1218</v>
      </c>
      <c r="B3" s="395">
        <f ca="1">ROUND(B2*10000/'数据-汇总表'!E3,0)</f>
        <v>0</v>
      </c>
      <c r="C3" s="2766"/>
      <c r="D3" s="2766"/>
      <c r="E3" s="2766"/>
      <c r="F3" s="2766"/>
      <c r="G3" s="2766"/>
    </row>
    <row r="4" spans="1:25" s="1672" customFormat="1" ht="18" customHeight="1">
      <c r="A4" s="396" t="s">
        <v>428</v>
      </c>
      <c r="B4" s="397">
        <f ca="1">ROUND(B2*10000/'数据-汇总表'!D3,0)</f>
        <v>0</v>
      </c>
      <c r="C4" s="2726"/>
      <c r="D4" s="2766"/>
      <c r="E4" s="2766"/>
      <c r="F4" s="2766"/>
      <c r="G4" s="2766"/>
    </row>
    <row r="5" spans="1:25" s="1672" customFormat="1" ht="18" customHeight="1" thickBot="1">
      <c r="A5" s="399"/>
      <c r="B5" s="400">
        <f ca="1">ROUND(B2/('数据-汇总表'!D3/666.67),0)</f>
        <v>0</v>
      </c>
      <c r="C5" s="401" t="s">
        <v>429</v>
      </c>
      <c r="D5" s="2766"/>
      <c r="E5" s="2766"/>
      <c r="F5" s="2766"/>
      <c r="G5" s="2766"/>
    </row>
    <row r="6" spans="1:25" s="1783" customFormat="1" ht="13.5" customHeight="1">
      <c r="A6" s="680"/>
      <c r="B6" s="681" t="s">
        <v>552</v>
      </c>
      <c r="C6" s="682" t="s">
        <v>553</v>
      </c>
      <c r="D6" s="682" t="s">
        <v>554</v>
      </c>
      <c r="E6" s="683" t="s">
        <v>555</v>
      </c>
      <c r="F6" s="683" t="s">
        <v>556</v>
      </c>
      <c r="G6" s="2765" t="s">
        <v>2270</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9">
        <f>ROUND(D8*E8/10000,0)</f>
        <v>0</v>
      </c>
      <c r="D8" s="2769">
        <v>0</v>
      </c>
      <c r="E8" s="2770">
        <v>0</v>
      </c>
      <c r="F8" s="686"/>
      <c r="G8" s="687"/>
    </row>
    <row r="9" spans="1:25" s="1783" customFormat="1" ht="13.5" customHeight="1">
      <c r="A9" s="1981" t="s">
        <v>1787</v>
      </c>
      <c r="B9" s="1984" t="s">
        <v>1789</v>
      </c>
      <c r="C9" s="2769">
        <f>ROUND(D9*E9/10000,0)</f>
        <v>0</v>
      </c>
      <c r="D9" s="2769">
        <v>0</v>
      </c>
      <c r="E9" s="2770">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96</v>
      </c>
      <c r="D12" s="2769">
        <f>'数据-汇总表'!E5</f>
        <v>5999.630000000001</v>
      </c>
      <c r="E12" s="2769">
        <f>'数据-取费表'!B27</f>
        <v>160</v>
      </c>
      <c r="F12" s="691"/>
      <c r="G12" s="694"/>
    </row>
    <row r="13" spans="1:25" s="1783" customFormat="1" ht="13.5" customHeight="1">
      <c r="A13" s="1987" t="s">
        <v>1793</v>
      </c>
      <c r="B13" s="692" t="s">
        <v>560</v>
      </c>
      <c r="C13" s="693">
        <f>ROUND(D13*E13/10000,0)</f>
        <v>100</v>
      </c>
      <c r="D13" s="2769">
        <f>'数据-汇总表'!E6</f>
        <v>5012.16</v>
      </c>
      <c r="E13" s="2769">
        <f>'数据-取费表'!B28</f>
        <v>200</v>
      </c>
      <c r="F13" s="691"/>
      <c r="G13" s="694"/>
    </row>
    <row r="14" spans="1:25" s="1783" customFormat="1" ht="13.5" customHeight="1">
      <c r="A14" s="1981" t="s">
        <v>1787</v>
      </c>
      <c r="B14" s="1986" t="s">
        <v>1790</v>
      </c>
      <c r="C14" s="2771">
        <f>ROUND(D14*E14/10000,0)</f>
        <v>0</v>
      </c>
      <c r="D14" s="2769">
        <v>0</v>
      </c>
      <c r="E14" s="2770">
        <v>0</v>
      </c>
      <c r="F14" s="1985"/>
      <c r="G14" s="1988" t="s">
        <v>1795</v>
      </c>
    </row>
    <row r="15" spans="1:25" s="1783" customFormat="1" ht="13.5" customHeight="1">
      <c r="A15" s="1981" t="s">
        <v>1792</v>
      </c>
      <c r="B15" s="1986" t="s">
        <v>1791</v>
      </c>
      <c r="C15" s="2771">
        <f>ROUND(D15*E15/10000,0)</f>
        <v>0</v>
      </c>
      <c r="D15" s="2769">
        <v>0</v>
      </c>
      <c r="E15" s="2770">
        <v>0</v>
      </c>
      <c r="F15" s="1985"/>
      <c r="G15" s="1988" t="s">
        <v>1796</v>
      </c>
    </row>
    <row r="16" spans="1:25" s="1784" customFormat="1" ht="48">
      <c r="A16" s="1981">
        <v>3</v>
      </c>
      <c r="B16" s="684" t="s">
        <v>563</v>
      </c>
      <c r="C16" s="2771">
        <f>ROUND(D16*E16/10000,0)</f>
        <v>0</v>
      </c>
      <c r="D16" s="2769">
        <v>0</v>
      </c>
      <c r="E16" s="2770">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0.91400000000000003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8" customFormat="1">
      <c r="A24" s="2767"/>
      <c r="D24" s="1628"/>
      <c r="E24" s="1628"/>
    </row>
    <row r="25" spans="1:25" s="2768" customFormat="1">
      <c r="A25" s="2767"/>
      <c r="D25" s="1628"/>
      <c r="E25" s="1628"/>
    </row>
    <row r="26" spans="1:25" s="2768" customFormat="1">
      <c r="A26" s="2767"/>
      <c r="D26" s="1628"/>
      <c r="E26" s="1628"/>
    </row>
    <row r="27" spans="1:25" s="2768" customFormat="1">
      <c r="A27" s="2767"/>
      <c r="D27" s="1628"/>
      <c r="E27" s="1628"/>
    </row>
    <row r="28" spans="1:25" s="2768" customFormat="1">
      <c r="A28" s="2767"/>
      <c r="D28" s="1628"/>
      <c r="E28" s="1628"/>
    </row>
    <row r="29" spans="1:25" s="2768" customFormat="1">
      <c r="A29" s="2767"/>
      <c r="D29" s="1628"/>
      <c r="E29" s="1628"/>
    </row>
    <row r="30" spans="1:25" s="2768" customFormat="1">
      <c r="A30" s="2767"/>
      <c r="D30" s="1628"/>
      <c r="E30" s="1628"/>
    </row>
    <row r="31" spans="1:25" s="2768" customFormat="1">
      <c r="A31" s="2767"/>
      <c r="D31" s="1628"/>
      <c r="E31" s="1628"/>
    </row>
    <row r="32" spans="1:25" s="2768" customFormat="1">
      <c r="A32" s="2767"/>
      <c r="D32" s="1628"/>
      <c r="E32" s="1628"/>
    </row>
    <row r="33" spans="1:5" s="2768" customFormat="1">
      <c r="A33" s="2767"/>
      <c r="D33" s="1628"/>
      <c r="E33" s="1628"/>
    </row>
    <row r="34" spans="1:5" s="2768" customFormat="1">
      <c r="A34" s="2767"/>
      <c r="D34" s="1628"/>
      <c r="E34" s="1628"/>
    </row>
    <row r="35" spans="1:5" s="2768" customFormat="1">
      <c r="A35" s="2767"/>
      <c r="D35" s="1628"/>
      <c r="E35" s="1628"/>
    </row>
    <row r="36" spans="1:5" s="2768" customFormat="1">
      <c r="A36" s="2767"/>
      <c r="D36" s="1628"/>
      <c r="E36" s="1628"/>
    </row>
    <row r="37" spans="1:5" s="2768" customFormat="1">
      <c r="A37" s="2767"/>
      <c r="D37" s="1628"/>
      <c r="E37" s="1628"/>
    </row>
    <row r="38" spans="1:5" s="2768" customFormat="1">
      <c r="A38" s="2767"/>
      <c r="D38" s="1628"/>
      <c r="E38" s="1628"/>
    </row>
    <row r="39" spans="1:5" s="2768" customFormat="1">
      <c r="A39" s="2767"/>
      <c r="D39" s="1628"/>
      <c r="E39" s="1628"/>
    </row>
    <row r="40" spans="1:5" s="2768" customFormat="1">
      <c r="A40" s="2767"/>
      <c r="D40" s="1628"/>
      <c r="E40" s="1628"/>
    </row>
    <row r="41" spans="1:5" s="2768" customFormat="1">
      <c r="A41" s="2767"/>
      <c r="D41" s="1628"/>
      <c r="E41" s="1628"/>
    </row>
    <row r="42" spans="1:5" s="2768" customFormat="1">
      <c r="A42" s="2767"/>
      <c r="D42" s="1628"/>
      <c r="E42" s="1628"/>
    </row>
    <row r="43" spans="1:5" s="2768" customFormat="1">
      <c r="A43" s="2767"/>
      <c r="D43" s="1628"/>
      <c r="E43" s="1628"/>
    </row>
    <row r="44" spans="1:5" s="2768" customFormat="1">
      <c r="A44" s="2767"/>
      <c r="D44" s="1628"/>
      <c r="E44" s="1628"/>
    </row>
    <row r="45" spans="1:5" s="2768" customFormat="1">
      <c r="A45" s="2767"/>
      <c r="D45" s="1628"/>
      <c r="E45" s="1628"/>
    </row>
    <row r="46" spans="1:5" s="2768" customFormat="1">
      <c r="A46" s="2767"/>
      <c r="D46" s="1628"/>
      <c r="E46" s="1628"/>
    </row>
    <row r="47" spans="1:5" s="2768" customFormat="1">
      <c r="A47" s="2767"/>
      <c r="D47" s="1628"/>
      <c r="E47" s="1628"/>
    </row>
    <row r="48" spans="1:5" s="2768" customFormat="1">
      <c r="A48" s="2767"/>
      <c r="D48" s="1628"/>
      <c r="E48" s="1628"/>
    </row>
    <row r="49" spans="1:5" s="2768" customFormat="1">
      <c r="A49" s="2767"/>
      <c r="D49" s="1628"/>
      <c r="E49" s="1628"/>
    </row>
    <row r="50" spans="1:5" s="2768" customFormat="1">
      <c r="A50" s="2767"/>
      <c r="D50" s="1628"/>
      <c r="E50" s="1628"/>
    </row>
    <row r="51" spans="1:5" s="2768" customFormat="1">
      <c r="A51" s="2767"/>
      <c r="D51" s="1628"/>
      <c r="E51" s="1628"/>
    </row>
    <row r="52" spans="1:5" s="2768" customFormat="1">
      <c r="A52" s="2767"/>
      <c r="D52" s="1628"/>
      <c r="E52" s="1628"/>
    </row>
    <row r="53" spans="1:5" s="2768" customFormat="1">
      <c r="A53" s="2767"/>
      <c r="D53" s="1628"/>
      <c r="E53" s="1628"/>
    </row>
    <row r="54" spans="1:5" s="2768" customFormat="1">
      <c r="A54" s="2767"/>
      <c r="D54" s="1628"/>
      <c r="E54" s="1628"/>
    </row>
    <row r="55" spans="1:5" s="2768" customFormat="1">
      <c r="A55" s="2767"/>
      <c r="D55" s="1628"/>
      <c r="E55" s="1628"/>
    </row>
    <row r="56" spans="1:5" s="2768" customFormat="1">
      <c r="A56" s="2767"/>
      <c r="D56" s="1628"/>
      <c r="E56" s="1628"/>
    </row>
    <row r="57" spans="1:5" s="2768" customFormat="1">
      <c r="A57" s="2767"/>
      <c r="D57" s="1628"/>
      <c r="E57" s="1628"/>
    </row>
    <row r="58" spans="1:5" s="2768" customFormat="1">
      <c r="A58" s="2767"/>
      <c r="D58" s="1628"/>
      <c r="E58" s="1628"/>
    </row>
    <row r="59" spans="1:5" s="2768" customFormat="1">
      <c r="A59" s="2767"/>
      <c r="D59" s="1628"/>
      <c r="E59" s="1628"/>
    </row>
    <row r="60" spans="1:5" s="2768" customFormat="1">
      <c r="A60" s="2767"/>
      <c r="D60" s="1628"/>
      <c r="E60" s="1628"/>
    </row>
    <row r="61" spans="1:5" s="2768" customFormat="1">
      <c r="A61" s="2767"/>
      <c r="D61" s="1628"/>
      <c r="E61" s="1628"/>
    </row>
    <row r="62" spans="1:5" s="2768" customFormat="1">
      <c r="A62" s="2767"/>
      <c r="D62" s="1628"/>
      <c r="E62" s="1628"/>
    </row>
    <row r="63" spans="1:5" s="2768" customFormat="1">
      <c r="A63" s="2767"/>
      <c r="D63" s="1628"/>
      <c r="E63" s="162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Normal="60" zoomScaleSheetLayoutView="100" workbookViewId="0">
      <selection activeCell="M12" sqref="M12"/>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t="s">
        <v>851</v>
      </c>
      <c r="E1" s="1735"/>
      <c r="F1" s="2118" t="s">
        <v>3492</v>
      </c>
      <c r="G1" s="1328"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427</v>
      </c>
      <c r="B2" s="2077">
        <f>ROUND(B3*D3/10000,0)</f>
        <v>19622</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32706</v>
      </c>
      <c r="C3" s="786" t="s">
        <v>669</v>
      </c>
      <c r="D3" s="785">
        <f>SUMIF('数据-汇总表'!$C19:$C33,D1,'数据-汇总表'!$E19:$E33)</f>
        <v>5999.630000000001</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4" t="s">
        <v>471</v>
      </c>
      <c r="D4" s="3605"/>
      <c r="E4" s="3639" t="s">
        <v>472</v>
      </c>
      <c r="F4" s="3640"/>
      <c r="G4" s="3604" t="s">
        <v>473</v>
      </c>
      <c r="H4" s="3605"/>
      <c r="I4" s="3604" t="s">
        <v>474</v>
      </c>
      <c r="J4" s="3605"/>
      <c r="K4" s="787" t="s">
        <v>475</v>
      </c>
      <c r="L4" s="1741"/>
      <c r="M4" s="1742"/>
      <c r="N4" s="1742"/>
      <c r="O4" s="1742"/>
      <c r="P4" s="3606" t="s">
        <v>476</v>
      </c>
      <c r="Q4" s="3607"/>
      <c r="R4" s="3612" t="s">
        <v>472</v>
      </c>
      <c r="S4" s="3613"/>
      <c r="T4" s="3612" t="s">
        <v>473</v>
      </c>
      <c r="U4" s="3613"/>
      <c r="V4" s="3599" t="s">
        <v>474</v>
      </c>
      <c r="W4" s="3599"/>
      <c r="X4" s="1302"/>
      <c r="Y4" s="3612" t="s">
        <v>476</v>
      </c>
      <c r="Z4" s="3613"/>
      <c r="AA4" s="3601" t="s">
        <v>472</v>
      </c>
      <c r="AB4" s="3601" t="s">
        <v>473</v>
      </c>
      <c r="AC4" s="3601" t="s">
        <v>474</v>
      </c>
    </row>
    <row r="5" spans="1:29" ht="13.9" customHeight="1">
      <c r="A5" s="466"/>
      <c r="B5" s="467"/>
      <c r="C5" s="3620" t="s">
        <v>2181</v>
      </c>
      <c r="D5" s="3621"/>
      <c r="E5" s="3727" t="s">
        <v>3493</v>
      </c>
      <c r="F5" s="3642"/>
      <c r="G5" s="3725" t="s">
        <v>3494</v>
      </c>
      <c r="H5" s="3642"/>
      <c r="I5" s="3726" t="s">
        <v>3495</v>
      </c>
      <c r="J5" s="3621"/>
      <c r="K5" s="788"/>
      <c r="L5" s="1741"/>
      <c r="M5" s="1742"/>
      <c r="N5" s="1742"/>
      <c r="O5" s="1742"/>
      <c r="P5" s="3608"/>
      <c r="Q5" s="3609"/>
      <c r="R5" s="3614"/>
      <c r="S5" s="3615"/>
      <c r="T5" s="3614"/>
      <c r="U5" s="3615"/>
      <c r="V5" s="3599"/>
      <c r="W5" s="3599"/>
      <c r="X5" s="1302"/>
      <c r="Y5" s="3614"/>
      <c r="Z5" s="3615"/>
      <c r="AA5" s="3602"/>
      <c r="AB5" s="3602"/>
      <c r="AC5" s="3602"/>
    </row>
    <row r="6" spans="1:29" ht="15.75" thickBot="1">
      <c r="A6" s="468"/>
      <c r="B6" s="469"/>
      <c r="C6" s="3618" t="s">
        <v>2185</v>
      </c>
      <c r="D6" s="3619"/>
      <c r="E6" s="3637" t="s">
        <v>3461</v>
      </c>
      <c r="F6" s="3638"/>
      <c r="G6" s="3618" t="s">
        <v>3461</v>
      </c>
      <c r="H6" s="3619"/>
      <c r="I6" s="3618" t="s">
        <v>3461</v>
      </c>
      <c r="J6" s="3619"/>
      <c r="K6" s="788" t="s">
        <v>477</v>
      </c>
      <c r="L6" s="1741"/>
      <c r="M6" s="1742"/>
      <c r="N6" s="1742"/>
      <c r="O6" s="1742"/>
      <c r="P6" s="3610"/>
      <c r="Q6" s="3611"/>
      <c r="R6" s="3614"/>
      <c r="S6" s="3615"/>
      <c r="T6" s="3616"/>
      <c r="U6" s="3617"/>
      <c r="V6" s="3599"/>
      <c r="W6" s="3599"/>
      <c r="X6" s="1302"/>
      <c r="Y6" s="3616"/>
      <c r="Z6" s="3617"/>
      <c r="AA6" s="3603"/>
      <c r="AB6" s="3603"/>
      <c r="AC6" s="3603"/>
    </row>
    <row r="7" spans="1:29" s="1060" customFormat="1" ht="15.75" thickBot="1">
      <c r="A7" s="2209"/>
      <c r="B7" s="2216" t="s">
        <v>478</v>
      </c>
      <c r="C7" s="470">
        <f>'数据-取费表'!B2</f>
        <v>45908</v>
      </c>
      <c r="D7" s="471">
        <v>100</v>
      </c>
      <c r="E7" s="474">
        <v>45901</v>
      </c>
      <c r="F7" s="473">
        <f>SUMIF(58:58,YEAR(E7)&amp;"-"&amp;MONTH(E7),59:59)</f>
        <v>100</v>
      </c>
      <c r="G7" s="474">
        <v>45901</v>
      </c>
      <c r="H7" s="471">
        <f>SUMIF(58:58,YEAR(G7)&amp;"-"&amp;MONTH(G7),59:59)</f>
        <v>100</v>
      </c>
      <c r="I7" s="474">
        <v>45901</v>
      </c>
      <c r="J7" s="471">
        <f>SUMIF(58:58,YEAR(I7)&amp;"-"&amp;MONTH(I7),59:59)</f>
        <v>100</v>
      </c>
      <c r="K7" s="789"/>
      <c r="L7" s="1743"/>
      <c r="M7" s="1640"/>
      <c r="N7" s="1640"/>
      <c r="O7" s="1640"/>
      <c r="P7" s="3628" t="s">
        <v>479</v>
      </c>
      <c r="Q7" s="3630"/>
      <c r="R7" s="1303" t="s">
        <v>10</v>
      </c>
      <c r="S7" s="1304">
        <f t="shared" ref="S7:S15" si="0">F7</f>
        <v>100</v>
      </c>
      <c r="T7" s="1303" t="s">
        <v>10</v>
      </c>
      <c r="U7" s="1304">
        <f t="shared" ref="U7:U15" si="1">H7</f>
        <v>100</v>
      </c>
      <c r="V7" s="1303" t="s">
        <v>10</v>
      </c>
      <c r="W7" s="1304">
        <f t="shared" ref="W7:W15" si="2">J7</f>
        <v>100</v>
      </c>
      <c r="X7" s="1305"/>
      <c r="Y7" s="3628" t="s">
        <v>479</v>
      </c>
      <c r="Z7" s="3629"/>
      <c r="AA7" s="997">
        <f>D7/F7</f>
        <v>1</v>
      </c>
      <c r="AB7" s="997">
        <f>D7/H7</f>
        <v>1</v>
      </c>
      <c r="AC7" s="997">
        <f>D7/J7</f>
        <v>1</v>
      </c>
    </row>
    <row r="8" spans="1:29" s="1060" customFormat="1" ht="15.75" thickBot="1">
      <c r="A8" s="2210"/>
      <c r="B8" s="2217" t="s">
        <v>480</v>
      </c>
      <c r="C8" s="475" t="s">
        <v>524</v>
      </c>
      <c r="D8" s="471">
        <v>100</v>
      </c>
      <c r="E8" s="790" t="s">
        <v>3469</v>
      </c>
      <c r="F8" s="473">
        <f>SUMIF(61:61,E8,62:62)-SUMIF(61:61,C8,62:62)+100</f>
        <v>100</v>
      </c>
      <c r="G8" s="475" t="s">
        <v>3469</v>
      </c>
      <c r="H8" s="471">
        <f>SUMIF(61:61,G8,62:62)-SUMIF(61:61,C8,62:62)+100</f>
        <v>100</v>
      </c>
      <c r="I8" s="790" t="s">
        <v>3469</v>
      </c>
      <c r="J8" s="471">
        <f>SUMIF(61:61,I8,62:62)-SUMIF(61:61,C8,62:62)+100</f>
        <v>100</v>
      </c>
      <c r="K8" s="789"/>
      <c r="L8" s="1743"/>
      <c r="M8" s="1640"/>
      <c r="N8" s="1640"/>
      <c r="O8" s="1640"/>
      <c r="P8" s="3628" t="s">
        <v>482</v>
      </c>
      <c r="Q8" s="3629"/>
      <c r="R8" s="1303" t="s">
        <v>10</v>
      </c>
      <c r="S8" s="1304">
        <f t="shared" si="0"/>
        <v>100</v>
      </c>
      <c r="T8" s="1303" t="s">
        <v>10</v>
      </c>
      <c r="U8" s="1304">
        <f t="shared" si="1"/>
        <v>100</v>
      </c>
      <c r="V8" s="1303" t="s">
        <v>10</v>
      </c>
      <c r="W8" s="1304">
        <f t="shared" si="2"/>
        <v>100</v>
      </c>
      <c r="X8" s="1305"/>
      <c r="Y8" s="3628" t="s">
        <v>482</v>
      </c>
      <c r="Z8" s="3629"/>
      <c r="AA8" s="997">
        <f t="shared" ref="AA8:AA46" si="3">D8/F8</f>
        <v>1</v>
      </c>
      <c r="AB8" s="997">
        <f t="shared" ref="AB8:AB46" si="4">D8/H8</f>
        <v>1</v>
      </c>
      <c r="AC8" s="997">
        <f t="shared" ref="AC8:AC46" si="5">D8/J8</f>
        <v>1</v>
      </c>
    </row>
    <row r="9" spans="1:29" s="1060" customFormat="1" ht="15">
      <c r="A9" s="2211"/>
      <c r="B9" s="2218" t="s">
        <v>2038</v>
      </c>
      <c r="C9" s="3422" t="s">
        <v>3491</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598" t="s">
        <v>484</v>
      </c>
      <c r="Q9" s="818" t="str">
        <f t="shared" ref="Q9:Q15" si="6">B9</f>
        <v>用途</v>
      </c>
      <c r="R9" s="1303" t="s">
        <v>5</v>
      </c>
      <c r="S9" s="1304">
        <f t="shared" si="0"/>
        <v>100</v>
      </c>
      <c r="T9" s="1303" t="s">
        <v>5</v>
      </c>
      <c r="U9" s="1304">
        <f t="shared" si="1"/>
        <v>100</v>
      </c>
      <c r="V9" s="1303" t="s">
        <v>5</v>
      </c>
      <c r="W9" s="1304">
        <f t="shared" si="2"/>
        <v>100</v>
      </c>
      <c r="X9" s="1305"/>
      <c r="Y9" s="3542" t="s">
        <v>485</v>
      </c>
      <c r="Z9" s="997" t="str">
        <f t="shared" ref="Z9:Z15" si="7">Q9</f>
        <v>用途</v>
      </c>
      <c r="AA9" s="997">
        <f t="shared" si="3"/>
        <v>1</v>
      </c>
      <c r="AB9" s="997">
        <f t="shared" si="4"/>
        <v>1</v>
      </c>
      <c r="AC9" s="997">
        <f t="shared" si="5"/>
        <v>1</v>
      </c>
    </row>
    <row r="10" spans="1:29" s="1133" customFormat="1" ht="27">
      <c r="A10" s="2212"/>
      <c r="B10" s="2217"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3"/>
      <c r="B11" s="2217" t="s">
        <v>2040</v>
      </c>
      <c r="C11" s="483">
        <v>1.6</v>
      </c>
      <c r="D11" s="235">
        <v>100</v>
      </c>
      <c r="E11" s="484">
        <v>1.6</v>
      </c>
      <c r="F11" s="477">
        <f>LOOKUP(E11,68:68,69:69)-LOOKUP(C11,68:68,69:69)+100</f>
        <v>100</v>
      </c>
      <c r="G11" s="483">
        <v>2</v>
      </c>
      <c r="H11" s="235">
        <f>LOOKUP(G11,68:68,69:69)-LOOKUP(C11,68:68,69:69)+100</f>
        <v>99</v>
      </c>
      <c r="I11" s="483">
        <v>2</v>
      </c>
      <c r="J11" s="235">
        <f>LOOKUP(I11,68:68,69:69)-LOOKUP(C11,68:68,69:69)+100</f>
        <v>99</v>
      </c>
      <c r="K11" s="794">
        <v>1</v>
      </c>
      <c r="L11" s="1747"/>
      <c r="M11" s="1742"/>
      <c r="N11" s="1742"/>
      <c r="O11" s="1748"/>
      <c r="P11" s="3598"/>
      <c r="Q11" s="818" t="str">
        <f t="shared" si="6"/>
        <v>容积率</v>
      </c>
      <c r="R11" s="1303" t="s">
        <v>8</v>
      </c>
      <c r="S11" s="1304">
        <f t="shared" si="0"/>
        <v>100</v>
      </c>
      <c r="T11" s="1303" t="s">
        <v>8</v>
      </c>
      <c r="U11" s="1304">
        <f t="shared" si="1"/>
        <v>99</v>
      </c>
      <c r="V11" s="1303" t="s">
        <v>8</v>
      </c>
      <c r="W11" s="1304">
        <f t="shared" si="2"/>
        <v>99</v>
      </c>
      <c r="X11" s="1305"/>
      <c r="Y11" s="3542"/>
      <c r="Z11" s="997" t="str">
        <f t="shared" si="7"/>
        <v>容积率</v>
      </c>
      <c r="AA11" s="997">
        <f t="shared" si="3"/>
        <v>1</v>
      </c>
      <c r="AB11" s="997">
        <f t="shared" si="4"/>
        <v>1.0101010101010102</v>
      </c>
      <c r="AC11" s="997">
        <f t="shared" si="5"/>
        <v>1.0101010101010102</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8"/>
      <c r="Q12" s="818">
        <f t="shared" si="6"/>
        <v>111</v>
      </c>
      <c r="R12" s="1303" t="s">
        <v>8</v>
      </c>
      <c r="S12" s="1304">
        <f t="shared" si="0"/>
        <v>100</v>
      </c>
      <c r="T12" s="1303" t="s">
        <v>8</v>
      </c>
      <c r="U12" s="1304">
        <f t="shared" si="1"/>
        <v>100</v>
      </c>
      <c r="V12" s="1303" t="s">
        <v>8</v>
      </c>
      <c r="W12" s="1304">
        <f t="shared" si="2"/>
        <v>100</v>
      </c>
      <c r="X12" s="1305"/>
      <c r="Y12" s="3542"/>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8"/>
      <c r="Q13" s="818">
        <f t="shared" si="6"/>
        <v>111</v>
      </c>
      <c r="R13" s="1303" t="s">
        <v>8</v>
      </c>
      <c r="S13" s="1304">
        <f t="shared" si="0"/>
        <v>100</v>
      </c>
      <c r="T13" s="1303" t="s">
        <v>8</v>
      </c>
      <c r="U13" s="1304">
        <f t="shared" si="1"/>
        <v>100</v>
      </c>
      <c r="V13" s="1303" t="s">
        <v>8</v>
      </c>
      <c r="W13" s="1304">
        <f t="shared" si="2"/>
        <v>100</v>
      </c>
      <c r="X13" s="1305"/>
      <c r="Y13" s="3542"/>
      <c r="Z13" s="997">
        <f t="shared" si="7"/>
        <v>111</v>
      </c>
      <c r="AA13" s="997">
        <f t="shared" si="3"/>
        <v>1</v>
      </c>
      <c r="AB13" s="997">
        <f t="shared" si="4"/>
        <v>1</v>
      </c>
      <c r="AC13" s="997">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8"/>
      <c r="Q14" s="818">
        <f t="shared" si="6"/>
        <v>111</v>
      </c>
      <c r="R14" s="1303" t="s">
        <v>8</v>
      </c>
      <c r="S14" s="1304">
        <f t="shared" si="0"/>
        <v>100</v>
      </c>
      <c r="T14" s="1303" t="s">
        <v>8</v>
      </c>
      <c r="U14" s="1304">
        <f t="shared" si="1"/>
        <v>100</v>
      </c>
      <c r="V14" s="1303" t="s">
        <v>8</v>
      </c>
      <c r="W14" s="1304">
        <f t="shared" si="2"/>
        <v>100</v>
      </c>
      <c r="X14" s="1305"/>
      <c r="Y14" s="3542"/>
      <c r="Z14" s="997">
        <f t="shared" si="7"/>
        <v>111</v>
      </c>
      <c r="AA14" s="997">
        <f t="shared" si="3"/>
        <v>1</v>
      </c>
      <c r="AB14" s="997">
        <f t="shared" si="4"/>
        <v>1</v>
      </c>
      <c r="AC14" s="997">
        <f t="shared" si="5"/>
        <v>1</v>
      </c>
    </row>
    <row r="15" spans="1:29" ht="15">
      <c r="A15" s="2207"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31" t="s">
        <v>489</v>
      </c>
      <c r="Q15" s="1306" t="str">
        <f t="shared" si="6"/>
        <v>居住社区成熟度</v>
      </c>
      <c r="R15" s="1307" t="s">
        <v>8</v>
      </c>
      <c r="S15" s="1308">
        <f t="shared" si="0"/>
        <v>103</v>
      </c>
      <c r="T15" s="1307" t="s">
        <v>8</v>
      </c>
      <c r="U15" s="1308">
        <f t="shared" si="1"/>
        <v>100</v>
      </c>
      <c r="V15" s="1307" t="s">
        <v>8</v>
      </c>
      <c r="W15" s="1308">
        <f t="shared" si="2"/>
        <v>103</v>
      </c>
      <c r="X15" s="1302"/>
      <c r="Y15" s="3631" t="s">
        <v>489</v>
      </c>
      <c r="Z15" s="1309" t="str">
        <f t="shared" si="7"/>
        <v>居住社区成熟度</v>
      </c>
      <c r="AA15" s="1309">
        <f t="shared" si="3"/>
        <v>0.970873786407767</v>
      </c>
      <c r="AB15" s="1309">
        <f t="shared" si="4"/>
        <v>1</v>
      </c>
      <c r="AC15" s="1309">
        <f t="shared" si="5"/>
        <v>0.970873786407767</v>
      </c>
    </row>
    <row r="16" spans="1:29" ht="15">
      <c r="A16" s="482"/>
      <c r="B16" s="799"/>
      <c r="C16" s="526" t="s">
        <v>3470</v>
      </c>
      <c r="D16" s="505"/>
      <c r="E16" s="506" t="s">
        <v>3467</v>
      </c>
      <c r="F16" s="507"/>
      <c r="G16" s="508" t="s">
        <v>3470</v>
      </c>
      <c r="H16" s="509"/>
      <c r="I16" s="506" t="s">
        <v>3467</v>
      </c>
      <c r="J16" s="505"/>
      <c r="K16" s="800"/>
      <c r="L16" s="1749"/>
      <c r="M16" s="1742"/>
      <c r="N16" s="1742"/>
      <c r="O16" s="1748"/>
      <c r="P16" s="3632"/>
      <c r="Q16" s="1306"/>
      <c r="R16" s="1307"/>
      <c r="S16" s="1308"/>
      <c r="T16" s="1307"/>
      <c r="U16" s="1308"/>
      <c r="V16" s="1307"/>
      <c r="W16" s="1308"/>
      <c r="X16" s="1302"/>
      <c r="Y16" s="3632"/>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49"/>
      <c r="M17" s="1742"/>
      <c r="N17" s="1742"/>
      <c r="O17" s="1748"/>
      <c r="P17" s="3632"/>
      <c r="Q17" s="1306" t="str">
        <f>B17</f>
        <v>交通便捷度</v>
      </c>
      <c r="R17" s="1307" t="s">
        <v>8</v>
      </c>
      <c r="S17" s="1308">
        <f>F17</f>
        <v>100</v>
      </c>
      <c r="T17" s="1307" t="s">
        <v>8</v>
      </c>
      <c r="U17" s="1308">
        <f>H17</f>
        <v>100</v>
      </c>
      <c r="V17" s="1307" t="s">
        <v>8</v>
      </c>
      <c r="W17" s="1308">
        <f>J17</f>
        <v>100</v>
      </c>
      <c r="X17" s="1302"/>
      <c r="Y17" s="3632"/>
      <c r="Z17" s="1309" t="str">
        <f>Q17</f>
        <v>交通便捷度</v>
      </c>
      <c r="AA17" s="1309">
        <f t="shared" si="3"/>
        <v>1</v>
      </c>
      <c r="AB17" s="1309">
        <f t="shared" si="4"/>
        <v>1</v>
      </c>
      <c r="AC17" s="1309">
        <f t="shared" si="5"/>
        <v>1</v>
      </c>
    </row>
    <row r="18" spans="1:29" ht="15">
      <c r="A18" s="482"/>
      <c r="B18" s="544"/>
      <c r="C18" s="802" t="s">
        <v>3470</v>
      </c>
      <c r="D18" s="509"/>
      <c r="E18" s="518" t="s">
        <v>3470</v>
      </c>
      <c r="F18" s="513"/>
      <c r="G18" s="519" t="s">
        <v>3470</v>
      </c>
      <c r="H18" s="505"/>
      <c r="I18" s="518" t="s">
        <v>3470</v>
      </c>
      <c r="J18" s="505"/>
      <c r="K18" s="800"/>
      <c r="L18" s="1749"/>
      <c r="M18" s="1742"/>
      <c r="N18" s="1742"/>
      <c r="O18" s="1748"/>
      <c r="P18" s="3632"/>
      <c r="Q18" s="1306"/>
      <c r="R18" s="1307"/>
      <c r="S18" s="1308"/>
      <c r="T18" s="1307"/>
      <c r="U18" s="1308"/>
      <c r="V18" s="1307"/>
      <c r="W18" s="1308"/>
      <c r="X18" s="1302"/>
      <c r="Y18" s="3632"/>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49"/>
      <c r="M19" s="1742"/>
      <c r="N19" s="1742"/>
      <c r="O19" s="1748"/>
      <c r="P19" s="3632"/>
      <c r="Q19" s="1306" t="str">
        <f>B19</f>
        <v>公共配套设施</v>
      </c>
      <c r="R19" s="1307" t="s">
        <v>8</v>
      </c>
      <c r="S19" s="1308">
        <f>F19</f>
        <v>100</v>
      </c>
      <c r="T19" s="1307" t="s">
        <v>8</v>
      </c>
      <c r="U19" s="1308">
        <f>H19</f>
        <v>100</v>
      </c>
      <c r="V19" s="1307" t="s">
        <v>8</v>
      </c>
      <c r="W19" s="1308">
        <f>J19</f>
        <v>100</v>
      </c>
      <c r="X19" s="1302"/>
      <c r="Y19" s="3632"/>
      <c r="Z19" s="1309" t="str">
        <f>Q19</f>
        <v>公共配套设施</v>
      </c>
      <c r="AA19" s="1309">
        <f t="shared" si="3"/>
        <v>1</v>
      </c>
      <c r="AB19" s="1309">
        <f t="shared" si="4"/>
        <v>1</v>
      </c>
      <c r="AC19" s="1309">
        <f t="shared" si="5"/>
        <v>1</v>
      </c>
    </row>
    <row r="20" spans="1:29" ht="15">
      <c r="A20" s="482"/>
      <c r="B20" s="544"/>
      <c r="C20" s="526" t="s">
        <v>3470</v>
      </c>
      <c r="D20" s="505"/>
      <c r="E20" s="506" t="s">
        <v>3470</v>
      </c>
      <c r="F20" s="507"/>
      <c r="G20" s="508" t="s">
        <v>3470</v>
      </c>
      <c r="H20" s="505"/>
      <c r="I20" s="506" t="s">
        <v>3470</v>
      </c>
      <c r="J20" s="505"/>
      <c r="K20" s="800"/>
      <c r="L20" s="1749"/>
      <c r="M20" s="1742"/>
      <c r="N20" s="1742"/>
      <c r="O20" s="1748"/>
      <c r="P20" s="3632"/>
      <c r="Q20" s="1306"/>
      <c r="R20" s="1307"/>
      <c r="S20" s="1308"/>
      <c r="T20" s="1307"/>
      <c r="U20" s="1308"/>
      <c r="V20" s="1307"/>
      <c r="W20" s="1308"/>
      <c r="X20" s="1302"/>
      <c r="Y20" s="3632"/>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32"/>
      <c r="Q21" s="1306" t="str">
        <f>B21</f>
        <v>基础设施水平</v>
      </c>
      <c r="R21" s="1307" t="s">
        <v>8</v>
      </c>
      <c r="S21" s="1308">
        <f>F21</f>
        <v>100</v>
      </c>
      <c r="T21" s="1307" t="s">
        <v>8</v>
      </c>
      <c r="U21" s="1308">
        <f>H21</f>
        <v>100</v>
      </c>
      <c r="V21" s="1307" t="s">
        <v>8</v>
      </c>
      <c r="W21" s="1308">
        <f>J21</f>
        <v>100</v>
      </c>
      <c r="X21" s="1302"/>
      <c r="Y21" s="3632"/>
      <c r="Z21" s="1309" t="str">
        <f>Q21</f>
        <v>基础设施水平</v>
      </c>
      <c r="AA21" s="1309">
        <f>D21/F21</f>
        <v>1</v>
      </c>
      <c r="AB21" s="1309">
        <f>D21/H21</f>
        <v>1</v>
      </c>
      <c r="AC21" s="1309">
        <f>D21/J21</f>
        <v>1</v>
      </c>
    </row>
    <row r="22" spans="1:29" ht="15">
      <c r="A22" s="482"/>
      <c r="B22" s="844"/>
      <c r="C22" s="802" t="s">
        <v>3468</v>
      </c>
      <c r="D22" s="505"/>
      <c r="E22" s="526" t="s">
        <v>3468</v>
      </c>
      <c r="F22" s="507"/>
      <c r="G22" s="526" t="s">
        <v>3468</v>
      </c>
      <c r="H22" s="505"/>
      <c r="I22" s="526" t="s">
        <v>3468</v>
      </c>
      <c r="J22" s="505"/>
      <c r="K22" s="2058"/>
      <c r="L22" s="1749"/>
      <c r="M22" s="1742"/>
      <c r="N22" s="1742"/>
      <c r="O22" s="1748"/>
      <c r="P22" s="3632"/>
      <c r="Q22" s="1306"/>
      <c r="R22" s="1307"/>
      <c r="S22" s="1308"/>
      <c r="T22" s="1307"/>
      <c r="U22" s="1308"/>
      <c r="V22" s="1307"/>
      <c r="W22" s="1308"/>
      <c r="X22" s="1302"/>
      <c r="Y22" s="3632"/>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49"/>
      <c r="M23" s="1742"/>
      <c r="N23" s="1742"/>
      <c r="O23" s="1748"/>
      <c r="P23" s="3632"/>
      <c r="Q23" s="1306" t="str">
        <f>B23</f>
        <v>自然及人文环境</v>
      </c>
      <c r="R23" s="1307" t="s">
        <v>8</v>
      </c>
      <c r="S23" s="1308">
        <f>F23</f>
        <v>100</v>
      </c>
      <c r="T23" s="1307" t="s">
        <v>8</v>
      </c>
      <c r="U23" s="1308">
        <f>H23</f>
        <v>100</v>
      </c>
      <c r="V23" s="1307" t="s">
        <v>8</v>
      </c>
      <c r="W23" s="1308">
        <f>J23</f>
        <v>100</v>
      </c>
      <c r="X23" s="1302"/>
      <c r="Y23" s="3632"/>
      <c r="Z23" s="1309" t="str">
        <f>Q23</f>
        <v>自然及人文环境</v>
      </c>
      <c r="AA23" s="1309">
        <f t="shared" si="3"/>
        <v>1</v>
      </c>
      <c r="AB23" s="1309">
        <f t="shared" si="4"/>
        <v>1</v>
      </c>
      <c r="AC23" s="1309">
        <f t="shared" si="5"/>
        <v>1</v>
      </c>
    </row>
    <row r="24" spans="1:29" ht="15">
      <c r="A24" s="482"/>
      <c r="B24" s="544"/>
      <c r="C24" s="526" t="s">
        <v>3470</v>
      </c>
      <c r="D24" s="505"/>
      <c r="E24" s="506" t="s">
        <v>3470</v>
      </c>
      <c r="F24" s="507"/>
      <c r="G24" s="508" t="s">
        <v>3470</v>
      </c>
      <c r="H24" s="505"/>
      <c r="I24" s="506" t="s">
        <v>3470</v>
      </c>
      <c r="J24" s="505"/>
      <c r="K24" s="800"/>
      <c r="L24" s="1749"/>
      <c r="M24" s="1742"/>
      <c r="N24" s="1742"/>
      <c r="O24" s="1748"/>
      <c r="P24" s="3632"/>
      <c r="Q24" s="1306"/>
      <c r="R24" s="1307"/>
      <c r="S24" s="1308"/>
      <c r="T24" s="1307"/>
      <c r="U24" s="1308"/>
      <c r="V24" s="1307"/>
      <c r="W24" s="1308"/>
      <c r="X24" s="1302"/>
      <c r="Y24" s="3632"/>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32"/>
      <c r="Q25" s="1306" t="str">
        <f t="shared" ref="Q25:Q46" si="8">B25</f>
        <v>楼层-1</v>
      </c>
      <c r="R25" s="1307" t="s">
        <v>8</v>
      </c>
      <c r="S25" s="1308">
        <f>F25</f>
        <v>100</v>
      </c>
      <c r="T25" s="1307" t="s">
        <v>8</v>
      </c>
      <c r="U25" s="1308">
        <f>H25</f>
        <v>100</v>
      </c>
      <c r="V25" s="1307" t="s">
        <v>8</v>
      </c>
      <c r="W25" s="1308">
        <f>J25</f>
        <v>100</v>
      </c>
      <c r="X25" s="1302"/>
      <c r="Y25" s="3632"/>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32"/>
      <c r="Q26" s="1306" t="str">
        <f t="shared" si="8"/>
        <v>朝向</v>
      </c>
      <c r="R26" s="1307" t="s">
        <v>8</v>
      </c>
      <c r="S26" s="1308">
        <f>F26</f>
        <v>100</v>
      </c>
      <c r="T26" s="1307" t="s">
        <v>8</v>
      </c>
      <c r="U26" s="1308">
        <f>H26</f>
        <v>100</v>
      </c>
      <c r="V26" s="1307" t="s">
        <v>8</v>
      </c>
      <c r="W26" s="1308">
        <f>J26</f>
        <v>100</v>
      </c>
      <c r="X26" s="1302"/>
      <c r="Y26" s="3632"/>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32"/>
      <c r="Q27" s="818" t="str">
        <f t="shared" si="8"/>
        <v>道路级别</v>
      </c>
      <c r="R27" s="1303" t="s">
        <v>8</v>
      </c>
      <c r="S27" s="1304">
        <f>F27</f>
        <v>100</v>
      </c>
      <c r="T27" s="1303" t="s">
        <v>8</v>
      </c>
      <c r="U27" s="1304">
        <f>H27</f>
        <v>100</v>
      </c>
      <c r="V27" s="1303" t="s">
        <v>8</v>
      </c>
      <c r="W27" s="1304">
        <f>J27</f>
        <v>100</v>
      </c>
      <c r="X27" s="1305"/>
      <c r="Y27" s="3632"/>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32"/>
      <c r="Q28" s="1306">
        <f t="shared" si="8"/>
        <v>111</v>
      </c>
      <c r="R28" s="1307" t="s">
        <v>8</v>
      </c>
      <c r="S28" s="1308">
        <f t="shared" ref="S28:S46" si="9">F28</f>
        <v>100</v>
      </c>
      <c r="T28" s="1307" t="s">
        <v>8</v>
      </c>
      <c r="U28" s="1308">
        <f t="shared" ref="U28:U46" si="10">H28</f>
        <v>100</v>
      </c>
      <c r="V28" s="1307" t="s">
        <v>8</v>
      </c>
      <c r="W28" s="1308">
        <f t="shared" ref="W28:W46" si="11">J28</f>
        <v>100</v>
      </c>
      <c r="X28" s="1302"/>
      <c r="Y28" s="3632"/>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32"/>
      <c r="Q29" s="1306">
        <f t="shared" si="8"/>
        <v>111</v>
      </c>
      <c r="R29" s="1307" t="s">
        <v>8</v>
      </c>
      <c r="S29" s="1308">
        <f t="shared" si="9"/>
        <v>100</v>
      </c>
      <c r="T29" s="1307" t="s">
        <v>8</v>
      </c>
      <c r="U29" s="1308">
        <f t="shared" si="10"/>
        <v>100</v>
      </c>
      <c r="V29" s="1307" t="s">
        <v>8</v>
      </c>
      <c r="W29" s="1308">
        <f t="shared" si="11"/>
        <v>100</v>
      </c>
      <c r="X29" s="1302"/>
      <c r="Y29" s="3632"/>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32"/>
      <c r="Q30" s="1306">
        <f t="shared" si="8"/>
        <v>111</v>
      </c>
      <c r="R30" s="1307" t="s">
        <v>8</v>
      </c>
      <c r="S30" s="1308">
        <f t="shared" si="9"/>
        <v>100</v>
      </c>
      <c r="T30" s="1307" t="s">
        <v>8</v>
      </c>
      <c r="U30" s="1308">
        <f t="shared" si="10"/>
        <v>100</v>
      </c>
      <c r="V30" s="1307" t="s">
        <v>8</v>
      </c>
      <c r="W30" s="1308">
        <f t="shared" si="11"/>
        <v>100</v>
      </c>
      <c r="X30" s="1302"/>
      <c r="Y30" s="3632"/>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32"/>
      <c r="Q31" s="1306">
        <f t="shared" si="8"/>
        <v>111</v>
      </c>
      <c r="R31" s="1307" t="s">
        <v>8</v>
      </c>
      <c r="S31" s="1308">
        <f t="shared" si="9"/>
        <v>100</v>
      </c>
      <c r="T31" s="1307" t="s">
        <v>8</v>
      </c>
      <c r="U31" s="1308">
        <f t="shared" si="10"/>
        <v>100</v>
      </c>
      <c r="V31" s="1307" t="s">
        <v>8</v>
      </c>
      <c r="W31" s="1308">
        <f t="shared" si="11"/>
        <v>100</v>
      </c>
      <c r="X31" s="1302"/>
      <c r="Y31" s="3632"/>
      <c r="Z31" s="1309">
        <f t="shared" si="12"/>
        <v>111</v>
      </c>
      <c r="AA31" s="1309">
        <f t="shared" si="3"/>
        <v>1</v>
      </c>
      <c r="AB31" s="1309">
        <f t="shared" si="4"/>
        <v>1</v>
      </c>
      <c r="AC31" s="1309">
        <f t="shared" si="5"/>
        <v>1</v>
      </c>
    </row>
    <row r="32" spans="1:29" ht="15">
      <c r="A32" s="2204" t="s">
        <v>2037</v>
      </c>
      <c r="B32" s="156" t="s">
        <v>672</v>
      </c>
      <c r="C32" s="804" t="s">
        <v>3475</v>
      </c>
      <c r="D32" s="546">
        <v>100</v>
      </c>
      <c r="E32" s="805" t="s">
        <v>3475</v>
      </c>
      <c r="F32" s="525">
        <f>SUMIF(100:100,E32,101:101)-SUMIF(100:100,C32,101:101)+100</f>
        <v>100</v>
      </c>
      <c r="G32" s="804" t="s">
        <v>3481</v>
      </c>
      <c r="H32" s="546">
        <f>SUMIF(100:100,G32,101:101)-SUMIF(100:100,C32,101:101)+100</f>
        <v>103</v>
      </c>
      <c r="I32" s="805" t="s">
        <v>3475</v>
      </c>
      <c r="J32" s="490">
        <f>SUMIF(100:100,I32,101:101)-SUMIF(100:100,C32,101:101)+100</f>
        <v>100</v>
      </c>
      <c r="K32" s="794">
        <v>3</v>
      </c>
      <c r="L32" s="1749"/>
      <c r="M32" s="1742"/>
      <c r="N32" s="1742"/>
      <c r="O32" s="1748"/>
      <c r="P32" s="3633" t="s">
        <v>499</v>
      </c>
      <c r="Q32" s="1306" t="str">
        <f t="shared" si="8"/>
        <v>建筑类型</v>
      </c>
      <c r="R32" s="1307" t="s">
        <v>8</v>
      </c>
      <c r="S32" s="1308">
        <f t="shared" si="9"/>
        <v>100</v>
      </c>
      <c r="T32" s="1307" t="s">
        <v>8</v>
      </c>
      <c r="U32" s="1308">
        <f t="shared" si="10"/>
        <v>103</v>
      </c>
      <c r="V32" s="1307" t="s">
        <v>8</v>
      </c>
      <c r="W32" s="1308">
        <f t="shared" si="11"/>
        <v>100</v>
      </c>
      <c r="X32" s="1302"/>
      <c r="Y32" s="3634"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34"/>
      <c r="Q33" s="819" t="str">
        <f t="shared" si="8"/>
        <v>项目建筑规模</v>
      </c>
      <c r="R33" s="1310" t="s">
        <v>8</v>
      </c>
      <c r="S33" s="1311">
        <f t="shared" si="9"/>
        <v>100</v>
      </c>
      <c r="T33" s="1310" t="s">
        <v>8</v>
      </c>
      <c r="U33" s="1311">
        <f t="shared" si="10"/>
        <v>100</v>
      </c>
      <c r="V33" s="1310" t="s">
        <v>8</v>
      </c>
      <c r="W33" s="1311">
        <f t="shared" si="11"/>
        <v>100</v>
      </c>
      <c r="X33" s="1312"/>
      <c r="Y33" s="3634"/>
      <c r="Z33" s="1313" t="str">
        <f t="shared" si="12"/>
        <v>项目建筑规模</v>
      </c>
      <c r="AA33" s="1309">
        <f t="shared" si="3"/>
        <v>1</v>
      </c>
      <c r="AB33" s="1309">
        <f t="shared" si="4"/>
        <v>1</v>
      </c>
      <c r="AC33" s="1309">
        <f t="shared" si="5"/>
        <v>1</v>
      </c>
    </row>
    <row r="34" spans="1:29" ht="15">
      <c r="A34" s="543"/>
      <c r="B34" s="477" t="s">
        <v>674</v>
      </c>
      <c r="C34" s="524" t="s">
        <v>3476</v>
      </c>
      <c r="D34" s="490">
        <v>100</v>
      </c>
      <c r="E34" s="807" t="s">
        <v>3476</v>
      </c>
      <c r="F34" s="525">
        <f>SUMIF(105:105,E34,106:106)-SUMIF(105:105,C34,106:106)+100</f>
        <v>100</v>
      </c>
      <c r="G34" s="524" t="s">
        <v>3476</v>
      </c>
      <c r="H34" s="490">
        <f>SUMIF(105:105,G34,106:106)-SUMIF(105:105,C34,106:106)+100</f>
        <v>100</v>
      </c>
      <c r="I34" s="807" t="s">
        <v>3476</v>
      </c>
      <c r="J34" s="490">
        <f>SUMIF(105:105,I34,106:106)-SUMIF(105:105,C34,106:106)+100</f>
        <v>100</v>
      </c>
      <c r="K34" s="794">
        <v>2</v>
      </c>
      <c r="L34" s="1749"/>
      <c r="M34" s="1742"/>
      <c r="N34" s="1742"/>
      <c r="O34" s="1748"/>
      <c r="P34" s="3634"/>
      <c r="Q34" s="1306" t="str">
        <f t="shared" si="8"/>
        <v>建筑结构</v>
      </c>
      <c r="R34" s="1307" t="s">
        <v>8</v>
      </c>
      <c r="S34" s="1308">
        <f t="shared" si="9"/>
        <v>100</v>
      </c>
      <c r="T34" s="1307" t="s">
        <v>8</v>
      </c>
      <c r="U34" s="1308">
        <f t="shared" si="10"/>
        <v>100</v>
      </c>
      <c r="V34" s="1307" t="s">
        <v>8</v>
      </c>
      <c r="W34" s="1308">
        <f t="shared" si="11"/>
        <v>100</v>
      </c>
      <c r="X34" s="1302"/>
      <c r="Y34" s="3634"/>
      <c r="Z34" s="1309" t="str">
        <f t="shared" si="12"/>
        <v>建筑结构</v>
      </c>
      <c r="AA34" s="1309">
        <f t="shared" si="3"/>
        <v>1</v>
      </c>
      <c r="AB34" s="1309">
        <f t="shared" si="4"/>
        <v>1</v>
      </c>
      <c r="AC34" s="1309">
        <f t="shared" si="5"/>
        <v>1</v>
      </c>
    </row>
    <row r="35" spans="1:29" ht="15">
      <c r="A35" s="543"/>
      <c r="B35" s="477" t="s">
        <v>675</v>
      </c>
      <c r="C35" s="548" t="s">
        <v>3477</v>
      </c>
      <c r="D35" s="490">
        <v>100</v>
      </c>
      <c r="E35" s="803" t="s">
        <v>3477</v>
      </c>
      <c r="F35" s="525">
        <f>SUMIF(107:107,E35,108:108)-SUMIF(107:107,C35,108:108)+100</f>
        <v>100</v>
      </c>
      <c r="G35" s="548" t="s">
        <v>3477</v>
      </c>
      <c r="H35" s="490">
        <f>SUMIF(107:107,G35,108:108)-SUMIF(107:107,C35,108:108)+100</f>
        <v>100</v>
      </c>
      <c r="I35" s="803" t="s">
        <v>3477</v>
      </c>
      <c r="J35" s="490">
        <f>SUMIF(107:107,I35,108:108)-SUMIF(107:107,C35,108:108)+100</f>
        <v>100</v>
      </c>
      <c r="K35" s="794">
        <v>2</v>
      </c>
      <c r="L35" s="1749"/>
      <c r="M35" s="1742"/>
      <c r="N35" s="1742"/>
      <c r="O35" s="1748"/>
      <c r="P35" s="3634"/>
      <c r="Q35" s="1306" t="str">
        <f t="shared" si="8"/>
        <v>建筑品质</v>
      </c>
      <c r="R35" s="1307" t="s">
        <v>8</v>
      </c>
      <c r="S35" s="1308">
        <f t="shared" si="9"/>
        <v>100</v>
      </c>
      <c r="T35" s="1307" t="s">
        <v>8</v>
      </c>
      <c r="U35" s="1308">
        <f t="shared" si="10"/>
        <v>100</v>
      </c>
      <c r="V35" s="1307" t="s">
        <v>8</v>
      </c>
      <c r="W35" s="1308">
        <f t="shared" si="11"/>
        <v>100</v>
      </c>
      <c r="X35" s="1302"/>
      <c r="Y35" s="3634"/>
      <c r="Z35" s="1309" t="str">
        <f t="shared" si="12"/>
        <v>建筑品质</v>
      </c>
      <c r="AA35" s="1309">
        <f t="shared" si="3"/>
        <v>1</v>
      </c>
      <c r="AB35" s="1309">
        <f t="shared" si="4"/>
        <v>1</v>
      </c>
      <c r="AC35" s="1309">
        <f t="shared" si="5"/>
        <v>1</v>
      </c>
    </row>
    <row r="36" spans="1:29" ht="15">
      <c r="A36" s="543"/>
      <c r="B36" s="477" t="s">
        <v>676</v>
      </c>
      <c r="C36" s="548" t="s">
        <v>3478</v>
      </c>
      <c r="D36" s="490">
        <v>100</v>
      </c>
      <c r="E36" s="803" t="s">
        <v>3478</v>
      </c>
      <c r="F36" s="525">
        <f>SUMIF(109:109,E36,110:110)-SUMIF(109:109,C36,110:110)+100</f>
        <v>100</v>
      </c>
      <c r="G36" s="548" t="s">
        <v>3478</v>
      </c>
      <c r="H36" s="490">
        <f>SUMIF(109:109,G36,110:110)-SUMIF(109:109,C36,110:110)+100</f>
        <v>100</v>
      </c>
      <c r="I36" s="803" t="s">
        <v>3478</v>
      </c>
      <c r="J36" s="490">
        <f>SUMIF(109:109,I36,110:110)-SUMIF(109:109,C36,110:110)+100</f>
        <v>100</v>
      </c>
      <c r="K36" s="794">
        <v>2</v>
      </c>
      <c r="L36" s="1749"/>
      <c r="M36" s="1742"/>
      <c r="N36" s="1742"/>
      <c r="O36" s="1748"/>
      <c r="P36" s="3634"/>
      <c r="Q36" s="1306" t="str">
        <f t="shared" si="8"/>
        <v>公共部分装修</v>
      </c>
      <c r="R36" s="1307" t="s">
        <v>8</v>
      </c>
      <c r="S36" s="1308">
        <f t="shared" si="9"/>
        <v>100</v>
      </c>
      <c r="T36" s="1307" t="s">
        <v>8</v>
      </c>
      <c r="U36" s="1308">
        <f t="shared" si="10"/>
        <v>100</v>
      </c>
      <c r="V36" s="1307" t="s">
        <v>8</v>
      </c>
      <c r="W36" s="1308">
        <f t="shared" si="11"/>
        <v>100</v>
      </c>
      <c r="X36" s="1302"/>
      <c r="Y36" s="3634"/>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3"/>
      <c r="M37" s="1640"/>
      <c r="N37" s="1640"/>
      <c r="O37" s="1744"/>
      <c r="P37" s="3634"/>
      <c r="Q37" s="818" t="str">
        <f t="shared" si="8"/>
        <v>成新度</v>
      </c>
      <c r="R37" s="1303" t="s">
        <v>8</v>
      </c>
      <c r="S37" s="1304">
        <f t="shared" si="9"/>
        <v>100</v>
      </c>
      <c r="T37" s="1303" t="s">
        <v>8</v>
      </c>
      <c r="U37" s="1304">
        <f t="shared" si="10"/>
        <v>100</v>
      </c>
      <c r="V37" s="1303" t="s">
        <v>8</v>
      </c>
      <c r="W37" s="1304">
        <f t="shared" si="11"/>
        <v>100</v>
      </c>
      <c r="X37" s="1305"/>
      <c r="Y37" s="3634"/>
      <c r="Z37" s="997" t="str">
        <f t="shared" si="12"/>
        <v>成新度</v>
      </c>
      <c r="AA37" s="997">
        <f t="shared" si="3"/>
        <v>1</v>
      </c>
      <c r="AB37" s="997">
        <f t="shared" si="4"/>
        <v>1</v>
      </c>
      <c r="AC37" s="997">
        <f t="shared" si="5"/>
        <v>1</v>
      </c>
    </row>
    <row r="38" spans="1:29" ht="15">
      <c r="A38" s="543"/>
      <c r="B38" s="477" t="s">
        <v>678</v>
      </c>
      <c r="C38" s="548" t="s">
        <v>3479</v>
      </c>
      <c r="D38" s="490">
        <v>100</v>
      </c>
      <c r="E38" s="803" t="s">
        <v>3479</v>
      </c>
      <c r="F38" s="525">
        <f>SUMIF(114:114,E38,115:115)-SUMIF(114:114,C38,115:115)+100</f>
        <v>100</v>
      </c>
      <c r="G38" s="548" t="s">
        <v>3479</v>
      </c>
      <c r="H38" s="490">
        <f>SUMIF(114:114,G38,115:115)-SUMIF(114:114,C38,115:115)+100</f>
        <v>100</v>
      </c>
      <c r="I38" s="803" t="s">
        <v>3479</v>
      </c>
      <c r="J38" s="490">
        <f>SUMIF(114:114,I38,115:115)-SUMIF(114:114,C38,115:115)+100</f>
        <v>100</v>
      </c>
      <c r="K38" s="794">
        <v>2</v>
      </c>
      <c r="L38" s="1749"/>
      <c r="M38" s="1742"/>
      <c r="N38" s="1742"/>
      <c r="O38" s="1748"/>
      <c r="P38" s="3634" t="s">
        <v>499</v>
      </c>
      <c r="Q38" s="1306" t="str">
        <f t="shared" si="8"/>
        <v>物业管理</v>
      </c>
      <c r="R38" s="1307" t="s">
        <v>8</v>
      </c>
      <c r="S38" s="1308">
        <f t="shared" si="9"/>
        <v>100</v>
      </c>
      <c r="T38" s="1307" t="s">
        <v>8</v>
      </c>
      <c r="U38" s="1308">
        <f t="shared" si="10"/>
        <v>100</v>
      </c>
      <c r="V38" s="1307" t="s">
        <v>8</v>
      </c>
      <c r="W38" s="1308">
        <f t="shared" si="11"/>
        <v>100</v>
      </c>
      <c r="X38" s="1302"/>
      <c r="Y38" s="3634" t="s">
        <v>499</v>
      </c>
      <c r="Z38" s="1309" t="str">
        <f t="shared" si="12"/>
        <v>物业管理</v>
      </c>
      <c r="AA38" s="1309">
        <f t="shared" si="3"/>
        <v>1</v>
      </c>
      <c r="AB38" s="1309">
        <f t="shared" si="4"/>
        <v>1</v>
      </c>
      <c r="AC38" s="1309">
        <f t="shared" si="5"/>
        <v>1</v>
      </c>
    </row>
    <row r="39" spans="1:29" ht="15">
      <c r="A39" s="543"/>
      <c r="B39" s="1554" t="s">
        <v>1847</v>
      </c>
      <c r="C39" s="548" t="s">
        <v>3468</v>
      </c>
      <c r="D39" s="490">
        <v>100</v>
      </c>
      <c r="E39" s="803" t="s">
        <v>3468</v>
      </c>
      <c r="F39" s="525">
        <f>SUMIF(116:116,E39,117:117)-SUMIF(116:116,C39,117:117)+100</f>
        <v>100</v>
      </c>
      <c r="G39" s="548" t="s">
        <v>3468</v>
      </c>
      <c r="H39" s="490">
        <f>SUMIF(116:116,G39,117:117)-SUMIF(116:116,C39,117:117)+100</f>
        <v>100</v>
      </c>
      <c r="I39" s="803" t="s">
        <v>3468</v>
      </c>
      <c r="J39" s="490">
        <f>SUMIF(116:116,I39,117:117)-SUMIF(116:116,C39,117:117)+100</f>
        <v>100</v>
      </c>
      <c r="K39" s="794">
        <v>1</v>
      </c>
      <c r="L39" s="1749"/>
      <c r="M39" s="1742"/>
      <c r="N39" s="1742"/>
      <c r="O39" s="1748"/>
      <c r="P39" s="3634"/>
      <c r="Q39" s="1306" t="str">
        <f t="shared" si="8"/>
        <v>市政基础设施</v>
      </c>
      <c r="R39" s="1307" t="s">
        <v>8</v>
      </c>
      <c r="S39" s="1308">
        <f t="shared" si="9"/>
        <v>100</v>
      </c>
      <c r="T39" s="1307" t="s">
        <v>8</v>
      </c>
      <c r="U39" s="1308">
        <f t="shared" si="10"/>
        <v>100</v>
      </c>
      <c r="V39" s="1307" t="s">
        <v>8</v>
      </c>
      <c r="W39" s="1308">
        <f t="shared" si="11"/>
        <v>100</v>
      </c>
      <c r="X39" s="1302"/>
      <c r="Y39" s="3634"/>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34"/>
      <c r="Q40" s="1306" t="str">
        <f t="shared" si="8"/>
        <v>房型</v>
      </c>
      <c r="R40" s="1307" t="s">
        <v>8</v>
      </c>
      <c r="S40" s="1308">
        <f t="shared" si="9"/>
        <v>100</v>
      </c>
      <c r="T40" s="1307" t="s">
        <v>8</v>
      </c>
      <c r="U40" s="1308">
        <f t="shared" si="10"/>
        <v>100</v>
      </c>
      <c r="V40" s="1307" t="s">
        <v>8</v>
      </c>
      <c r="W40" s="1308">
        <f t="shared" si="11"/>
        <v>100</v>
      </c>
      <c r="X40" s="1302"/>
      <c r="Y40" s="3634"/>
      <c r="Z40" s="1309" t="str">
        <f t="shared" si="12"/>
        <v>房型</v>
      </c>
      <c r="AA40" s="1309">
        <f t="shared" si="3"/>
        <v>1</v>
      </c>
      <c r="AB40" s="1309">
        <f t="shared" si="4"/>
        <v>1</v>
      </c>
      <c r="AC40" s="1309">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34"/>
      <c r="Q41" s="819" t="str">
        <f t="shared" si="8"/>
        <v>单套/主力户型建筑面积</v>
      </c>
      <c r="R41" s="1310" t="s">
        <v>8</v>
      </c>
      <c r="S41" s="1311">
        <f t="shared" si="9"/>
        <v>100</v>
      </c>
      <c r="T41" s="1310" t="s">
        <v>8</v>
      </c>
      <c r="U41" s="1311">
        <f t="shared" si="10"/>
        <v>100</v>
      </c>
      <c r="V41" s="1310" t="s">
        <v>8</v>
      </c>
      <c r="W41" s="1311">
        <f t="shared" si="11"/>
        <v>100</v>
      </c>
      <c r="X41" s="1312"/>
      <c r="Y41" s="3634"/>
      <c r="Z41" s="1313" t="str">
        <f t="shared" si="12"/>
        <v>单套/主力户型建筑面积</v>
      </c>
      <c r="AA41" s="1309">
        <f t="shared" si="3"/>
        <v>1</v>
      </c>
      <c r="AB41" s="1309">
        <f t="shared" si="4"/>
        <v>1</v>
      </c>
      <c r="AC41" s="1309">
        <f t="shared" si="5"/>
        <v>1</v>
      </c>
    </row>
    <row r="42" spans="1:29" ht="15">
      <c r="A42" s="543"/>
      <c r="B42" s="477" t="s">
        <v>681</v>
      </c>
      <c r="C42" s="548" t="s">
        <v>3480</v>
      </c>
      <c r="D42" s="490">
        <v>100</v>
      </c>
      <c r="E42" s="803" t="s">
        <v>3480</v>
      </c>
      <c r="F42" s="525">
        <f>SUMIF(122:122,E42,123:123)-SUMIF(122:122,C42,123:123)+100</f>
        <v>100</v>
      </c>
      <c r="G42" s="548" t="s">
        <v>3480</v>
      </c>
      <c r="H42" s="490">
        <f>SUMIF(122:122,G42,123:123)-SUMIF(122:122,C42,123:123)+100</f>
        <v>100</v>
      </c>
      <c r="I42" s="803" t="s">
        <v>3480</v>
      </c>
      <c r="J42" s="490">
        <f>SUMIF(122:122,I42,123:123)-SUMIF(122:122,C42,123:123)+100</f>
        <v>100</v>
      </c>
      <c r="K42" s="794">
        <v>2</v>
      </c>
      <c r="L42" s="1749"/>
      <c r="M42" s="1742"/>
      <c r="N42" s="1742"/>
      <c r="O42" s="1748"/>
      <c r="P42" s="3634"/>
      <c r="Q42" s="1306" t="str">
        <f t="shared" si="8"/>
        <v>内部装修</v>
      </c>
      <c r="R42" s="1307" t="s">
        <v>8</v>
      </c>
      <c r="S42" s="1308">
        <f t="shared" si="9"/>
        <v>100</v>
      </c>
      <c r="T42" s="1307" t="s">
        <v>8</v>
      </c>
      <c r="U42" s="1308">
        <f t="shared" si="10"/>
        <v>100</v>
      </c>
      <c r="V42" s="1307" t="s">
        <v>8</v>
      </c>
      <c r="W42" s="1308">
        <f t="shared" si="11"/>
        <v>100</v>
      </c>
      <c r="X42" s="1302"/>
      <c r="Y42" s="3634"/>
      <c r="Z42" s="1309" t="str">
        <f t="shared" si="12"/>
        <v>内部装修</v>
      </c>
      <c r="AA42" s="1309">
        <f t="shared" si="3"/>
        <v>1</v>
      </c>
      <c r="AB42" s="1309">
        <f t="shared" si="4"/>
        <v>1</v>
      </c>
      <c r="AC42" s="1309">
        <f t="shared" si="5"/>
        <v>1</v>
      </c>
    </row>
    <row r="43" spans="1:29" ht="27">
      <c r="A43" s="543"/>
      <c r="B43" s="477" t="s">
        <v>682</v>
      </c>
      <c r="C43" s="548" t="s">
        <v>3467</v>
      </c>
      <c r="D43" s="490">
        <v>100</v>
      </c>
      <c r="E43" s="803" t="s">
        <v>3467</v>
      </c>
      <c r="F43" s="525">
        <f>SUMIF(124:124,E43,125:125)-SUMIF(124:124,C43,125:125)+100</f>
        <v>100</v>
      </c>
      <c r="G43" s="548" t="s">
        <v>3467</v>
      </c>
      <c r="H43" s="490">
        <f>SUMIF(124:124,G43,125:125)-SUMIF(124:124,C43,125:125)+100</f>
        <v>100</v>
      </c>
      <c r="I43" s="803" t="s">
        <v>3467</v>
      </c>
      <c r="J43" s="490">
        <f>SUMIF(124:124,I43,125:125)-SUMIF(124:124,C43,125:125)+100</f>
        <v>100</v>
      </c>
      <c r="K43" s="794">
        <v>2</v>
      </c>
      <c r="L43" s="1749"/>
      <c r="M43" s="1742"/>
      <c r="N43" s="1742"/>
      <c r="O43" s="1748"/>
      <c r="P43" s="3634"/>
      <c r="Q43" s="1306" t="str">
        <f t="shared" si="8"/>
        <v>内部装修维护情况</v>
      </c>
      <c r="R43" s="1307" t="s">
        <v>8</v>
      </c>
      <c r="S43" s="1308">
        <f t="shared" si="9"/>
        <v>100</v>
      </c>
      <c r="T43" s="1307" t="s">
        <v>8</v>
      </c>
      <c r="U43" s="1308">
        <f t="shared" si="10"/>
        <v>100</v>
      </c>
      <c r="V43" s="1307" t="s">
        <v>8</v>
      </c>
      <c r="W43" s="1308">
        <f t="shared" si="11"/>
        <v>100</v>
      </c>
      <c r="X43" s="1302"/>
      <c r="Y43" s="3634"/>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34"/>
      <c r="Q44" s="818">
        <f t="shared" si="8"/>
        <v>111</v>
      </c>
      <c r="R44" s="1303" t="s">
        <v>8</v>
      </c>
      <c r="S44" s="1304">
        <f t="shared" si="9"/>
        <v>100</v>
      </c>
      <c r="T44" s="1303" t="s">
        <v>8</v>
      </c>
      <c r="U44" s="1304">
        <f t="shared" si="10"/>
        <v>100</v>
      </c>
      <c r="V44" s="1303" t="s">
        <v>8</v>
      </c>
      <c r="W44" s="1304">
        <f t="shared" si="11"/>
        <v>100</v>
      </c>
      <c r="X44" s="1305"/>
      <c r="Y44" s="3634"/>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34"/>
      <c r="Q45" s="1306">
        <f t="shared" si="8"/>
        <v>111</v>
      </c>
      <c r="R45" s="1307" t="s">
        <v>8</v>
      </c>
      <c r="S45" s="1308">
        <f t="shared" si="9"/>
        <v>100</v>
      </c>
      <c r="T45" s="1307" t="s">
        <v>8</v>
      </c>
      <c r="U45" s="1308">
        <f t="shared" si="10"/>
        <v>100</v>
      </c>
      <c r="V45" s="1307" t="s">
        <v>8</v>
      </c>
      <c r="W45" s="1308">
        <f t="shared" si="11"/>
        <v>100</v>
      </c>
      <c r="X45" s="1302"/>
      <c r="Y45" s="3634"/>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4"/>
      <c r="Q46" s="1306">
        <f t="shared" si="8"/>
        <v>111</v>
      </c>
      <c r="R46" s="1307" t="s">
        <v>7</v>
      </c>
      <c r="S46" s="1308">
        <f t="shared" si="9"/>
        <v>100</v>
      </c>
      <c r="T46" s="1307" t="s">
        <v>7</v>
      </c>
      <c r="U46" s="1308">
        <f t="shared" si="10"/>
        <v>100</v>
      </c>
      <c r="V46" s="1307" t="s">
        <v>7</v>
      </c>
      <c r="W46" s="1308">
        <f t="shared" si="11"/>
        <v>100</v>
      </c>
      <c r="X46" s="1302"/>
      <c r="Y46" s="3724"/>
      <c r="Z46" s="1309">
        <f t="shared" si="12"/>
        <v>111</v>
      </c>
      <c r="AA46" s="1309">
        <f t="shared" si="3"/>
        <v>1</v>
      </c>
      <c r="AB46" s="1309">
        <f t="shared" si="4"/>
        <v>1</v>
      </c>
      <c r="AC46" s="1309">
        <f t="shared" si="5"/>
        <v>1</v>
      </c>
    </row>
    <row r="47" spans="1:29" ht="15">
      <c r="A47" s="556" t="s">
        <v>683</v>
      </c>
      <c r="B47" s="812"/>
      <c r="C47" s="2081" t="s">
        <v>6</v>
      </c>
      <c r="D47" s="559"/>
      <c r="E47" s="560">
        <v>37029</v>
      </c>
      <c r="F47" s="561"/>
      <c r="G47" s="562">
        <v>31060</v>
      </c>
      <c r="H47" s="563"/>
      <c r="I47" s="560">
        <v>32332</v>
      </c>
      <c r="J47" s="563"/>
      <c r="K47" s="1331"/>
      <c r="L47" s="1751"/>
      <c r="M47" s="1742"/>
      <c r="N47" s="1742"/>
      <c r="O47" s="1742"/>
      <c r="P47" s="3598" t="str">
        <f>A47</f>
        <v>成交单价（元/平方米）</v>
      </c>
      <c r="Q47" s="3598"/>
      <c r="R47" s="3599">
        <f>E47</f>
        <v>37029</v>
      </c>
      <c r="S47" s="3599"/>
      <c r="T47" s="3599">
        <f>G47</f>
        <v>31060</v>
      </c>
      <c r="U47" s="3599"/>
      <c r="V47" s="3599">
        <f>I47</f>
        <v>32332</v>
      </c>
      <c r="W47" s="3599"/>
      <c r="X47" s="799"/>
      <c r="Y47" s="1314"/>
      <c r="Z47" s="799"/>
      <c r="AA47" s="799"/>
      <c r="AB47" s="799"/>
      <c r="AC47" s="799"/>
    </row>
    <row r="48" spans="1:29" ht="15.75" thickBot="1">
      <c r="A48" s="564" t="s">
        <v>2042</v>
      </c>
      <c r="B48" s="813"/>
      <c r="C48" s="2082">
        <f>R49</f>
        <v>32706</v>
      </c>
      <c r="D48" s="2550" t="s">
        <v>2250</v>
      </c>
      <c r="E48" s="2083">
        <f>R48</f>
        <v>35950</v>
      </c>
      <c r="F48" s="2551"/>
      <c r="G48" s="2082">
        <f>T48</f>
        <v>30460</v>
      </c>
      <c r="H48" s="2551"/>
      <c r="I48" s="2083">
        <f>V48</f>
        <v>31707</v>
      </c>
      <c r="J48" s="2551"/>
      <c r="K48" s="2558">
        <f>F48+H48+J48</f>
        <v>0</v>
      </c>
      <c r="L48" s="1751"/>
      <c r="M48" s="1742"/>
      <c r="N48" s="1742"/>
      <c r="O48" s="1742"/>
      <c r="P48" s="3598" t="str">
        <f>A48</f>
        <v>比较价格（元/平方米）</v>
      </c>
      <c r="Q48" s="3598"/>
      <c r="R48" s="3599">
        <f>IF(F1="售价",ROUND(PRODUCT(R47,AA7:AA46),0),ROUND(PRODUCT(R47,AA7:AA46),1))</f>
        <v>35950</v>
      </c>
      <c r="S48" s="3599"/>
      <c r="T48" s="3599">
        <f>IF(F1="售价",ROUND(PRODUCT(T47,AB7:AB46),0),ROUND(PRODUCT(T47,AB7:AB46),1))</f>
        <v>30460</v>
      </c>
      <c r="U48" s="3599"/>
      <c r="V48" s="3599">
        <f>IF(F1="售价",ROUND(PRODUCT(V47,AC7:AC46),0),ROUND(PRODUCT(V47,AC7:AC46),1))</f>
        <v>31707</v>
      </c>
      <c r="W48" s="3599"/>
      <c r="X48" s="799"/>
      <c r="Y48" s="799"/>
      <c r="Z48" s="799"/>
      <c r="AA48" s="799"/>
      <c r="AB48" s="799"/>
      <c r="AC48" s="799"/>
    </row>
    <row r="49" spans="1:29" ht="15.75" thickBot="1">
      <c r="A49" s="568" t="s">
        <v>2187</v>
      </c>
      <c r="B49" s="569"/>
      <c r="C49" s="469">
        <f>R49</f>
        <v>32706</v>
      </c>
      <c r="D49" s="469"/>
      <c r="E49" s="469"/>
      <c r="F49" s="469"/>
      <c r="G49" s="469"/>
      <c r="H49" s="469"/>
      <c r="I49" s="469"/>
      <c r="J49" s="469"/>
      <c r="K49" s="1332"/>
      <c r="L49" s="1751"/>
      <c r="M49" s="1742"/>
      <c r="N49" s="1742"/>
      <c r="O49" s="1742"/>
      <c r="P49" s="3635" t="str">
        <f>A49</f>
        <v>估价对象XX用房的比较价格（楼面单价，元/平方米）</v>
      </c>
      <c r="Q49" s="3636"/>
      <c r="R49" s="3723">
        <f>IF(F1="售价",ROUND(IF(D48="简单平均",AVERAGE(R48:V48),R48*F48+T48*H48+V48*J48),0),ROUND(IF(D48="简单平均",AVERAGE(R48:V48),R48*F48+T48*H48+V48*J48),1))</f>
        <v>32706</v>
      </c>
      <c r="S49" s="3723"/>
      <c r="T49" s="3723"/>
      <c r="U49" s="3723"/>
      <c r="V49" s="3723"/>
      <c r="W49" s="3723"/>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f>IF(E47&lt;E48,E48/E47-1,E47/E48-1)</f>
        <v>3.0013908205841489E-2</v>
      </c>
      <c r="F52" s="574" t="str">
        <f>IF(OR(E52&gt;=0.3,E52&lt;=-0.3),"超过30%","")</f>
        <v/>
      </c>
      <c r="G52" s="573">
        <f>IF(G47&lt;G48,G48/G47-1,G47/G48-1)</f>
        <v>1.9697964543663904E-2</v>
      </c>
      <c r="H52" s="574" t="str">
        <f>IF(OR(G52&gt;=0.3,G52&lt;=-0.3),"超过30%","")</f>
        <v/>
      </c>
      <c r="I52" s="573">
        <f>IF(I47&lt;I48,I48/I47-1,I47/I48-1)</f>
        <v>1.9711735578894274E-2</v>
      </c>
      <c r="J52" s="574" t="str">
        <f>IF(OR(I52&gt;=0.3,I52&lt;=-0.3),"超过30%","")</f>
        <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f>IF(E48&lt;G48,G48/E48-1,E48/G48-1)</f>
        <v>0.18023637557452399</v>
      </c>
      <c r="F53" s="574" t="str">
        <f>IF(OR(E53&gt;=0.2,E53&lt;=-0.2),"超过20%","")</f>
        <v/>
      </c>
      <c r="G53" s="573">
        <f>IF(G48&lt;I48,I48/G48-1,G48/I48-1)</f>
        <v>4.0938936309914631E-2</v>
      </c>
      <c r="H53" s="574" t="str">
        <f>IF(OR(G53&gt;=0.2,G53&lt;=-0.2),"超过20%","")</f>
        <v/>
      </c>
      <c r="I53" s="573">
        <f>IF(I48&lt;E48,E48/I48-1,I48/E48-1)</f>
        <v>0.13381903049799737</v>
      </c>
      <c r="J53" s="574" t="str">
        <f>IF(OR(I53&gt;=0.2,I53&lt;=-0.2),"超过20%","")</f>
        <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t="s">
        <v>3482</v>
      </c>
      <c r="D100" s="547" t="s">
        <v>3481</v>
      </c>
      <c r="E100" s="547" t="s">
        <v>3475</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t="s">
        <v>3476</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19" t="s">
        <v>3483</v>
      </c>
      <c r="D107" s="3419" t="s">
        <v>3484</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21" t="s">
        <v>3485</v>
      </c>
      <c r="D109" s="3421" t="s">
        <v>3486</v>
      </c>
      <c r="E109" s="3421" t="s">
        <v>3487</v>
      </c>
      <c r="F109" s="3419" t="s">
        <v>3488</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21" t="s">
        <v>3489</v>
      </c>
      <c r="D114" s="3421" t="s">
        <v>3490</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21" t="s">
        <v>3485</v>
      </c>
      <c r="D122" s="3421" t="s">
        <v>3486</v>
      </c>
      <c r="E122" s="3421" t="s">
        <v>3487</v>
      </c>
      <c r="F122" s="3419" t="s">
        <v>3488</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4" t="s">
        <v>471</v>
      </c>
      <c r="D4" s="3605"/>
      <c r="E4" s="3639" t="s">
        <v>472</v>
      </c>
      <c r="F4" s="3640"/>
      <c r="G4" s="3604" t="s">
        <v>473</v>
      </c>
      <c r="H4" s="3605"/>
      <c r="I4" s="3604" t="s">
        <v>474</v>
      </c>
      <c r="J4" s="3605"/>
      <c r="K4" s="465" t="s">
        <v>475</v>
      </c>
      <c r="L4" s="1741"/>
      <c r="M4" s="1742"/>
      <c r="N4" s="1742"/>
      <c r="O4" s="1742"/>
      <c r="P4" s="3606" t="s">
        <v>476</v>
      </c>
      <c r="Q4" s="3607"/>
      <c r="R4" s="3612" t="s">
        <v>472</v>
      </c>
      <c r="S4" s="3613"/>
      <c r="T4" s="3612" t="s">
        <v>473</v>
      </c>
      <c r="U4" s="3613"/>
      <c r="V4" s="3599" t="s">
        <v>474</v>
      </c>
      <c r="W4" s="3599"/>
      <c r="X4" s="1302"/>
      <c r="Y4" s="3612" t="s">
        <v>476</v>
      </c>
      <c r="Z4" s="3613"/>
      <c r="AA4" s="3601" t="s">
        <v>472</v>
      </c>
      <c r="AB4" s="3599" t="s">
        <v>473</v>
      </c>
      <c r="AC4" s="3601" t="s">
        <v>474</v>
      </c>
    </row>
    <row r="5" spans="1:29" ht="15">
      <c r="A5" s="466"/>
      <c r="B5" s="467"/>
      <c r="C5" s="3620" t="s">
        <v>2181</v>
      </c>
      <c r="D5" s="3621"/>
      <c r="E5" s="3641" t="s">
        <v>2182</v>
      </c>
      <c r="F5" s="3642"/>
      <c r="G5" s="3620" t="s">
        <v>2183</v>
      </c>
      <c r="H5" s="3621"/>
      <c r="I5" s="3620" t="s">
        <v>2184</v>
      </c>
      <c r="J5" s="3621"/>
      <c r="K5" s="465"/>
      <c r="L5" s="1741"/>
      <c r="M5" s="1742"/>
      <c r="N5" s="1742"/>
      <c r="O5" s="1742"/>
      <c r="P5" s="3608"/>
      <c r="Q5" s="3609"/>
      <c r="R5" s="3614"/>
      <c r="S5" s="3615"/>
      <c r="T5" s="3614"/>
      <c r="U5" s="3615"/>
      <c r="V5" s="3599"/>
      <c r="W5" s="3599"/>
      <c r="X5" s="1302"/>
      <c r="Y5" s="3614"/>
      <c r="Z5" s="3615"/>
      <c r="AA5" s="3602"/>
      <c r="AB5" s="3599"/>
      <c r="AC5" s="3602"/>
    </row>
    <row r="6" spans="1:29" ht="15.75" thickBot="1">
      <c r="A6" s="468"/>
      <c r="B6" s="469"/>
      <c r="C6" s="3618" t="s">
        <v>2185</v>
      </c>
      <c r="D6" s="3619"/>
      <c r="E6" s="3637" t="s">
        <v>2185</v>
      </c>
      <c r="F6" s="3638"/>
      <c r="G6" s="3618" t="s">
        <v>2185</v>
      </c>
      <c r="H6" s="3619"/>
      <c r="I6" s="3618" t="s">
        <v>2185</v>
      </c>
      <c r="J6" s="3619"/>
      <c r="K6" s="465" t="s">
        <v>477</v>
      </c>
      <c r="L6" s="1741"/>
      <c r="M6" s="1742"/>
      <c r="N6" s="1742"/>
      <c r="O6" s="1742"/>
      <c r="P6" s="3610"/>
      <c r="Q6" s="3611"/>
      <c r="R6" s="3614"/>
      <c r="S6" s="3615"/>
      <c r="T6" s="3616"/>
      <c r="U6" s="3617"/>
      <c r="V6" s="3599"/>
      <c r="W6" s="3599"/>
      <c r="X6" s="1302"/>
      <c r="Y6" s="3616"/>
      <c r="Z6" s="3617"/>
      <c r="AA6" s="3603"/>
      <c r="AB6" s="3599"/>
      <c r="AC6" s="3603"/>
    </row>
    <row r="7" spans="1:29" s="1060" customFormat="1" ht="15.75" thickBot="1">
      <c r="A7" s="2209"/>
      <c r="B7" s="2216" t="s">
        <v>478</v>
      </c>
      <c r="C7" s="470">
        <f>'数据-取费表'!B2</f>
        <v>45908</v>
      </c>
      <c r="D7" s="471">
        <v>100</v>
      </c>
      <c r="E7" s="472"/>
      <c r="F7" s="473">
        <f>SUMIF(58:58,YEAR(E7)&amp;"-"&amp;MONTH(E7),59:59)</f>
        <v>0</v>
      </c>
      <c r="G7" s="472"/>
      <c r="H7" s="471">
        <f>SUMIF(58:58,YEAR(G7)&amp;"-"&amp;MONTH(G7),59:59)</f>
        <v>0</v>
      </c>
      <c r="I7" s="472"/>
      <c r="J7" s="471">
        <f>SUMIF(58:58,YEAR(I7)&amp;"-"&amp;MONTH(I7),59:59)</f>
        <v>0</v>
      </c>
      <c r="K7" s="88"/>
      <c r="L7" s="1743"/>
      <c r="M7" s="1640"/>
      <c r="N7" s="1640"/>
      <c r="O7" s="1640"/>
      <c r="P7" s="3628" t="s">
        <v>479</v>
      </c>
      <c r="Q7" s="3630"/>
      <c r="R7" s="1303" t="s">
        <v>5</v>
      </c>
      <c r="S7" s="1304">
        <f t="shared" ref="S7:S15" si="0">F7</f>
        <v>0</v>
      </c>
      <c r="T7" s="1303" t="s">
        <v>5</v>
      </c>
      <c r="U7" s="1304">
        <f t="shared" ref="U7:U15" si="1">H7</f>
        <v>0</v>
      </c>
      <c r="V7" s="1303" t="s">
        <v>5</v>
      </c>
      <c r="W7" s="1304">
        <f t="shared" ref="W7:W15" si="2">J7</f>
        <v>0</v>
      </c>
      <c r="X7" s="1305"/>
      <c r="Y7" s="3628" t="s">
        <v>479</v>
      </c>
      <c r="Z7" s="3629"/>
      <c r="AA7" s="997" t="e">
        <f>D7/F7</f>
        <v>#DIV/0!</v>
      </c>
      <c r="AB7" s="997" t="e">
        <f>D7/H7</f>
        <v>#DIV/0!</v>
      </c>
      <c r="AC7" s="997" t="e">
        <f>D7/J7</f>
        <v>#DIV/0!</v>
      </c>
    </row>
    <row r="8" spans="1:29" s="1060"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28" t="s">
        <v>482</v>
      </c>
      <c r="Q8" s="3629"/>
      <c r="R8" s="1303" t="s">
        <v>5</v>
      </c>
      <c r="S8" s="1304">
        <f t="shared" si="0"/>
        <v>0</v>
      </c>
      <c r="T8" s="1303" t="s">
        <v>5</v>
      </c>
      <c r="U8" s="1304">
        <f t="shared" si="1"/>
        <v>0</v>
      </c>
      <c r="V8" s="1303" t="s">
        <v>5</v>
      </c>
      <c r="W8" s="1304">
        <f t="shared" si="2"/>
        <v>0</v>
      </c>
      <c r="X8" s="1305"/>
      <c r="Y8" s="3628" t="s">
        <v>482</v>
      </c>
      <c r="Z8" s="3629"/>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98" t="s">
        <v>484</v>
      </c>
      <c r="Q9" s="818" t="str">
        <f t="shared" ref="Q9:Q15" si="6">B9</f>
        <v>用途</v>
      </c>
      <c r="R9" s="1303" t="s">
        <v>5</v>
      </c>
      <c r="S9" s="1304">
        <f t="shared" si="0"/>
        <v>100</v>
      </c>
      <c r="T9" s="1303" t="s">
        <v>5</v>
      </c>
      <c r="U9" s="1304">
        <f t="shared" si="1"/>
        <v>100</v>
      </c>
      <c r="V9" s="1303" t="s">
        <v>5</v>
      </c>
      <c r="W9" s="1304">
        <f t="shared" si="2"/>
        <v>100</v>
      </c>
      <c r="X9" s="1305"/>
      <c r="Y9" s="3542" t="s">
        <v>485</v>
      </c>
      <c r="Z9" s="997" t="str">
        <f t="shared" ref="Z9:Z15" si="7">Q9</f>
        <v>用途</v>
      </c>
      <c r="AA9" s="997">
        <f t="shared" si="3"/>
        <v>1</v>
      </c>
      <c r="AB9" s="997">
        <f t="shared" si="4"/>
        <v>1</v>
      </c>
      <c r="AC9" s="997">
        <f t="shared" si="5"/>
        <v>1</v>
      </c>
    </row>
    <row r="10" spans="1:29" s="1133" customFormat="1" ht="27">
      <c r="A10" s="2212"/>
      <c r="B10" s="2217"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98"/>
      <c r="Q11" s="818" t="str">
        <f t="shared" si="6"/>
        <v>容积率</v>
      </c>
      <c r="R11" s="1303" t="s">
        <v>5</v>
      </c>
      <c r="S11" s="1304" t="e">
        <f t="shared" si="0"/>
        <v>#N/A</v>
      </c>
      <c r="T11" s="1303" t="s">
        <v>5</v>
      </c>
      <c r="U11" s="1304" t="e">
        <f t="shared" si="1"/>
        <v>#N/A</v>
      </c>
      <c r="V11" s="1303" t="s">
        <v>5</v>
      </c>
      <c r="W11" s="1304" t="e">
        <f t="shared" si="2"/>
        <v>#N/A</v>
      </c>
      <c r="X11" s="1305"/>
      <c r="Y11" s="3542"/>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42"/>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42"/>
      <c r="Z13" s="997">
        <f t="shared" si="7"/>
        <v>111</v>
      </c>
      <c r="AA13" s="997">
        <f t="shared" si="3"/>
        <v>1</v>
      </c>
      <c r="AB13" s="997">
        <f t="shared" si="4"/>
        <v>1</v>
      </c>
      <c r="AC13" s="997">
        <f t="shared" si="5"/>
        <v>1</v>
      </c>
    </row>
    <row r="14" spans="1:29" ht="15.75"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598"/>
      <c r="Q14" s="818">
        <f t="shared" si="6"/>
        <v>111</v>
      </c>
      <c r="R14" s="1303" t="s">
        <v>5</v>
      </c>
      <c r="S14" s="1304">
        <f t="shared" si="0"/>
        <v>100</v>
      </c>
      <c r="T14" s="1303" t="s">
        <v>5</v>
      </c>
      <c r="U14" s="1304">
        <f t="shared" si="1"/>
        <v>100</v>
      </c>
      <c r="V14" s="1303" t="s">
        <v>5</v>
      </c>
      <c r="W14" s="1304">
        <f t="shared" si="2"/>
        <v>100</v>
      </c>
      <c r="X14" s="1305"/>
      <c r="Y14" s="3542"/>
      <c r="Z14" s="997">
        <f t="shared" si="7"/>
        <v>111</v>
      </c>
      <c r="AA14" s="997">
        <f t="shared" si="3"/>
        <v>1</v>
      </c>
      <c r="AB14" s="997">
        <f t="shared" si="4"/>
        <v>1</v>
      </c>
      <c r="AC14" s="997">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31" t="s">
        <v>489</v>
      </c>
      <c r="Q15" s="1306" t="str">
        <f t="shared" si="6"/>
        <v>商业繁华度</v>
      </c>
      <c r="R15" s="1307" t="s">
        <v>5</v>
      </c>
      <c r="S15" s="1308">
        <f t="shared" si="0"/>
        <v>100</v>
      </c>
      <c r="T15" s="1307" t="s">
        <v>5</v>
      </c>
      <c r="U15" s="1308">
        <f t="shared" si="1"/>
        <v>100</v>
      </c>
      <c r="V15" s="1307" t="s">
        <v>5</v>
      </c>
      <c r="W15" s="1308">
        <f t="shared" si="2"/>
        <v>100</v>
      </c>
      <c r="X15" s="1302"/>
      <c r="Y15" s="3631"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2"/>
      <c r="Q16" s="1306"/>
      <c r="R16" s="1307"/>
      <c r="S16" s="1308"/>
      <c r="T16" s="1307"/>
      <c r="U16" s="1308"/>
      <c r="V16" s="1307"/>
      <c r="W16" s="1308"/>
      <c r="X16" s="1302"/>
      <c r="Y16" s="3632"/>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32"/>
      <c r="Q17" s="1306" t="str">
        <f>B17</f>
        <v>交通便捷度</v>
      </c>
      <c r="R17" s="1307" t="s">
        <v>5</v>
      </c>
      <c r="S17" s="1308">
        <f>F17</f>
        <v>100</v>
      </c>
      <c r="T17" s="1307" t="s">
        <v>5</v>
      </c>
      <c r="U17" s="1308">
        <f>H17</f>
        <v>100</v>
      </c>
      <c r="V17" s="1307" t="s">
        <v>5</v>
      </c>
      <c r="W17" s="1308">
        <f>J17</f>
        <v>100</v>
      </c>
      <c r="X17" s="1302"/>
      <c r="Y17" s="3632"/>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2"/>
      <c r="Q18" s="1306"/>
      <c r="R18" s="1307"/>
      <c r="S18" s="1308"/>
      <c r="T18" s="1307"/>
      <c r="U18" s="1308"/>
      <c r="V18" s="1307"/>
      <c r="W18" s="1308"/>
      <c r="X18" s="1302"/>
      <c r="Y18" s="3632"/>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32"/>
      <c r="Q19" s="1306" t="str">
        <f>B19</f>
        <v>公共配套设施</v>
      </c>
      <c r="R19" s="1307" t="s">
        <v>5</v>
      </c>
      <c r="S19" s="1308">
        <f>F19</f>
        <v>100</v>
      </c>
      <c r="T19" s="1307" t="s">
        <v>5</v>
      </c>
      <c r="U19" s="1308">
        <f>H19</f>
        <v>100</v>
      </c>
      <c r="V19" s="1307" t="s">
        <v>5</v>
      </c>
      <c r="W19" s="1308">
        <f>J19</f>
        <v>100</v>
      </c>
      <c r="X19" s="1302"/>
      <c r="Y19" s="3632"/>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32"/>
      <c r="Q20" s="1306"/>
      <c r="R20" s="1307"/>
      <c r="S20" s="1308"/>
      <c r="T20" s="1307"/>
      <c r="U20" s="1308"/>
      <c r="V20" s="1307"/>
      <c r="W20" s="1308"/>
      <c r="X20" s="1302"/>
      <c r="Y20" s="3632"/>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32"/>
      <c r="Q21" s="1306" t="str">
        <f>B21</f>
        <v>基础设施水平</v>
      </c>
      <c r="R21" s="1307" t="s">
        <v>5</v>
      </c>
      <c r="S21" s="1308">
        <f>F21</f>
        <v>100</v>
      </c>
      <c r="T21" s="1307" t="s">
        <v>5</v>
      </c>
      <c r="U21" s="1308">
        <f>H21</f>
        <v>100</v>
      </c>
      <c r="V21" s="1307" t="s">
        <v>5</v>
      </c>
      <c r="W21" s="1308">
        <f>J21</f>
        <v>100</v>
      </c>
      <c r="X21" s="1302"/>
      <c r="Y21" s="3632"/>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32"/>
      <c r="Q22" s="1306"/>
      <c r="R22" s="1307"/>
      <c r="S22" s="1308"/>
      <c r="T22" s="1307"/>
      <c r="U22" s="1308"/>
      <c r="V22" s="1307"/>
      <c r="W22" s="1308"/>
      <c r="X22" s="1302"/>
      <c r="Y22" s="3632"/>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32"/>
      <c r="Q23" s="1306" t="str">
        <f>B23</f>
        <v>自然及人文环境</v>
      </c>
      <c r="R23" s="1307" t="s">
        <v>5</v>
      </c>
      <c r="S23" s="1308">
        <f>F23</f>
        <v>100</v>
      </c>
      <c r="T23" s="1307" t="s">
        <v>5</v>
      </c>
      <c r="U23" s="1308">
        <f>H23</f>
        <v>100</v>
      </c>
      <c r="V23" s="1307" t="s">
        <v>5</v>
      </c>
      <c r="W23" s="1308">
        <f>J23</f>
        <v>100</v>
      </c>
      <c r="X23" s="1302"/>
      <c r="Y23" s="3632"/>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32"/>
      <c r="Q24" s="1306"/>
      <c r="R24" s="1307"/>
      <c r="S24" s="1308"/>
      <c r="T24" s="1307"/>
      <c r="U24" s="1308"/>
      <c r="V24" s="1307"/>
      <c r="W24" s="1308"/>
      <c r="X24" s="1302"/>
      <c r="Y24" s="3632"/>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32"/>
      <c r="Q25" s="1306" t="str">
        <f t="shared" ref="Q25:Q46" si="8">B25</f>
        <v>临街状况</v>
      </c>
      <c r="R25" s="1307" t="s">
        <v>5</v>
      </c>
      <c r="S25" s="1308">
        <f>F25</f>
        <v>100</v>
      </c>
      <c r="T25" s="1307" t="s">
        <v>5</v>
      </c>
      <c r="U25" s="1308">
        <f>H25</f>
        <v>100</v>
      </c>
      <c r="V25" s="1307" t="s">
        <v>5</v>
      </c>
      <c r="W25" s="1308">
        <f>J25</f>
        <v>100</v>
      </c>
      <c r="X25" s="1302"/>
      <c r="Y25" s="3632"/>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32"/>
      <c r="Q26" s="1306" t="str">
        <f t="shared" si="8"/>
        <v>平面位置/可视性</v>
      </c>
      <c r="R26" s="1307" t="s">
        <v>5</v>
      </c>
      <c r="S26" s="1308">
        <f>F26</f>
        <v>100</v>
      </c>
      <c r="T26" s="1307" t="s">
        <v>5</v>
      </c>
      <c r="U26" s="1308">
        <f>H26</f>
        <v>100</v>
      </c>
      <c r="V26" s="1307" t="s">
        <v>5</v>
      </c>
      <c r="W26" s="1308">
        <f>J26</f>
        <v>100</v>
      </c>
      <c r="X26" s="1302"/>
      <c r="Y26" s="3632"/>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32"/>
      <c r="Q27" s="818" t="str">
        <f t="shared" si="8"/>
        <v>人流量</v>
      </c>
      <c r="R27" s="1303" t="s">
        <v>5</v>
      </c>
      <c r="S27" s="1304">
        <f>F27</f>
        <v>100</v>
      </c>
      <c r="T27" s="1303" t="s">
        <v>5</v>
      </c>
      <c r="U27" s="1304">
        <f>H27</f>
        <v>100</v>
      </c>
      <c r="V27" s="1303" t="s">
        <v>5</v>
      </c>
      <c r="W27" s="1304">
        <f>J27</f>
        <v>100</v>
      </c>
      <c r="X27" s="1305"/>
      <c r="Y27" s="3632"/>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32"/>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2"/>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32"/>
      <c r="Q29" s="1306">
        <f t="shared" si="8"/>
        <v>111</v>
      </c>
      <c r="R29" s="1307" t="s">
        <v>5</v>
      </c>
      <c r="S29" s="1308">
        <f t="shared" si="9"/>
        <v>100</v>
      </c>
      <c r="T29" s="1307" t="s">
        <v>5</v>
      </c>
      <c r="U29" s="1308">
        <f t="shared" si="10"/>
        <v>100</v>
      </c>
      <c r="V29" s="1307" t="s">
        <v>5</v>
      </c>
      <c r="W29" s="1308">
        <f t="shared" si="11"/>
        <v>100</v>
      </c>
      <c r="X29" s="1302"/>
      <c r="Y29" s="3632"/>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32"/>
      <c r="Q30" s="1306">
        <f t="shared" si="8"/>
        <v>111</v>
      </c>
      <c r="R30" s="1307" t="s">
        <v>5</v>
      </c>
      <c r="S30" s="1308">
        <f t="shared" si="9"/>
        <v>100</v>
      </c>
      <c r="T30" s="1307" t="s">
        <v>5</v>
      </c>
      <c r="U30" s="1308">
        <f t="shared" si="10"/>
        <v>100</v>
      </c>
      <c r="V30" s="1307" t="s">
        <v>5</v>
      </c>
      <c r="W30" s="1308">
        <f t="shared" si="11"/>
        <v>100</v>
      </c>
      <c r="X30" s="1302"/>
      <c r="Y30" s="3632"/>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32"/>
      <c r="Q31" s="1306">
        <f t="shared" si="8"/>
        <v>111</v>
      </c>
      <c r="R31" s="1307" t="s">
        <v>5</v>
      </c>
      <c r="S31" s="1308">
        <f t="shared" si="9"/>
        <v>100</v>
      </c>
      <c r="T31" s="1307" t="s">
        <v>5</v>
      </c>
      <c r="U31" s="1308">
        <f t="shared" si="10"/>
        <v>100</v>
      </c>
      <c r="V31" s="1307" t="s">
        <v>5</v>
      </c>
      <c r="W31" s="1308">
        <f t="shared" si="11"/>
        <v>100</v>
      </c>
      <c r="X31" s="1302"/>
      <c r="Y31" s="3632"/>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33" t="s">
        <v>499</v>
      </c>
      <c r="Q32" s="1306" t="str">
        <f t="shared" si="8"/>
        <v>商业类型</v>
      </c>
      <c r="R32" s="1307" t="s">
        <v>5</v>
      </c>
      <c r="S32" s="1308">
        <f t="shared" si="9"/>
        <v>100</v>
      </c>
      <c r="T32" s="1307" t="s">
        <v>5</v>
      </c>
      <c r="U32" s="1308">
        <f t="shared" si="10"/>
        <v>100</v>
      </c>
      <c r="V32" s="1307" t="s">
        <v>5</v>
      </c>
      <c r="W32" s="1308">
        <f t="shared" si="11"/>
        <v>100</v>
      </c>
      <c r="X32" s="1302"/>
      <c r="Y32" s="3634"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34"/>
      <c r="Q33" s="819" t="str">
        <f t="shared" si="8"/>
        <v>项目建筑规模</v>
      </c>
      <c r="R33" s="1310" t="s">
        <v>5</v>
      </c>
      <c r="S33" s="1311" t="e">
        <f t="shared" si="9"/>
        <v>#N/A</v>
      </c>
      <c r="T33" s="1310" t="s">
        <v>5</v>
      </c>
      <c r="U33" s="1311" t="e">
        <f t="shared" si="10"/>
        <v>#N/A</v>
      </c>
      <c r="V33" s="1310" t="s">
        <v>5</v>
      </c>
      <c r="W33" s="1311" t="e">
        <f t="shared" si="11"/>
        <v>#N/A</v>
      </c>
      <c r="X33" s="1312"/>
      <c r="Y33" s="3634"/>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34"/>
      <c r="Q34" s="1306" t="str">
        <f t="shared" si="8"/>
        <v>建筑结构</v>
      </c>
      <c r="R34" s="1307" t="s">
        <v>5</v>
      </c>
      <c r="S34" s="1308">
        <f t="shared" si="9"/>
        <v>100</v>
      </c>
      <c r="T34" s="1307" t="s">
        <v>5</v>
      </c>
      <c r="U34" s="1308">
        <f t="shared" si="10"/>
        <v>100</v>
      </c>
      <c r="V34" s="1307" t="s">
        <v>5</v>
      </c>
      <c r="W34" s="1308">
        <f t="shared" si="11"/>
        <v>100</v>
      </c>
      <c r="X34" s="1302"/>
      <c r="Y34" s="3634"/>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34"/>
      <c r="Q35" s="1306" t="str">
        <f t="shared" si="8"/>
        <v>公共部分装修</v>
      </c>
      <c r="R35" s="1307" t="s">
        <v>5</v>
      </c>
      <c r="S35" s="1308">
        <f t="shared" si="9"/>
        <v>100</v>
      </c>
      <c r="T35" s="1307" t="s">
        <v>5</v>
      </c>
      <c r="U35" s="1308">
        <f t="shared" si="10"/>
        <v>100</v>
      </c>
      <c r="V35" s="1307" t="s">
        <v>5</v>
      </c>
      <c r="W35" s="1308">
        <f t="shared" si="11"/>
        <v>100</v>
      </c>
      <c r="X35" s="1302"/>
      <c r="Y35" s="3634"/>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34"/>
      <c r="Q36" s="1306" t="str">
        <f t="shared" si="8"/>
        <v>成新度</v>
      </c>
      <c r="R36" s="1307" t="s">
        <v>5</v>
      </c>
      <c r="S36" s="1308" t="e">
        <f t="shared" si="9"/>
        <v>#N/A</v>
      </c>
      <c r="T36" s="1307" t="s">
        <v>5</v>
      </c>
      <c r="U36" s="1308" t="e">
        <f t="shared" si="10"/>
        <v>#N/A</v>
      </c>
      <c r="V36" s="1307" t="s">
        <v>5</v>
      </c>
      <c r="W36" s="1308" t="e">
        <f t="shared" si="11"/>
        <v>#N/A</v>
      </c>
      <c r="X36" s="1302"/>
      <c r="Y36" s="3634"/>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34"/>
      <c r="Q37" s="818" t="str">
        <f t="shared" si="8"/>
        <v>市政基础设施</v>
      </c>
      <c r="R37" s="1303" t="s">
        <v>5</v>
      </c>
      <c r="S37" s="1304">
        <f t="shared" si="9"/>
        <v>100</v>
      </c>
      <c r="T37" s="1303" t="s">
        <v>5</v>
      </c>
      <c r="U37" s="1304">
        <f t="shared" si="10"/>
        <v>100</v>
      </c>
      <c r="V37" s="1303" t="s">
        <v>5</v>
      </c>
      <c r="W37" s="1304">
        <f t="shared" si="11"/>
        <v>100</v>
      </c>
      <c r="X37" s="1305"/>
      <c r="Y37" s="3634"/>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34" t="s">
        <v>706</v>
      </c>
      <c r="Q38" s="1306" t="str">
        <f t="shared" si="8"/>
        <v>业态</v>
      </c>
      <c r="R38" s="1307" t="s">
        <v>5</v>
      </c>
      <c r="S38" s="1308">
        <f t="shared" si="9"/>
        <v>100</v>
      </c>
      <c r="T38" s="1307" t="s">
        <v>5</v>
      </c>
      <c r="U38" s="1308">
        <f t="shared" si="10"/>
        <v>100</v>
      </c>
      <c r="V38" s="1307" t="s">
        <v>5</v>
      </c>
      <c r="W38" s="1308">
        <f t="shared" si="11"/>
        <v>100</v>
      </c>
      <c r="X38" s="1302"/>
      <c r="Y38" s="3634"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34"/>
      <c r="Q39" s="1306" t="str">
        <f t="shared" si="8"/>
        <v>层高</v>
      </c>
      <c r="R39" s="1307" t="s">
        <v>5</v>
      </c>
      <c r="S39" s="1308">
        <f t="shared" si="9"/>
        <v>100</v>
      </c>
      <c r="T39" s="1307" t="s">
        <v>5</v>
      </c>
      <c r="U39" s="1308">
        <f t="shared" si="10"/>
        <v>100</v>
      </c>
      <c r="V39" s="1307" t="s">
        <v>5</v>
      </c>
      <c r="W39" s="1308">
        <f t="shared" si="11"/>
        <v>100</v>
      </c>
      <c r="X39" s="1302"/>
      <c r="Y39" s="3634"/>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34"/>
      <c r="Q40" s="1306" t="str">
        <f t="shared" si="8"/>
        <v>单套建筑面积</v>
      </c>
      <c r="R40" s="1307" t="s">
        <v>5</v>
      </c>
      <c r="S40" s="1308">
        <f t="shared" si="9"/>
        <v>100</v>
      </c>
      <c r="T40" s="1307" t="s">
        <v>5</v>
      </c>
      <c r="U40" s="1308">
        <f t="shared" si="10"/>
        <v>100</v>
      </c>
      <c r="V40" s="1307" t="s">
        <v>5</v>
      </c>
      <c r="W40" s="1308">
        <f t="shared" si="11"/>
        <v>100</v>
      </c>
      <c r="X40" s="1302"/>
      <c r="Y40" s="3634"/>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34"/>
      <c r="Q41" s="819" t="str">
        <f t="shared" si="8"/>
        <v>进深比</v>
      </c>
      <c r="R41" s="1310" t="s">
        <v>5</v>
      </c>
      <c r="S41" s="1311">
        <f t="shared" si="9"/>
        <v>100</v>
      </c>
      <c r="T41" s="1310" t="s">
        <v>5</v>
      </c>
      <c r="U41" s="1311">
        <f t="shared" si="10"/>
        <v>100</v>
      </c>
      <c r="V41" s="1310" t="s">
        <v>5</v>
      </c>
      <c r="W41" s="1311">
        <f t="shared" si="11"/>
        <v>100</v>
      </c>
      <c r="X41" s="1312"/>
      <c r="Y41" s="3634"/>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34"/>
      <c r="Q42" s="1306" t="str">
        <f t="shared" si="8"/>
        <v>内部装修</v>
      </c>
      <c r="R42" s="1307" t="s">
        <v>5</v>
      </c>
      <c r="S42" s="1308">
        <f t="shared" si="9"/>
        <v>100</v>
      </c>
      <c r="T42" s="1307" t="s">
        <v>5</v>
      </c>
      <c r="U42" s="1308">
        <f t="shared" si="10"/>
        <v>100</v>
      </c>
      <c r="V42" s="1307" t="s">
        <v>5</v>
      </c>
      <c r="W42" s="1308">
        <f t="shared" si="11"/>
        <v>100</v>
      </c>
      <c r="X42" s="1302"/>
      <c r="Y42" s="3634"/>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34"/>
      <c r="Q43" s="1306" t="str">
        <f t="shared" si="8"/>
        <v>内部装修维护情况</v>
      </c>
      <c r="R43" s="1307" t="s">
        <v>5</v>
      </c>
      <c r="S43" s="1308">
        <f t="shared" si="9"/>
        <v>100</v>
      </c>
      <c r="T43" s="1307" t="s">
        <v>5</v>
      </c>
      <c r="U43" s="1308">
        <f t="shared" si="10"/>
        <v>100</v>
      </c>
      <c r="V43" s="1307" t="s">
        <v>5</v>
      </c>
      <c r="W43" s="1308">
        <f t="shared" si="11"/>
        <v>100</v>
      </c>
      <c r="X43" s="1302"/>
      <c r="Y43" s="3634"/>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34"/>
      <c r="Q44" s="818">
        <f t="shared" si="8"/>
        <v>111</v>
      </c>
      <c r="R44" s="1303" t="s">
        <v>5</v>
      </c>
      <c r="S44" s="1304">
        <f t="shared" si="9"/>
        <v>100</v>
      </c>
      <c r="T44" s="1303" t="s">
        <v>5</v>
      </c>
      <c r="U44" s="1304">
        <f t="shared" si="10"/>
        <v>100</v>
      </c>
      <c r="V44" s="1303" t="s">
        <v>5</v>
      </c>
      <c r="W44" s="1304">
        <f t="shared" si="11"/>
        <v>100</v>
      </c>
      <c r="X44" s="1305"/>
      <c r="Y44" s="3634"/>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34"/>
      <c r="Q45" s="1306">
        <f t="shared" si="8"/>
        <v>111</v>
      </c>
      <c r="R45" s="1307" t="s">
        <v>5</v>
      </c>
      <c r="S45" s="1308">
        <f t="shared" si="9"/>
        <v>100</v>
      </c>
      <c r="T45" s="1307" t="s">
        <v>5</v>
      </c>
      <c r="U45" s="1308">
        <f t="shared" si="10"/>
        <v>100</v>
      </c>
      <c r="V45" s="1307" t="s">
        <v>5</v>
      </c>
      <c r="W45" s="1308">
        <f t="shared" si="11"/>
        <v>100</v>
      </c>
      <c r="X45" s="1302"/>
      <c r="Y45" s="3634"/>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4"/>
      <c r="Q46" s="1306">
        <f t="shared" si="8"/>
        <v>111</v>
      </c>
      <c r="R46" s="1307" t="s">
        <v>5</v>
      </c>
      <c r="S46" s="1308">
        <f t="shared" si="9"/>
        <v>100</v>
      </c>
      <c r="T46" s="1307" t="s">
        <v>5</v>
      </c>
      <c r="U46" s="1308">
        <f t="shared" si="10"/>
        <v>100</v>
      </c>
      <c r="V46" s="1307" t="s">
        <v>5</v>
      </c>
      <c r="W46" s="1308">
        <f t="shared" si="11"/>
        <v>100</v>
      </c>
      <c r="X46" s="1302"/>
      <c r="Y46" s="3724"/>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598" t="str">
        <f>A47</f>
        <v>成交单价（元/平方米）</v>
      </c>
      <c r="Q47" s="3598"/>
      <c r="R47" s="3599">
        <f>E47</f>
        <v>0</v>
      </c>
      <c r="S47" s="3599"/>
      <c r="T47" s="3599">
        <f>G47</f>
        <v>0</v>
      </c>
      <c r="U47" s="3599"/>
      <c r="V47" s="3599">
        <f>I47</f>
        <v>0</v>
      </c>
      <c r="W47" s="3599"/>
      <c r="X47" s="799"/>
      <c r="Y47" s="1314"/>
      <c r="Z47" s="799"/>
      <c r="AA47" s="799"/>
      <c r="AB47" s="799"/>
      <c r="AC47" s="799"/>
    </row>
    <row r="48" spans="1:29" ht="15.75" thickBot="1">
      <c r="A48" s="564" t="s">
        <v>2042</v>
      </c>
      <c r="B48" s="813"/>
      <c r="C48" s="2082" t="e">
        <f>R49</f>
        <v>#DIV/0!</v>
      </c>
      <c r="D48" s="2550" t="s">
        <v>2250</v>
      </c>
      <c r="E48" s="2083" t="e">
        <f>R48</f>
        <v>#DIV/0!</v>
      </c>
      <c r="F48" s="2551"/>
      <c r="G48" s="2082" t="e">
        <f>T48</f>
        <v>#DIV/0!</v>
      </c>
      <c r="H48" s="2551"/>
      <c r="I48" s="2083" t="e">
        <f>V48</f>
        <v>#DIV/0!</v>
      </c>
      <c r="J48" s="2551"/>
      <c r="K48" s="2558">
        <f>F48+H48+J48</f>
        <v>0</v>
      </c>
      <c r="L48" s="1751"/>
      <c r="M48" s="1742"/>
      <c r="N48" s="1742"/>
      <c r="O48" s="1742"/>
      <c r="P48" s="3598" t="str">
        <f>A48</f>
        <v>比较价格（元/平方米）</v>
      </c>
      <c r="Q48" s="359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799"/>
      <c r="Y48" s="799"/>
      <c r="Z48" s="799"/>
      <c r="AA48" s="799"/>
      <c r="AB48" s="799"/>
      <c r="AC48" s="799"/>
    </row>
    <row r="49" spans="1:29" ht="15.75" thickBot="1">
      <c r="A49" s="568" t="s">
        <v>2187</v>
      </c>
      <c r="B49" s="569"/>
      <c r="C49" s="469" t="e">
        <f>R49</f>
        <v>#DIV/0!</v>
      </c>
      <c r="D49" s="469"/>
      <c r="E49" s="469"/>
      <c r="F49" s="469"/>
      <c r="G49" s="469"/>
      <c r="H49" s="469"/>
      <c r="I49" s="469"/>
      <c r="J49" s="469"/>
      <c r="K49" s="1336"/>
      <c r="L49" s="1751"/>
      <c r="M49" s="1742"/>
      <c r="N49" s="1742"/>
      <c r="O49" s="1742"/>
      <c r="P49" s="3635" t="str">
        <f>A49</f>
        <v>估价对象XX用房的比较价格（楼面单价，元/平方米）</v>
      </c>
      <c r="Q49" s="3636"/>
      <c r="R49" s="3723" t="e">
        <f>IF(F1="售价",ROUND(IF(D48="简单平均",AVERAGE(R48:V48),R48*F48+T48*H48+V48*J48),0),ROUND(IF(D48="简单平均",AVERAGE(R48:V48),R48*F48+T48*H48+V48*J48),1))</f>
        <v>#DIV/0!</v>
      </c>
      <c r="S49" s="3723"/>
      <c r="T49" s="3723"/>
      <c r="U49" s="3723"/>
      <c r="V49" s="3723"/>
      <c r="W49" s="3723"/>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6"/>
      <c r="M1" s="2717"/>
      <c r="N1" s="2717"/>
      <c r="O1" s="2717"/>
      <c r="P1" s="2772"/>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2"/>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2"/>
      <c r="Q3" s="1740"/>
      <c r="R3" s="1740"/>
      <c r="S3" s="1740"/>
      <c r="T3" s="1740"/>
      <c r="U3" s="1740"/>
      <c r="V3" s="1740"/>
      <c r="W3" s="1740"/>
      <c r="X3" s="1740"/>
      <c r="Y3" s="1740"/>
      <c r="Z3" s="1740"/>
      <c r="AA3" s="1740"/>
      <c r="AB3" s="1740"/>
      <c r="AC3" s="1674"/>
    </row>
    <row r="4" spans="1:29" ht="15">
      <c r="A4" s="463" t="s">
        <v>470</v>
      </c>
      <c r="B4" s="464"/>
      <c r="C4" s="3604" t="s">
        <v>471</v>
      </c>
      <c r="D4" s="3605"/>
      <c r="E4" s="3639" t="s">
        <v>472</v>
      </c>
      <c r="F4" s="3640"/>
      <c r="G4" s="3604" t="s">
        <v>473</v>
      </c>
      <c r="H4" s="3605"/>
      <c r="I4" s="3604" t="s">
        <v>474</v>
      </c>
      <c r="J4" s="3605"/>
      <c r="K4" s="465" t="s">
        <v>475</v>
      </c>
      <c r="L4" s="1741"/>
      <c r="M4" s="1742"/>
      <c r="N4" s="1742"/>
      <c r="O4" s="1742"/>
      <c r="P4" s="3729" t="s">
        <v>476</v>
      </c>
      <c r="Q4" s="3607"/>
      <c r="R4" s="3612" t="s">
        <v>472</v>
      </c>
      <c r="S4" s="3613"/>
      <c r="T4" s="3612" t="s">
        <v>473</v>
      </c>
      <c r="U4" s="3613"/>
      <c r="V4" s="3599" t="s">
        <v>474</v>
      </c>
      <c r="W4" s="3599"/>
      <c r="X4" s="1302"/>
      <c r="Y4" s="3612" t="s">
        <v>476</v>
      </c>
      <c r="Z4" s="3613"/>
      <c r="AA4" s="3601" t="s">
        <v>472</v>
      </c>
      <c r="AB4" s="3601" t="s">
        <v>473</v>
      </c>
      <c r="AC4" s="3601" t="s">
        <v>474</v>
      </c>
    </row>
    <row r="5" spans="1:29" ht="15">
      <c r="A5" s="466"/>
      <c r="B5" s="467"/>
      <c r="C5" s="3620" t="s">
        <v>2181</v>
      </c>
      <c r="D5" s="3621"/>
      <c r="E5" s="3641" t="s">
        <v>2182</v>
      </c>
      <c r="F5" s="3642"/>
      <c r="G5" s="3620" t="s">
        <v>2183</v>
      </c>
      <c r="H5" s="3621"/>
      <c r="I5" s="3620" t="s">
        <v>2184</v>
      </c>
      <c r="J5" s="3621"/>
      <c r="K5" s="465"/>
      <c r="L5" s="1741"/>
      <c r="M5" s="1742"/>
      <c r="N5" s="1742"/>
      <c r="O5" s="1742"/>
      <c r="P5" s="3730"/>
      <c r="Q5" s="3609"/>
      <c r="R5" s="3614"/>
      <c r="S5" s="3615"/>
      <c r="T5" s="3614"/>
      <c r="U5" s="3615"/>
      <c r="V5" s="3599"/>
      <c r="W5" s="3599"/>
      <c r="X5" s="1302"/>
      <c r="Y5" s="3614"/>
      <c r="Z5" s="3615"/>
      <c r="AA5" s="3602"/>
      <c r="AB5" s="3602"/>
      <c r="AC5" s="3602"/>
    </row>
    <row r="6" spans="1:29" ht="15.75" thickBot="1">
      <c r="A6" s="468"/>
      <c r="B6" s="469"/>
      <c r="C6" s="3618" t="s">
        <v>2185</v>
      </c>
      <c r="D6" s="3619"/>
      <c r="E6" s="3637" t="s">
        <v>2185</v>
      </c>
      <c r="F6" s="3638"/>
      <c r="G6" s="3618" t="s">
        <v>2185</v>
      </c>
      <c r="H6" s="3619"/>
      <c r="I6" s="3618" t="s">
        <v>2185</v>
      </c>
      <c r="J6" s="3619"/>
      <c r="K6" s="465" t="s">
        <v>477</v>
      </c>
      <c r="L6" s="1741"/>
      <c r="M6" s="1742"/>
      <c r="N6" s="1742"/>
      <c r="O6" s="1742"/>
      <c r="P6" s="3731"/>
      <c r="Q6" s="3611"/>
      <c r="R6" s="3614"/>
      <c r="S6" s="3615"/>
      <c r="T6" s="3616"/>
      <c r="U6" s="3617"/>
      <c r="V6" s="3599"/>
      <c r="W6" s="3599"/>
      <c r="X6" s="1302"/>
      <c r="Y6" s="3616"/>
      <c r="Z6" s="3617"/>
      <c r="AA6" s="3603"/>
      <c r="AB6" s="3603"/>
      <c r="AC6" s="3603"/>
    </row>
    <row r="7" spans="1:29" s="1060" customFormat="1" ht="15.75" thickBot="1">
      <c r="A7" s="2209"/>
      <c r="B7" s="2216" t="s">
        <v>478</v>
      </c>
      <c r="C7" s="470">
        <f>'数据-取费表'!B2</f>
        <v>45908</v>
      </c>
      <c r="D7" s="471">
        <v>100</v>
      </c>
      <c r="E7" s="472"/>
      <c r="F7" s="473">
        <f>SUMIF(59:59,YEAR(E7)&amp;"-"&amp;MONTH(E7),60:60)</f>
        <v>0</v>
      </c>
      <c r="G7" s="472"/>
      <c r="H7" s="471">
        <f>SUMIF(59:59,YEAR(G7)&amp;"-"&amp;MONTH(G7),60:60)</f>
        <v>0</v>
      </c>
      <c r="I7" s="472"/>
      <c r="J7" s="471">
        <f>SUMIF(59:59,YEAR(I7)&amp;"-"&amp;MONTH(I7),60:60)</f>
        <v>0</v>
      </c>
      <c r="K7" s="88"/>
      <c r="L7" s="1743"/>
      <c r="M7" s="1640"/>
      <c r="N7" s="1640"/>
      <c r="O7" s="1640"/>
      <c r="P7" s="3630" t="s">
        <v>479</v>
      </c>
      <c r="Q7" s="3630"/>
      <c r="R7" s="1303" t="s">
        <v>5</v>
      </c>
      <c r="S7" s="1304">
        <f t="shared" ref="S7:S15" si="0">F7</f>
        <v>0</v>
      </c>
      <c r="T7" s="1303" t="s">
        <v>5</v>
      </c>
      <c r="U7" s="1304">
        <f t="shared" ref="U7:U15" si="1">H7</f>
        <v>0</v>
      </c>
      <c r="V7" s="1303" t="s">
        <v>5</v>
      </c>
      <c r="W7" s="1304">
        <f t="shared" ref="W7:W15" si="2">J7</f>
        <v>0</v>
      </c>
      <c r="X7" s="1305"/>
      <c r="Y7" s="3628" t="s">
        <v>479</v>
      </c>
      <c r="Z7" s="3629"/>
      <c r="AA7" s="997" t="e">
        <f>D7/F7</f>
        <v>#DIV/0!</v>
      </c>
      <c r="AB7" s="997" t="e">
        <f>D7/H7</f>
        <v>#DIV/0!</v>
      </c>
      <c r="AC7" s="997" t="e">
        <f>D7/J7</f>
        <v>#DIV/0!</v>
      </c>
    </row>
    <row r="8" spans="1:29" s="1060"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30" t="s">
        <v>482</v>
      </c>
      <c r="Q8" s="3629"/>
      <c r="R8" s="1303" t="s">
        <v>5</v>
      </c>
      <c r="S8" s="1304">
        <f t="shared" si="0"/>
        <v>0</v>
      </c>
      <c r="T8" s="1303" t="s">
        <v>5</v>
      </c>
      <c r="U8" s="1304">
        <f t="shared" si="1"/>
        <v>0</v>
      </c>
      <c r="V8" s="1303" t="s">
        <v>5</v>
      </c>
      <c r="W8" s="1304">
        <f t="shared" si="2"/>
        <v>0</v>
      </c>
      <c r="X8" s="1305"/>
      <c r="Y8" s="3628" t="s">
        <v>482</v>
      </c>
      <c r="Z8" s="3629"/>
      <c r="AA8" s="997" t="e">
        <f t="shared" ref="AA8:AA47" si="3">D8/F8</f>
        <v>#DIV/0!</v>
      </c>
      <c r="AB8" s="997" t="e">
        <f t="shared" ref="AB8:AB47" si="4">D8/H8</f>
        <v>#DIV/0!</v>
      </c>
      <c r="AC8" s="997" t="e">
        <f t="shared" ref="AC8:AC47" si="5">D8/J8</f>
        <v>#DIV/0!</v>
      </c>
    </row>
    <row r="9" spans="1:29" s="1060"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8" t="s">
        <v>484</v>
      </c>
      <c r="Q9" s="818" t="str">
        <f t="shared" ref="Q9:Q15" si="6">B9</f>
        <v>用途</v>
      </c>
      <c r="R9" s="1303" t="s">
        <v>5</v>
      </c>
      <c r="S9" s="1304">
        <f t="shared" si="0"/>
        <v>100</v>
      </c>
      <c r="T9" s="1303" t="s">
        <v>5</v>
      </c>
      <c r="U9" s="1304">
        <f t="shared" si="1"/>
        <v>100</v>
      </c>
      <c r="V9" s="1303" t="s">
        <v>5</v>
      </c>
      <c r="W9" s="1304">
        <f t="shared" si="2"/>
        <v>100</v>
      </c>
      <c r="X9" s="1305"/>
      <c r="Y9" s="3542" t="s">
        <v>485</v>
      </c>
      <c r="Z9" s="997" t="str">
        <f t="shared" ref="Z9:Z15" si="7">Q9</f>
        <v>用途</v>
      </c>
      <c r="AA9" s="997">
        <f t="shared" si="3"/>
        <v>1</v>
      </c>
      <c r="AB9" s="997">
        <f t="shared" si="4"/>
        <v>1</v>
      </c>
      <c r="AC9" s="997">
        <f t="shared" si="5"/>
        <v>1</v>
      </c>
    </row>
    <row r="10" spans="1:29" s="1133" customFormat="1" ht="27">
      <c r="A10" s="2212"/>
      <c r="B10" s="2217"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8"/>
      <c r="Q11" s="818" t="str">
        <f t="shared" si="6"/>
        <v>容积率</v>
      </c>
      <c r="R11" s="1303" t="s">
        <v>5</v>
      </c>
      <c r="S11" s="1304" t="e">
        <f t="shared" si="0"/>
        <v>#N/A</v>
      </c>
      <c r="T11" s="1303" t="s">
        <v>5</v>
      </c>
      <c r="U11" s="1304" t="e">
        <f t="shared" si="1"/>
        <v>#N/A</v>
      </c>
      <c r="V11" s="1303" t="s">
        <v>5</v>
      </c>
      <c r="W11" s="1304" t="e">
        <f t="shared" si="2"/>
        <v>#N/A</v>
      </c>
      <c r="X11" s="1305"/>
      <c r="Y11" s="3542"/>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598"/>
      <c r="Q12" s="818">
        <f t="shared" si="6"/>
        <v>111</v>
      </c>
      <c r="R12" s="1303" t="s">
        <v>5</v>
      </c>
      <c r="S12" s="1304">
        <f t="shared" si="0"/>
        <v>100</v>
      </c>
      <c r="T12" s="1303" t="s">
        <v>5</v>
      </c>
      <c r="U12" s="1304">
        <f t="shared" si="1"/>
        <v>100</v>
      </c>
      <c r="V12" s="1303" t="s">
        <v>5</v>
      </c>
      <c r="W12" s="1304">
        <f t="shared" si="2"/>
        <v>100</v>
      </c>
      <c r="X12" s="1305"/>
      <c r="Y12" s="3542"/>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598"/>
      <c r="Q13" s="818">
        <f t="shared" si="6"/>
        <v>111</v>
      </c>
      <c r="R13" s="1303" t="s">
        <v>5</v>
      </c>
      <c r="S13" s="1304">
        <f t="shared" si="0"/>
        <v>100</v>
      </c>
      <c r="T13" s="1303" t="s">
        <v>5</v>
      </c>
      <c r="U13" s="1304">
        <f t="shared" si="1"/>
        <v>100</v>
      </c>
      <c r="V13" s="1303" t="s">
        <v>5</v>
      </c>
      <c r="W13" s="1304">
        <f t="shared" si="2"/>
        <v>100</v>
      </c>
      <c r="X13" s="1305"/>
      <c r="Y13" s="3542"/>
      <c r="Z13" s="997">
        <f t="shared" si="7"/>
        <v>111</v>
      </c>
      <c r="AA13" s="997">
        <f t="shared" si="3"/>
        <v>1</v>
      </c>
      <c r="AB13" s="997">
        <f t="shared" si="4"/>
        <v>1</v>
      </c>
      <c r="AC13" s="997">
        <f t="shared" si="5"/>
        <v>1</v>
      </c>
    </row>
    <row r="14" spans="1:29" ht="15.75"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598"/>
      <c r="Q14" s="818">
        <f t="shared" si="6"/>
        <v>111</v>
      </c>
      <c r="R14" s="1303" t="s">
        <v>5</v>
      </c>
      <c r="S14" s="1304">
        <f t="shared" si="0"/>
        <v>100</v>
      </c>
      <c r="T14" s="1303" t="s">
        <v>5</v>
      </c>
      <c r="U14" s="1304">
        <f t="shared" si="1"/>
        <v>100</v>
      </c>
      <c r="V14" s="1303" t="s">
        <v>5</v>
      </c>
      <c r="W14" s="1304">
        <f t="shared" si="2"/>
        <v>100</v>
      </c>
      <c r="X14" s="1305"/>
      <c r="Y14" s="3542"/>
      <c r="Z14" s="997">
        <f t="shared" si="7"/>
        <v>111</v>
      </c>
      <c r="AA14" s="997">
        <f t="shared" si="3"/>
        <v>1</v>
      </c>
      <c r="AB14" s="997">
        <f t="shared" si="4"/>
        <v>1</v>
      </c>
      <c r="AC14" s="997">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31" t="s">
        <v>489</v>
      </c>
      <c r="Q15" s="1306" t="str">
        <f t="shared" si="6"/>
        <v>办公集聚程度</v>
      </c>
      <c r="R15" s="1307" t="s">
        <v>5</v>
      </c>
      <c r="S15" s="1308">
        <f t="shared" si="0"/>
        <v>100</v>
      </c>
      <c r="T15" s="1307" t="s">
        <v>5</v>
      </c>
      <c r="U15" s="1308">
        <f t="shared" si="1"/>
        <v>100</v>
      </c>
      <c r="V15" s="1307" t="s">
        <v>5</v>
      </c>
      <c r="W15" s="1308">
        <f t="shared" si="2"/>
        <v>100</v>
      </c>
      <c r="X15" s="1302"/>
      <c r="Y15" s="3631"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32"/>
      <c r="Q16" s="1306"/>
      <c r="R16" s="1307"/>
      <c r="S16" s="1308"/>
      <c r="T16" s="1307"/>
      <c r="U16" s="1308"/>
      <c r="V16" s="1307"/>
      <c r="W16" s="1308"/>
      <c r="X16" s="1302"/>
      <c r="Y16" s="3632"/>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32"/>
      <c r="Q17" s="1306" t="str">
        <f>B17</f>
        <v>交通便捷度</v>
      </c>
      <c r="R17" s="1307" t="s">
        <v>5</v>
      </c>
      <c r="S17" s="1308">
        <f>F17</f>
        <v>100</v>
      </c>
      <c r="T17" s="1307" t="s">
        <v>5</v>
      </c>
      <c r="U17" s="1308">
        <f>H17</f>
        <v>100</v>
      </c>
      <c r="V17" s="1307" t="s">
        <v>5</v>
      </c>
      <c r="W17" s="1308">
        <f>J17</f>
        <v>100</v>
      </c>
      <c r="X17" s="1302"/>
      <c r="Y17" s="3632"/>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32"/>
      <c r="Q18" s="1306"/>
      <c r="R18" s="1307"/>
      <c r="S18" s="1308"/>
      <c r="T18" s="1307"/>
      <c r="U18" s="1308"/>
      <c r="V18" s="1307"/>
      <c r="W18" s="1308"/>
      <c r="X18" s="1302"/>
      <c r="Y18" s="3632"/>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32"/>
      <c r="Q19" s="1306" t="str">
        <f>B19</f>
        <v>公共配套设施</v>
      </c>
      <c r="R19" s="1307" t="s">
        <v>5</v>
      </c>
      <c r="S19" s="1308">
        <f>F19</f>
        <v>100</v>
      </c>
      <c r="T19" s="1307" t="s">
        <v>5</v>
      </c>
      <c r="U19" s="1308">
        <f>H19</f>
        <v>100</v>
      </c>
      <c r="V19" s="1307" t="s">
        <v>5</v>
      </c>
      <c r="W19" s="1308">
        <f>J19</f>
        <v>100</v>
      </c>
      <c r="X19" s="1302"/>
      <c r="Y19" s="3632"/>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32"/>
      <c r="Q20" s="1306"/>
      <c r="R20" s="1307"/>
      <c r="S20" s="1308"/>
      <c r="T20" s="1307"/>
      <c r="U20" s="1308"/>
      <c r="V20" s="1307"/>
      <c r="W20" s="1308"/>
      <c r="X20" s="1302"/>
      <c r="Y20" s="3632"/>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32"/>
      <c r="Q21" s="1306" t="str">
        <f>B21</f>
        <v>基础设施水平</v>
      </c>
      <c r="R21" s="1307" t="s">
        <v>5</v>
      </c>
      <c r="S21" s="1308">
        <f>F21</f>
        <v>100</v>
      </c>
      <c r="T21" s="1307" t="s">
        <v>5</v>
      </c>
      <c r="U21" s="1308">
        <f>H21</f>
        <v>100</v>
      </c>
      <c r="V21" s="1307" t="s">
        <v>5</v>
      </c>
      <c r="W21" s="1308">
        <f>J21</f>
        <v>100</v>
      </c>
      <c r="X21" s="1302"/>
      <c r="Y21" s="3632"/>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32"/>
      <c r="Q22" s="1306"/>
      <c r="R22" s="1307"/>
      <c r="S22" s="1308"/>
      <c r="T22" s="1307"/>
      <c r="U22" s="1308"/>
      <c r="V22" s="1307"/>
      <c r="W22" s="1308"/>
      <c r="X22" s="1302"/>
      <c r="Y22" s="3632"/>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32"/>
      <c r="Q23" s="1306" t="str">
        <f>B23</f>
        <v>环境质量</v>
      </c>
      <c r="R23" s="1307" t="s">
        <v>5</v>
      </c>
      <c r="S23" s="1308">
        <f>F23</f>
        <v>100</v>
      </c>
      <c r="T23" s="1307" t="s">
        <v>5</v>
      </c>
      <c r="U23" s="1308">
        <f>H23</f>
        <v>100</v>
      </c>
      <c r="V23" s="1307" t="s">
        <v>5</v>
      </c>
      <c r="W23" s="1308">
        <f>J23</f>
        <v>100</v>
      </c>
      <c r="X23" s="1302"/>
      <c r="Y23" s="3632"/>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32"/>
      <c r="Q24" s="1306"/>
      <c r="R24" s="1307"/>
      <c r="S24" s="1308"/>
      <c r="T24" s="1307"/>
      <c r="U24" s="1308"/>
      <c r="V24" s="1307"/>
      <c r="W24" s="1308"/>
      <c r="X24" s="1302"/>
      <c r="Y24" s="3632"/>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32"/>
      <c r="Q25" s="1306" t="str">
        <f>B25</f>
        <v>毗邻道路的类型与等级</v>
      </c>
      <c r="R25" s="1307" t="s">
        <v>5</v>
      </c>
      <c r="S25" s="1308">
        <f>F25</f>
        <v>100</v>
      </c>
      <c r="T25" s="1307" t="s">
        <v>5</v>
      </c>
      <c r="U25" s="1308">
        <f>H25</f>
        <v>100</v>
      </c>
      <c r="V25" s="1307" t="s">
        <v>5</v>
      </c>
      <c r="W25" s="1308">
        <f>J25</f>
        <v>100</v>
      </c>
      <c r="X25" s="1302"/>
      <c r="Y25" s="3632"/>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32"/>
      <c r="Q26" s="1306"/>
      <c r="R26" s="1307"/>
      <c r="S26" s="1308"/>
      <c r="T26" s="1307"/>
      <c r="U26" s="1308"/>
      <c r="V26" s="1307"/>
      <c r="W26" s="1308"/>
      <c r="X26" s="1302"/>
      <c r="Y26" s="3632"/>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32"/>
      <c r="Q27" s="1306" t="str">
        <f t="shared" ref="Q27:Q47" si="8">B27</f>
        <v>楼层</v>
      </c>
      <c r="R27" s="1307" t="s">
        <v>5</v>
      </c>
      <c r="S27" s="1308">
        <f>F27</f>
        <v>100</v>
      </c>
      <c r="T27" s="1307" t="s">
        <v>5</v>
      </c>
      <c r="U27" s="1308">
        <f>H27</f>
        <v>100</v>
      </c>
      <c r="V27" s="1307" t="s">
        <v>5</v>
      </c>
      <c r="W27" s="1308">
        <f>J27</f>
        <v>100</v>
      </c>
      <c r="X27" s="1302"/>
      <c r="Y27" s="3632"/>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32"/>
      <c r="Q28" s="818" t="str">
        <f t="shared" si="8"/>
        <v>朝向</v>
      </c>
      <c r="R28" s="1303" t="s">
        <v>5</v>
      </c>
      <c r="S28" s="1304">
        <f>F28</f>
        <v>100</v>
      </c>
      <c r="T28" s="1303" t="s">
        <v>5</v>
      </c>
      <c r="U28" s="1304">
        <f>H28</f>
        <v>100</v>
      </c>
      <c r="V28" s="1303" t="s">
        <v>5</v>
      </c>
      <c r="W28" s="1304">
        <f>J28</f>
        <v>100</v>
      </c>
      <c r="X28" s="1305"/>
      <c r="Y28" s="3632"/>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32"/>
      <c r="Q29" s="1306">
        <f t="shared" si="8"/>
        <v>111</v>
      </c>
      <c r="R29" s="1307" t="s">
        <v>5</v>
      </c>
      <c r="S29" s="1308">
        <f t="shared" ref="S29:S47" si="9">F29</f>
        <v>100</v>
      </c>
      <c r="T29" s="1307" t="s">
        <v>5</v>
      </c>
      <c r="U29" s="1308">
        <f t="shared" ref="U29:U47" si="10">H29</f>
        <v>100</v>
      </c>
      <c r="V29" s="1307" t="s">
        <v>5</v>
      </c>
      <c r="W29" s="1308">
        <f t="shared" ref="W29:W47" si="11">J29</f>
        <v>100</v>
      </c>
      <c r="X29" s="1302"/>
      <c r="Y29" s="3632"/>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32"/>
      <c r="Q30" s="1306">
        <f t="shared" si="8"/>
        <v>111</v>
      </c>
      <c r="R30" s="1307" t="s">
        <v>5</v>
      </c>
      <c r="S30" s="1308">
        <f t="shared" si="9"/>
        <v>100</v>
      </c>
      <c r="T30" s="1307" t="s">
        <v>5</v>
      </c>
      <c r="U30" s="1308">
        <f t="shared" si="10"/>
        <v>100</v>
      </c>
      <c r="V30" s="1307" t="s">
        <v>5</v>
      </c>
      <c r="W30" s="1308">
        <f t="shared" si="11"/>
        <v>100</v>
      </c>
      <c r="X30" s="1302"/>
      <c r="Y30" s="3632"/>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32"/>
      <c r="Q31" s="1306">
        <f t="shared" si="8"/>
        <v>111</v>
      </c>
      <c r="R31" s="1307" t="s">
        <v>5</v>
      </c>
      <c r="S31" s="1308">
        <f t="shared" si="9"/>
        <v>100</v>
      </c>
      <c r="T31" s="1307" t="s">
        <v>5</v>
      </c>
      <c r="U31" s="1308">
        <f t="shared" si="10"/>
        <v>100</v>
      </c>
      <c r="V31" s="1307" t="s">
        <v>5</v>
      </c>
      <c r="W31" s="1308">
        <f t="shared" si="11"/>
        <v>100</v>
      </c>
      <c r="X31" s="1302"/>
      <c r="Y31" s="3632"/>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32"/>
      <c r="Q32" s="1306">
        <f t="shared" si="8"/>
        <v>111</v>
      </c>
      <c r="R32" s="1307" t="s">
        <v>5</v>
      </c>
      <c r="S32" s="1308">
        <f t="shared" si="9"/>
        <v>100</v>
      </c>
      <c r="T32" s="1307" t="s">
        <v>5</v>
      </c>
      <c r="U32" s="1308">
        <f t="shared" si="10"/>
        <v>100</v>
      </c>
      <c r="V32" s="1307" t="s">
        <v>5</v>
      </c>
      <c r="W32" s="1308">
        <f t="shared" si="11"/>
        <v>100</v>
      </c>
      <c r="X32" s="1302"/>
      <c r="Y32" s="3632"/>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33" t="s">
        <v>499</v>
      </c>
      <c r="Q33" s="1306" t="str">
        <f t="shared" si="8"/>
        <v>建筑类型</v>
      </c>
      <c r="R33" s="1307" t="s">
        <v>5</v>
      </c>
      <c r="S33" s="1308">
        <f t="shared" si="9"/>
        <v>100</v>
      </c>
      <c r="T33" s="1307" t="s">
        <v>5</v>
      </c>
      <c r="U33" s="1308">
        <f t="shared" si="10"/>
        <v>100</v>
      </c>
      <c r="V33" s="1307" t="s">
        <v>5</v>
      </c>
      <c r="W33" s="1308">
        <f t="shared" si="11"/>
        <v>100</v>
      </c>
      <c r="X33" s="1302"/>
      <c r="Y33" s="3634"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34"/>
      <c r="Q34" s="819" t="str">
        <f t="shared" si="8"/>
        <v>项目建筑规模</v>
      </c>
      <c r="R34" s="1310" t="s">
        <v>5</v>
      </c>
      <c r="S34" s="1311" t="e">
        <f t="shared" si="9"/>
        <v>#N/A</v>
      </c>
      <c r="T34" s="1310" t="s">
        <v>5</v>
      </c>
      <c r="U34" s="1311" t="e">
        <f t="shared" si="10"/>
        <v>#N/A</v>
      </c>
      <c r="V34" s="1310" t="s">
        <v>5</v>
      </c>
      <c r="W34" s="1311" t="e">
        <f t="shared" si="11"/>
        <v>#N/A</v>
      </c>
      <c r="X34" s="1312"/>
      <c r="Y34" s="3634"/>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34"/>
      <c r="Q35" s="1306" t="str">
        <f t="shared" si="8"/>
        <v>建筑结构</v>
      </c>
      <c r="R35" s="1307" t="s">
        <v>5</v>
      </c>
      <c r="S35" s="1308">
        <f t="shared" si="9"/>
        <v>100</v>
      </c>
      <c r="T35" s="1307" t="s">
        <v>5</v>
      </c>
      <c r="U35" s="1308">
        <f t="shared" si="10"/>
        <v>100</v>
      </c>
      <c r="V35" s="1307" t="s">
        <v>5</v>
      </c>
      <c r="W35" s="1308">
        <f t="shared" si="11"/>
        <v>100</v>
      </c>
      <c r="X35" s="1302"/>
      <c r="Y35" s="3634"/>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34"/>
      <c r="Q36" s="1306" t="str">
        <f t="shared" si="8"/>
        <v>公共部分装修</v>
      </c>
      <c r="R36" s="1307" t="s">
        <v>5</v>
      </c>
      <c r="S36" s="1308">
        <f t="shared" si="9"/>
        <v>100</v>
      </c>
      <c r="T36" s="1307" t="s">
        <v>5</v>
      </c>
      <c r="U36" s="1308">
        <f t="shared" si="10"/>
        <v>100</v>
      </c>
      <c r="V36" s="1307" t="s">
        <v>5</v>
      </c>
      <c r="W36" s="1308">
        <f t="shared" si="11"/>
        <v>100</v>
      </c>
      <c r="X36" s="1302"/>
      <c r="Y36" s="3634"/>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34"/>
      <c r="Q37" s="1306" t="str">
        <f t="shared" si="8"/>
        <v>成新度</v>
      </c>
      <c r="R37" s="1307" t="s">
        <v>5</v>
      </c>
      <c r="S37" s="1308" t="e">
        <f t="shared" si="9"/>
        <v>#N/A</v>
      </c>
      <c r="T37" s="1307" t="s">
        <v>5</v>
      </c>
      <c r="U37" s="1308" t="e">
        <f t="shared" si="10"/>
        <v>#N/A</v>
      </c>
      <c r="V37" s="1307" t="s">
        <v>5</v>
      </c>
      <c r="W37" s="1308" t="e">
        <f t="shared" si="11"/>
        <v>#N/A</v>
      </c>
      <c r="X37" s="1302"/>
      <c r="Y37" s="3634"/>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34"/>
      <c r="Q38" s="818" t="str">
        <f t="shared" si="8"/>
        <v>写字楼等级</v>
      </c>
      <c r="R38" s="1303" t="s">
        <v>5</v>
      </c>
      <c r="S38" s="1304">
        <f t="shared" si="9"/>
        <v>100</v>
      </c>
      <c r="T38" s="1303" t="s">
        <v>5</v>
      </c>
      <c r="U38" s="1304">
        <f t="shared" si="10"/>
        <v>100</v>
      </c>
      <c r="V38" s="1303" t="s">
        <v>5</v>
      </c>
      <c r="W38" s="1304">
        <f t="shared" si="11"/>
        <v>100</v>
      </c>
      <c r="X38" s="1305"/>
      <c r="Y38" s="3634"/>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34" t="s">
        <v>499</v>
      </c>
      <c r="Q39" s="1306" t="str">
        <f t="shared" si="8"/>
        <v>物业管理</v>
      </c>
      <c r="R39" s="1307" t="s">
        <v>5</v>
      </c>
      <c r="S39" s="1308">
        <f t="shared" si="9"/>
        <v>100</v>
      </c>
      <c r="T39" s="1307" t="s">
        <v>5</v>
      </c>
      <c r="U39" s="1308">
        <f t="shared" si="10"/>
        <v>100</v>
      </c>
      <c r="V39" s="1307" t="s">
        <v>5</v>
      </c>
      <c r="W39" s="1308">
        <f t="shared" si="11"/>
        <v>100</v>
      </c>
      <c r="X39" s="1302"/>
      <c r="Y39" s="3634"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34"/>
      <c r="Q40" s="1306" t="str">
        <f t="shared" si="8"/>
        <v>市政基础设施</v>
      </c>
      <c r="R40" s="1307" t="s">
        <v>5</v>
      </c>
      <c r="S40" s="1308">
        <f t="shared" si="9"/>
        <v>100</v>
      </c>
      <c r="T40" s="1307" t="s">
        <v>5</v>
      </c>
      <c r="U40" s="1308">
        <f t="shared" si="10"/>
        <v>100</v>
      </c>
      <c r="V40" s="1307" t="s">
        <v>5</v>
      </c>
      <c r="W40" s="1308">
        <f t="shared" si="11"/>
        <v>100</v>
      </c>
      <c r="X40" s="1302"/>
      <c r="Y40" s="3634"/>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34"/>
      <c r="Q41" s="1306" t="str">
        <f t="shared" si="8"/>
        <v>层高</v>
      </c>
      <c r="R41" s="1307" t="s">
        <v>5</v>
      </c>
      <c r="S41" s="1308">
        <f t="shared" si="9"/>
        <v>100</v>
      </c>
      <c r="T41" s="1307" t="s">
        <v>5</v>
      </c>
      <c r="U41" s="1308">
        <f t="shared" si="10"/>
        <v>100</v>
      </c>
      <c r="V41" s="1307" t="s">
        <v>5</v>
      </c>
      <c r="W41" s="1308">
        <f t="shared" si="11"/>
        <v>100</v>
      </c>
      <c r="X41" s="1302"/>
      <c r="Y41" s="3634"/>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34"/>
      <c r="Q42" s="819" t="str">
        <f t="shared" si="8"/>
        <v>单套建筑面积</v>
      </c>
      <c r="R42" s="1310" t="s">
        <v>5</v>
      </c>
      <c r="S42" s="1311">
        <f t="shared" si="9"/>
        <v>100</v>
      </c>
      <c r="T42" s="1310" t="s">
        <v>5</v>
      </c>
      <c r="U42" s="1311">
        <f t="shared" si="10"/>
        <v>100</v>
      </c>
      <c r="V42" s="1310" t="s">
        <v>5</v>
      </c>
      <c r="W42" s="1311">
        <f t="shared" si="11"/>
        <v>100</v>
      </c>
      <c r="X42" s="1312"/>
      <c r="Y42" s="3634"/>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34"/>
      <c r="Q43" s="1306" t="str">
        <f t="shared" si="8"/>
        <v>内部装修</v>
      </c>
      <c r="R43" s="1307" t="s">
        <v>5</v>
      </c>
      <c r="S43" s="1308">
        <f t="shared" si="9"/>
        <v>100</v>
      </c>
      <c r="T43" s="1307" t="s">
        <v>5</v>
      </c>
      <c r="U43" s="1308">
        <f t="shared" si="10"/>
        <v>100</v>
      </c>
      <c r="V43" s="1307" t="s">
        <v>5</v>
      </c>
      <c r="W43" s="1308">
        <f t="shared" si="11"/>
        <v>100</v>
      </c>
      <c r="X43" s="1302"/>
      <c r="Y43" s="3634"/>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34"/>
      <c r="Q44" s="1306" t="str">
        <f t="shared" si="8"/>
        <v>内部装修维护情况</v>
      </c>
      <c r="R44" s="1307" t="s">
        <v>5</v>
      </c>
      <c r="S44" s="1308">
        <f t="shared" si="9"/>
        <v>100</v>
      </c>
      <c r="T44" s="1307" t="s">
        <v>5</v>
      </c>
      <c r="U44" s="1308">
        <f t="shared" si="10"/>
        <v>100</v>
      </c>
      <c r="V44" s="1307" t="s">
        <v>5</v>
      </c>
      <c r="W44" s="1308">
        <f t="shared" si="11"/>
        <v>100</v>
      </c>
      <c r="X44" s="1302"/>
      <c r="Y44" s="3634"/>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34"/>
      <c r="Q45" s="818">
        <f t="shared" si="8"/>
        <v>111</v>
      </c>
      <c r="R45" s="1303" t="s">
        <v>5</v>
      </c>
      <c r="S45" s="1304">
        <f t="shared" si="9"/>
        <v>100</v>
      </c>
      <c r="T45" s="1303" t="s">
        <v>5</v>
      </c>
      <c r="U45" s="1304">
        <f t="shared" si="10"/>
        <v>100</v>
      </c>
      <c r="V45" s="1303" t="s">
        <v>5</v>
      </c>
      <c r="W45" s="1304">
        <f t="shared" si="11"/>
        <v>100</v>
      </c>
      <c r="X45" s="1305"/>
      <c r="Y45" s="3634"/>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34"/>
      <c r="Q46" s="1306">
        <f t="shared" si="8"/>
        <v>111</v>
      </c>
      <c r="R46" s="1307" t="s">
        <v>5</v>
      </c>
      <c r="S46" s="1308">
        <f t="shared" si="9"/>
        <v>100</v>
      </c>
      <c r="T46" s="1307" t="s">
        <v>5</v>
      </c>
      <c r="U46" s="1308">
        <f t="shared" si="10"/>
        <v>100</v>
      </c>
      <c r="V46" s="1307" t="s">
        <v>5</v>
      </c>
      <c r="W46" s="1308">
        <f t="shared" si="11"/>
        <v>100</v>
      </c>
      <c r="X46" s="1302"/>
      <c r="Y46" s="3634"/>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4"/>
      <c r="Q47" s="1306">
        <f t="shared" si="8"/>
        <v>111</v>
      </c>
      <c r="R47" s="1307" t="s">
        <v>5</v>
      </c>
      <c r="S47" s="1308">
        <f t="shared" si="9"/>
        <v>100</v>
      </c>
      <c r="T47" s="1307" t="s">
        <v>5</v>
      </c>
      <c r="U47" s="1308">
        <f t="shared" si="10"/>
        <v>100</v>
      </c>
      <c r="V47" s="1307" t="s">
        <v>5</v>
      </c>
      <c r="W47" s="1308">
        <f t="shared" si="11"/>
        <v>100</v>
      </c>
      <c r="X47" s="1302"/>
      <c r="Y47" s="3724"/>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36" t="str">
        <f>A48</f>
        <v>成交单价（元/平方米）</v>
      </c>
      <c r="Q48" s="3598"/>
      <c r="R48" s="3599">
        <f>E48</f>
        <v>0</v>
      </c>
      <c r="S48" s="3599"/>
      <c r="T48" s="3599">
        <f>G48</f>
        <v>0</v>
      </c>
      <c r="U48" s="3599"/>
      <c r="V48" s="3599">
        <f>I48</f>
        <v>0</v>
      </c>
      <c r="W48" s="3599"/>
      <c r="X48" s="799"/>
      <c r="Y48" s="1314"/>
      <c r="Z48" s="799"/>
      <c r="AA48" s="799"/>
      <c r="AB48" s="799"/>
      <c r="AC48" s="799"/>
    </row>
    <row r="49" spans="1:29" ht="15.75" thickBot="1">
      <c r="A49" s="564" t="s">
        <v>2042</v>
      </c>
      <c r="B49" s="813"/>
      <c r="C49" s="2082" t="e">
        <f>R50</f>
        <v>#DIV/0!</v>
      </c>
      <c r="D49" s="2550" t="s">
        <v>2250</v>
      </c>
      <c r="E49" s="2083" t="e">
        <f>R49</f>
        <v>#DIV/0!</v>
      </c>
      <c r="F49" s="2551"/>
      <c r="G49" s="2082" t="e">
        <f>T49</f>
        <v>#DIV/0!</v>
      </c>
      <c r="H49" s="2551"/>
      <c r="I49" s="2083" t="e">
        <f>V49</f>
        <v>#DIV/0!</v>
      </c>
      <c r="J49" s="2551"/>
      <c r="K49" s="2558">
        <f>F49+H49+J49</f>
        <v>0</v>
      </c>
      <c r="L49" s="1751"/>
      <c r="M49" s="1742"/>
      <c r="N49" s="1742"/>
      <c r="O49" s="1742"/>
      <c r="P49" s="3636" t="str">
        <f>A49</f>
        <v>比较价格（元/平方米）</v>
      </c>
      <c r="Q49" s="3598"/>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799"/>
      <c r="Y49" s="799"/>
      <c r="Z49" s="799"/>
      <c r="AA49" s="799"/>
      <c r="AB49" s="799"/>
      <c r="AC49" s="799"/>
    </row>
    <row r="50" spans="1:29" ht="15.75" thickBot="1">
      <c r="A50" s="568" t="s">
        <v>2187</v>
      </c>
      <c r="B50" s="569"/>
      <c r="C50" s="469" t="e">
        <f>R50</f>
        <v>#DIV/0!</v>
      </c>
      <c r="D50" s="469"/>
      <c r="E50" s="469"/>
      <c r="F50" s="469"/>
      <c r="G50" s="469"/>
      <c r="H50" s="469"/>
      <c r="I50" s="469"/>
      <c r="J50" s="469"/>
      <c r="K50" s="1336"/>
      <c r="L50" s="1751"/>
      <c r="M50" s="1742"/>
      <c r="N50" s="1742"/>
      <c r="O50" s="1742"/>
      <c r="P50" s="3728" t="str">
        <f>A50</f>
        <v>估价对象XX用房的比较价格（楼面单价，元/平方米）</v>
      </c>
      <c r="Q50" s="3636"/>
      <c r="R50" s="3723" t="e">
        <f>IF(F1="售价",ROUND(IF(D49="简单平均",AVERAGE(R49:V49),R49*F49+T49*H49+V49*J49),0),ROUND(IF(D49="简单平均",AVERAGE(R49:V49),R49*F49+T49*H49+V49*J49),1))</f>
        <v>#DIV/0!</v>
      </c>
      <c r="S50" s="3723"/>
      <c r="T50" s="3723"/>
      <c r="U50" s="3723"/>
      <c r="V50" s="3723"/>
      <c r="W50" s="3723"/>
      <c r="X50" s="799"/>
      <c r="Y50" s="799"/>
      <c r="Z50" s="799"/>
      <c r="AA50" s="799"/>
      <c r="AB50" s="799"/>
      <c r="AC50" s="799"/>
    </row>
    <row r="51" spans="1:29">
      <c r="A51" s="2719"/>
      <c r="B51" s="2719"/>
      <c r="C51" s="2719"/>
      <c r="D51" s="2719"/>
      <c r="E51" s="2719"/>
      <c r="F51" s="2719"/>
      <c r="G51" s="2721"/>
      <c r="H51" s="2719"/>
      <c r="I51" s="2719"/>
      <c r="J51" s="2719"/>
      <c r="K51" s="2722"/>
      <c r="L51" s="1755"/>
      <c r="M51" s="1742"/>
      <c r="N51" s="1742"/>
      <c r="O51" s="1742"/>
      <c r="P51" s="1804"/>
      <c r="Q51" s="1742"/>
      <c r="R51" s="1742"/>
      <c r="S51" s="1742"/>
      <c r="T51" s="1742"/>
      <c r="U51" s="1742"/>
      <c r="V51" s="1742"/>
      <c r="W51" s="1742"/>
      <c r="X51" s="1742"/>
      <c r="Y51" s="1742"/>
      <c r="Z51" s="1742"/>
      <c r="AA51" s="1742"/>
      <c r="AB51" s="1742"/>
      <c r="AC51" s="1742"/>
    </row>
    <row r="52" spans="1:29">
      <c r="A52" s="2719"/>
      <c r="B52" s="2719"/>
      <c r="C52" s="2719"/>
      <c r="D52" s="2719"/>
      <c r="E52" s="2719"/>
      <c r="F52" s="2719"/>
      <c r="G52" s="2719"/>
      <c r="H52" s="2719"/>
      <c r="I52" s="2719"/>
      <c r="J52" s="2719"/>
      <c r="K52" s="2722"/>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2025-9</v>
      </c>
      <c r="D59" s="2115">
        <f>EDATE(C59,-1)</f>
        <v>45870</v>
      </c>
      <c r="E59" s="2115">
        <f t="shared" ref="E59:O59" si="13">EDATE(D59,-1)</f>
        <v>45839</v>
      </c>
      <c r="F59" s="2115">
        <f t="shared" si="13"/>
        <v>45809</v>
      </c>
      <c r="G59" s="2115">
        <f t="shared" si="13"/>
        <v>45778</v>
      </c>
      <c r="H59" s="2115">
        <f t="shared" si="13"/>
        <v>45748</v>
      </c>
      <c r="I59" s="2115">
        <f t="shared" si="13"/>
        <v>45717</v>
      </c>
      <c r="J59" s="2115">
        <f t="shared" si="13"/>
        <v>45689</v>
      </c>
      <c r="K59" s="2115">
        <f t="shared" si="13"/>
        <v>45658</v>
      </c>
      <c r="L59" s="2115">
        <f t="shared" si="13"/>
        <v>45627</v>
      </c>
      <c r="M59" s="2115">
        <f t="shared" si="13"/>
        <v>45597</v>
      </c>
      <c r="N59" s="2115">
        <f t="shared" si="13"/>
        <v>45566</v>
      </c>
      <c r="O59" s="2115">
        <f t="shared" si="13"/>
        <v>45536</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5">
      <c r="A4" s="463" t="s">
        <v>470</v>
      </c>
      <c r="B4" s="464"/>
      <c r="C4" s="3604" t="s">
        <v>471</v>
      </c>
      <c r="D4" s="3605"/>
      <c r="E4" s="3639" t="s">
        <v>472</v>
      </c>
      <c r="F4" s="3640"/>
      <c r="G4" s="3604" t="s">
        <v>473</v>
      </c>
      <c r="H4" s="3605"/>
      <c r="I4" s="3604" t="s">
        <v>474</v>
      </c>
      <c r="J4" s="3605"/>
      <c r="K4" s="465" t="s">
        <v>475</v>
      </c>
      <c r="L4" s="1741"/>
      <c r="M4" s="1742"/>
      <c r="N4" s="1742"/>
      <c r="O4" s="1742"/>
      <c r="P4" s="3606" t="s">
        <v>476</v>
      </c>
      <c r="Q4" s="3607"/>
      <c r="R4" s="3612" t="s">
        <v>472</v>
      </c>
      <c r="S4" s="3613"/>
      <c r="T4" s="3612" t="s">
        <v>473</v>
      </c>
      <c r="U4" s="3613"/>
      <c r="V4" s="3599" t="s">
        <v>474</v>
      </c>
      <c r="W4" s="3599"/>
      <c r="X4" s="1302"/>
      <c r="Y4" s="3612" t="s">
        <v>476</v>
      </c>
      <c r="Z4" s="3613"/>
      <c r="AA4" s="3601" t="s">
        <v>472</v>
      </c>
      <c r="AB4" s="3602" t="s">
        <v>473</v>
      </c>
      <c r="AC4" s="3601" t="s">
        <v>474</v>
      </c>
    </row>
    <row r="5" spans="1:29" ht="15">
      <c r="A5" s="466"/>
      <c r="B5" s="467"/>
      <c r="C5" s="3620" t="s">
        <v>2181</v>
      </c>
      <c r="D5" s="3621"/>
      <c r="E5" s="3641" t="s">
        <v>2182</v>
      </c>
      <c r="F5" s="3642"/>
      <c r="G5" s="3620" t="s">
        <v>2183</v>
      </c>
      <c r="H5" s="3621"/>
      <c r="I5" s="3620" t="s">
        <v>2184</v>
      </c>
      <c r="J5" s="3621"/>
      <c r="K5" s="465"/>
      <c r="L5" s="1741"/>
      <c r="M5" s="1742"/>
      <c r="N5" s="1742"/>
      <c r="O5" s="1742"/>
      <c r="P5" s="3608"/>
      <c r="Q5" s="3609"/>
      <c r="R5" s="3614"/>
      <c r="S5" s="3615"/>
      <c r="T5" s="3614"/>
      <c r="U5" s="3615"/>
      <c r="V5" s="3599"/>
      <c r="W5" s="3599"/>
      <c r="X5" s="1302"/>
      <c r="Y5" s="3614"/>
      <c r="Z5" s="3615"/>
      <c r="AA5" s="3602"/>
      <c r="AB5" s="3602"/>
      <c r="AC5" s="3602"/>
    </row>
    <row r="6" spans="1:29" ht="15.75" thickBot="1">
      <c r="A6" s="468"/>
      <c r="B6" s="469"/>
      <c r="C6" s="3618" t="s">
        <v>2185</v>
      </c>
      <c r="D6" s="3619"/>
      <c r="E6" s="3637" t="s">
        <v>2185</v>
      </c>
      <c r="F6" s="3638"/>
      <c r="G6" s="3618" t="s">
        <v>2185</v>
      </c>
      <c r="H6" s="3619"/>
      <c r="I6" s="3618" t="s">
        <v>2185</v>
      </c>
      <c r="J6" s="3619"/>
      <c r="K6" s="465" t="s">
        <v>477</v>
      </c>
      <c r="L6" s="1741"/>
      <c r="M6" s="1742"/>
      <c r="N6" s="1742"/>
      <c r="O6" s="1742"/>
      <c r="P6" s="3610"/>
      <c r="Q6" s="3611"/>
      <c r="R6" s="3614"/>
      <c r="S6" s="3615"/>
      <c r="T6" s="3616"/>
      <c r="U6" s="3617"/>
      <c r="V6" s="3599"/>
      <c r="W6" s="3599"/>
      <c r="X6" s="1302"/>
      <c r="Y6" s="3616"/>
      <c r="Z6" s="3617"/>
      <c r="AA6" s="3603"/>
      <c r="AB6" s="3603"/>
      <c r="AC6" s="3603"/>
    </row>
    <row r="7" spans="1:29" s="1060" customFormat="1" ht="15.75" thickBot="1">
      <c r="A7" s="2209"/>
      <c r="B7" s="2216" t="s">
        <v>478</v>
      </c>
      <c r="C7" s="470">
        <f>'数据-取费表'!B2</f>
        <v>45908</v>
      </c>
      <c r="D7" s="471">
        <v>100</v>
      </c>
      <c r="E7" s="472"/>
      <c r="F7" s="473">
        <f>SUMIF(52:52,YEAR(E7)&amp;"-"&amp;MONTH(E7),53:53)</f>
        <v>0</v>
      </c>
      <c r="G7" s="472"/>
      <c r="H7" s="471">
        <f>SUMIF(52:52,YEAR(G7)&amp;"-"&amp;MONTH(G7),53:53)</f>
        <v>0</v>
      </c>
      <c r="I7" s="472"/>
      <c r="J7" s="471">
        <f>SUMIF(52:52,YEAR(I7)&amp;"-"&amp;MONTH(I7),53:53)</f>
        <v>0</v>
      </c>
      <c r="K7" s="88"/>
      <c r="L7" s="1743"/>
      <c r="M7" s="1640"/>
      <c r="N7" s="1640"/>
      <c r="O7" s="1640"/>
      <c r="P7" s="3628" t="s">
        <v>479</v>
      </c>
      <c r="Q7" s="3630"/>
      <c r="R7" s="1303" t="s">
        <v>5</v>
      </c>
      <c r="S7" s="1304">
        <f t="shared" ref="S7:S15" si="0">F7</f>
        <v>0</v>
      </c>
      <c r="T7" s="1303" t="s">
        <v>5</v>
      </c>
      <c r="U7" s="1304">
        <f t="shared" ref="U7:U15" si="1">H7</f>
        <v>0</v>
      </c>
      <c r="V7" s="1303" t="s">
        <v>5</v>
      </c>
      <c r="W7" s="1304">
        <f t="shared" ref="W7:W15" si="2">J7</f>
        <v>0</v>
      </c>
      <c r="X7" s="1305"/>
      <c r="Y7" s="3628" t="s">
        <v>479</v>
      </c>
      <c r="Z7" s="3629"/>
      <c r="AA7" s="997" t="e">
        <f>D7/F7</f>
        <v>#DIV/0!</v>
      </c>
      <c r="AB7" s="997" t="e">
        <f>D7/H7</f>
        <v>#DIV/0!</v>
      </c>
      <c r="AC7" s="997" t="e">
        <f>D7/J7</f>
        <v>#DIV/0!</v>
      </c>
    </row>
    <row r="8" spans="1:29" s="1060"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28" t="s">
        <v>482</v>
      </c>
      <c r="Q8" s="3629"/>
      <c r="R8" s="1303" t="s">
        <v>5</v>
      </c>
      <c r="S8" s="1304">
        <f t="shared" si="0"/>
        <v>0</v>
      </c>
      <c r="T8" s="1303" t="s">
        <v>5</v>
      </c>
      <c r="U8" s="1304">
        <f t="shared" si="1"/>
        <v>0</v>
      </c>
      <c r="V8" s="1303" t="s">
        <v>5</v>
      </c>
      <c r="W8" s="1304">
        <f t="shared" si="2"/>
        <v>0</v>
      </c>
      <c r="X8" s="1305"/>
      <c r="Y8" s="3628" t="s">
        <v>482</v>
      </c>
      <c r="Z8" s="3629"/>
      <c r="AA8" s="997" t="e">
        <f t="shared" ref="AA8:AA40" si="3">D8/F8</f>
        <v>#DIV/0!</v>
      </c>
      <c r="AB8" s="997" t="e">
        <f t="shared" ref="AB8:AB40" si="4">D8/H8</f>
        <v>#DIV/0!</v>
      </c>
      <c r="AC8" s="997" t="e">
        <f t="shared" ref="AC8:AC40" si="5">D8/J8</f>
        <v>#DIV/0!</v>
      </c>
    </row>
    <row r="9" spans="1:29" s="1060"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8" t="s">
        <v>484</v>
      </c>
      <c r="Q9" s="818" t="str">
        <f t="shared" ref="Q9:Q15" si="6">B9</f>
        <v>用途</v>
      </c>
      <c r="R9" s="1303" t="s">
        <v>5</v>
      </c>
      <c r="S9" s="1304">
        <f t="shared" si="0"/>
        <v>100</v>
      </c>
      <c r="T9" s="1303" t="s">
        <v>5</v>
      </c>
      <c r="U9" s="1304">
        <f t="shared" si="1"/>
        <v>100</v>
      </c>
      <c r="V9" s="1303" t="s">
        <v>5</v>
      </c>
      <c r="W9" s="1304">
        <f t="shared" si="2"/>
        <v>100</v>
      </c>
      <c r="X9" s="1305"/>
      <c r="Y9" s="3542" t="s">
        <v>485</v>
      </c>
      <c r="Z9" s="997" t="str">
        <f t="shared" ref="Z9:Z15" si="7">Q9</f>
        <v>用途</v>
      </c>
      <c r="AA9" s="997">
        <f t="shared" si="3"/>
        <v>1</v>
      </c>
      <c r="AB9" s="997">
        <f t="shared" si="4"/>
        <v>1</v>
      </c>
      <c r="AC9" s="997">
        <f t="shared" si="5"/>
        <v>1</v>
      </c>
    </row>
    <row r="10" spans="1:29" s="1133" customFormat="1" ht="27">
      <c r="A10" s="2212"/>
      <c r="B10" s="2217"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8"/>
      <c r="Q11" s="818" t="str">
        <f t="shared" si="6"/>
        <v>容积率</v>
      </c>
      <c r="R11" s="1303" t="s">
        <v>5</v>
      </c>
      <c r="S11" s="1304" t="e">
        <f t="shared" si="0"/>
        <v>#N/A</v>
      </c>
      <c r="T11" s="1303" t="s">
        <v>5</v>
      </c>
      <c r="U11" s="1304" t="e">
        <f t="shared" si="1"/>
        <v>#N/A</v>
      </c>
      <c r="V11" s="1303" t="s">
        <v>5</v>
      </c>
      <c r="W11" s="1304" t="e">
        <f t="shared" si="2"/>
        <v>#N/A</v>
      </c>
      <c r="X11" s="1305"/>
      <c r="Y11" s="3542"/>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42"/>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42"/>
      <c r="Z13" s="997">
        <f t="shared" si="7"/>
        <v>111</v>
      </c>
      <c r="AA13" s="997">
        <f t="shared" si="3"/>
        <v>1</v>
      </c>
      <c r="AB13" s="997">
        <f t="shared" si="4"/>
        <v>1</v>
      </c>
      <c r="AC13" s="997">
        <f t="shared" si="5"/>
        <v>1</v>
      </c>
    </row>
    <row r="14" spans="1:29" ht="15.75"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598"/>
      <c r="Q14" s="818">
        <f t="shared" si="6"/>
        <v>111</v>
      </c>
      <c r="R14" s="1303" t="s">
        <v>5</v>
      </c>
      <c r="S14" s="1304">
        <f t="shared" si="0"/>
        <v>100</v>
      </c>
      <c r="T14" s="1303" t="s">
        <v>5</v>
      </c>
      <c r="U14" s="1304">
        <f t="shared" si="1"/>
        <v>100</v>
      </c>
      <c r="V14" s="1303" t="s">
        <v>5</v>
      </c>
      <c r="W14" s="1304">
        <f t="shared" si="2"/>
        <v>100</v>
      </c>
      <c r="X14" s="1305"/>
      <c r="Y14" s="3542"/>
      <c r="Z14" s="997">
        <f t="shared" si="7"/>
        <v>111</v>
      </c>
      <c r="AA14" s="997">
        <f t="shared" si="3"/>
        <v>1</v>
      </c>
      <c r="AB14" s="997">
        <f t="shared" si="4"/>
        <v>1</v>
      </c>
      <c r="AC14" s="997">
        <f t="shared" si="5"/>
        <v>1</v>
      </c>
    </row>
    <row r="15" spans="1:29" ht="15">
      <c r="A15" s="2207"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31" t="s">
        <v>489</v>
      </c>
      <c r="Q15" s="1306" t="str">
        <f t="shared" si="6"/>
        <v>产业集聚程度</v>
      </c>
      <c r="R15" s="1307" t="s">
        <v>5</v>
      </c>
      <c r="S15" s="1308">
        <f t="shared" si="0"/>
        <v>100</v>
      </c>
      <c r="T15" s="1307" t="s">
        <v>5</v>
      </c>
      <c r="U15" s="1308">
        <f t="shared" si="1"/>
        <v>100</v>
      </c>
      <c r="V15" s="1307" t="s">
        <v>5</v>
      </c>
      <c r="W15" s="1308">
        <f t="shared" si="2"/>
        <v>100</v>
      </c>
      <c r="X15" s="1302"/>
      <c r="Y15" s="3631"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2"/>
      <c r="Q16" s="1306"/>
      <c r="R16" s="1307"/>
      <c r="S16" s="1308"/>
      <c r="T16" s="1307"/>
      <c r="U16" s="1308"/>
      <c r="V16" s="1307"/>
      <c r="W16" s="1308"/>
      <c r="X16" s="1302"/>
      <c r="Y16" s="3632"/>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32"/>
      <c r="Q17" s="1306" t="str">
        <f>B17</f>
        <v>交通便捷度</v>
      </c>
      <c r="R17" s="1307" t="s">
        <v>5</v>
      </c>
      <c r="S17" s="1308">
        <f>F17</f>
        <v>100</v>
      </c>
      <c r="T17" s="1307" t="s">
        <v>5</v>
      </c>
      <c r="U17" s="1308">
        <f>H17</f>
        <v>100</v>
      </c>
      <c r="V17" s="1307" t="s">
        <v>5</v>
      </c>
      <c r="W17" s="1308">
        <f>J17</f>
        <v>100</v>
      </c>
      <c r="X17" s="1302"/>
      <c r="Y17" s="3632"/>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2"/>
      <c r="Q18" s="1306"/>
      <c r="R18" s="1307"/>
      <c r="S18" s="1308"/>
      <c r="T18" s="1307"/>
      <c r="U18" s="1308"/>
      <c r="V18" s="1307"/>
      <c r="W18" s="1308"/>
      <c r="X18" s="1302"/>
      <c r="Y18" s="3632"/>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32"/>
      <c r="Q19" s="1306" t="str">
        <f>B19</f>
        <v>公共配套设施</v>
      </c>
      <c r="R19" s="1307" t="s">
        <v>5</v>
      </c>
      <c r="S19" s="1308">
        <f>F19</f>
        <v>100</v>
      </c>
      <c r="T19" s="1307" t="s">
        <v>5</v>
      </c>
      <c r="U19" s="1308">
        <f>H19</f>
        <v>100</v>
      </c>
      <c r="V19" s="1307" t="s">
        <v>5</v>
      </c>
      <c r="W19" s="1308">
        <f>J19</f>
        <v>100</v>
      </c>
      <c r="X19" s="1302"/>
      <c r="Y19" s="3632"/>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32"/>
      <c r="Q20" s="1306"/>
      <c r="R20" s="1307"/>
      <c r="S20" s="1308"/>
      <c r="T20" s="1307"/>
      <c r="U20" s="1308"/>
      <c r="V20" s="1307"/>
      <c r="W20" s="1308"/>
      <c r="X20" s="1302"/>
      <c r="Y20" s="3632"/>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32"/>
      <c r="Q21" s="1306" t="str">
        <f>B21</f>
        <v>基础设施水平</v>
      </c>
      <c r="R21" s="1307" t="s">
        <v>5</v>
      </c>
      <c r="S21" s="1308">
        <f>F21</f>
        <v>100</v>
      </c>
      <c r="T21" s="1307" t="s">
        <v>5</v>
      </c>
      <c r="U21" s="1308">
        <f>H21</f>
        <v>100</v>
      </c>
      <c r="V21" s="1307" t="s">
        <v>5</v>
      </c>
      <c r="W21" s="1308">
        <f>J21</f>
        <v>100</v>
      </c>
      <c r="X21" s="1302"/>
      <c r="Y21" s="3632"/>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32"/>
      <c r="Q22" s="1306"/>
      <c r="R22" s="1307"/>
      <c r="S22" s="1308"/>
      <c r="T22" s="1307"/>
      <c r="U22" s="1308"/>
      <c r="V22" s="1307"/>
      <c r="W22" s="1308"/>
      <c r="X22" s="1302"/>
      <c r="Y22" s="3632"/>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32"/>
      <c r="Q23" s="1306" t="str">
        <f>B23</f>
        <v>环境质量</v>
      </c>
      <c r="R23" s="1307" t="s">
        <v>5</v>
      </c>
      <c r="S23" s="1308">
        <f>F23</f>
        <v>100</v>
      </c>
      <c r="T23" s="1307" t="s">
        <v>5</v>
      </c>
      <c r="U23" s="1308">
        <f>H23</f>
        <v>100</v>
      </c>
      <c r="V23" s="1307" t="s">
        <v>5</v>
      </c>
      <c r="W23" s="1308">
        <f>J23</f>
        <v>100</v>
      </c>
      <c r="X23" s="1302"/>
      <c r="Y23" s="3632"/>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32"/>
      <c r="Q24" s="1306"/>
      <c r="R24" s="1307"/>
      <c r="S24" s="1308"/>
      <c r="T24" s="1307"/>
      <c r="U24" s="1308"/>
      <c r="V24" s="1307"/>
      <c r="W24" s="1308"/>
      <c r="X24" s="1302"/>
      <c r="Y24" s="3632"/>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32"/>
      <c r="Q25" s="1306">
        <f>B25</f>
        <v>111</v>
      </c>
      <c r="R25" s="1307" t="s">
        <v>5</v>
      </c>
      <c r="S25" s="1308">
        <f>F25</f>
        <v>100</v>
      </c>
      <c r="T25" s="1307" t="s">
        <v>5</v>
      </c>
      <c r="U25" s="1308">
        <f>H25</f>
        <v>100</v>
      </c>
      <c r="V25" s="1307" t="s">
        <v>5</v>
      </c>
      <c r="W25" s="1308">
        <f>J25</f>
        <v>100</v>
      </c>
      <c r="X25" s="1302"/>
      <c r="Y25" s="3632"/>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32"/>
      <c r="Q26" s="1306">
        <f t="shared" ref="Q26:Q40" si="8">B26</f>
        <v>111</v>
      </c>
      <c r="R26" s="1307" t="s">
        <v>5</v>
      </c>
      <c r="S26" s="1308">
        <f>F26</f>
        <v>100</v>
      </c>
      <c r="T26" s="1307" t="s">
        <v>5</v>
      </c>
      <c r="U26" s="1308">
        <f>H26</f>
        <v>100</v>
      </c>
      <c r="V26" s="1307" t="s">
        <v>5</v>
      </c>
      <c r="W26" s="1308">
        <f>J26</f>
        <v>100</v>
      </c>
      <c r="X26" s="1302"/>
      <c r="Y26" s="3632"/>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32"/>
      <c r="Q27" s="818">
        <f t="shared" si="8"/>
        <v>111</v>
      </c>
      <c r="R27" s="1303" t="s">
        <v>5</v>
      </c>
      <c r="S27" s="1304">
        <f>F27</f>
        <v>100</v>
      </c>
      <c r="T27" s="1303" t="s">
        <v>5</v>
      </c>
      <c r="U27" s="1304">
        <f>H27</f>
        <v>100</v>
      </c>
      <c r="V27" s="1303" t="s">
        <v>5</v>
      </c>
      <c r="W27" s="1304">
        <f>J27</f>
        <v>100</v>
      </c>
      <c r="X27" s="1305"/>
      <c r="Y27" s="3632"/>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32"/>
      <c r="Q28" s="1306">
        <f t="shared" si="8"/>
        <v>111</v>
      </c>
      <c r="R28" s="1307" t="s">
        <v>5</v>
      </c>
      <c r="S28" s="1308">
        <f t="shared" ref="S28:S40" si="9">F28</f>
        <v>100</v>
      </c>
      <c r="T28" s="1307" t="s">
        <v>5</v>
      </c>
      <c r="U28" s="1308">
        <f t="shared" ref="U28:U40" si="10">H28</f>
        <v>100</v>
      </c>
      <c r="V28" s="1307" t="s">
        <v>5</v>
      </c>
      <c r="W28" s="1308">
        <f t="shared" ref="W28:W40" si="11">J28</f>
        <v>100</v>
      </c>
      <c r="X28" s="1302"/>
      <c r="Y28" s="3632"/>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33" t="s">
        <v>499</v>
      </c>
      <c r="Q29" s="1306" t="str">
        <f t="shared" si="8"/>
        <v>建筑类型</v>
      </c>
      <c r="R29" s="1307" t="s">
        <v>5</v>
      </c>
      <c r="S29" s="1308">
        <f t="shared" si="9"/>
        <v>100</v>
      </c>
      <c r="T29" s="1307" t="s">
        <v>5</v>
      </c>
      <c r="U29" s="1308">
        <f t="shared" si="10"/>
        <v>100</v>
      </c>
      <c r="V29" s="1307" t="s">
        <v>5</v>
      </c>
      <c r="W29" s="1308">
        <f t="shared" si="11"/>
        <v>100</v>
      </c>
      <c r="X29" s="1302"/>
      <c r="Y29" s="3634"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34"/>
      <c r="Q30" s="819" t="str">
        <f t="shared" si="8"/>
        <v>项目建筑规模</v>
      </c>
      <c r="R30" s="1310" t="s">
        <v>5</v>
      </c>
      <c r="S30" s="1311" t="e">
        <f t="shared" si="9"/>
        <v>#N/A</v>
      </c>
      <c r="T30" s="1310" t="s">
        <v>5</v>
      </c>
      <c r="U30" s="1311" t="e">
        <f t="shared" si="10"/>
        <v>#N/A</v>
      </c>
      <c r="V30" s="1310" t="s">
        <v>5</v>
      </c>
      <c r="W30" s="1311" t="e">
        <f t="shared" si="11"/>
        <v>#N/A</v>
      </c>
      <c r="X30" s="1312"/>
      <c r="Y30" s="3634"/>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34"/>
      <c r="Q31" s="1306" t="str">
        <f t="shared" si="8"/>
        <v>建筑结构</v>
      </c>
      <c r="R31" s="1307" t="s">
        <v>5</v>
      </c>
      <c r="S31" s="1308">
        <f t="shared" si="9"/>
        <v>100</v>
      </c>
      <c r="T31" s="1307" t="s">
        <v>5</v>
      </c>
      <c r="U31" s="1308">
        <f t="shared" si="10"/>
        <v>100</v>
      </c>
      <c r="V31" s="1307" t="s">
        <v>5</v>
      </c>
      <c r="W31" s="1308">
        <f t="shared" si="11"/>
        <v>100</v>
      </c>
      <c r="X31" s="1302"/>
      <c r="Y31" s="3634"/>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34"/>
      <c r="Q32" s="1306" t="str">
        <f t="shared" si="8"/>
        <v>公共部分装修</v>
      </c>
      <c r="R32" s="1307" t="s">
        <v>5</v>
      </c>
      <c r="S32" s="1308">
        <f t="shared" si="9"/>
        <v>100</v>
      </c>
      <c r="T32" s="1307" t="s">
        <v>5</v>
      </c>
      <c r="U32" s="1308">
        <f t="shared" si="10"/>
        <v>100</v>
      </c>
      <c r="V32" s="1307" t="s">
        <v>5</v>
      </c>
      <c r="W32" s="1308">
        <f t="shared" si="11"/>
        <v>100</v>
      </c>
      <c r="X32" s="1302"/>
      <c r="Y32" s="3634"/>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34"/>
      <c r="Q33" s="1306" t="str">
        <f t="shared" si="8"/>
        <v>成新度</v>
      </c>
      <c r="R33" s="1307" t="s">
        <v>5</v>
      </c>
      <c r="S33" s="1308" t="e">
        <f t="shared" si="9"/>
        <v>#N/A</v>
      </c>
      <c r="T33" s="1307" t="s">
        <v>5</v>
      </c>
      <c r="U33" s="1308" t="e">
        <f t="shared" si="10"/>
        <v>#N/A</v>
      </c>
      <c r="V33" s="1307" t="s">
        <v>5</v>
      </c>
      <c r="W33" s="1308" t="e">
        <f t="shared" si="11"/>
        <v>#N/A</v>
      </c>
      <c r="X33" s="1302"/>
      <c r="Y33" s="3634"/>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34"/>
      <c r="Q34" s="818" t="str">
        <f t="shared" si="8"/>
        <v>物业管理</v>
      </c>
      <c r="R34" s="1303" t="s">
        <v>5</v>
      </c>
      <c r="S34" s="1304">
        <f t="shared" si="9"/>
        <v>100</v>
      </c>
      <c r="T34" s="1303" t="s">
        <v>5</v>
      </c>
      <c r="U34" s="1304">
        <f t="shared" si="10"/>
        <v>100</v>
      </c>
      <c r="V34" s="1303" t="s">
        <v>5</v>
      </c>
      <c r="W34" s="1304">
        <f t="shared" si="11"/>
        <v>100</v>
      </c>
      <c r="X34" s="1305"/>
      <c r="Y34" s="3634"/>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34" t="s">
        <v>499</v>
      </c>
      <c r="Q35" s="1306" t="str">
        <f t="shared" si="8"/>
        <v>市政基础设施</v>
      </c>
      <c r="R35" s="1307" t="s">
        <v>5</v>
      </c>
      <c r="S35" s="1308">
        <f t="shared" si="9"/>
        <v>100</v>
      </c>
      <c r="T35" s="1307" t="s">
        <v>5</v>
      </c>
      <c r="U35" s="1308">
        <f t="shared" si="10"/>
        <v>100</v>
      </c>
      <c r="V35" s="1307" t="s">
        <v>5</v>
      </c>
      <c r="W35" s="1308">
        <f t="shared" si="11"/>
        <v>100</v>
      </c>
      <c r="X35" s="1302"/>
      <c r="Y35" s="3634"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34"/>
      <c r="Q36" s="1306" t="str">
        <f t="shared" si="8"/>
        <v>内部装修</v>
      </c>
      <c r="R36" s="1307" t="s">
        <v>5</v>
      </c>
      <c r="S36" s="1308">
        <f t="shared" si="9"/>
        <v>100</v>
      </c>
      <c r="T36" s="1307" t="s">
        <v>5</v>
      </c>
      <c r="U36" s="1308">
        <f t="shared" si="10"/>
        <v>100</v>
      </c>
      <c r="V36" s="1307" t="s">
        <v>5</v>
      </c>
      <c r="W36" s="1308">
        <f t="shared" si="11"/>
        <v>100</v>
      </c>
      <c r="X36" s="1302"/>
      <c r="Y36" s="3634"/>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34"/>
      <c r="Q37" s="1306" t="str">
        <f t="shared" si="8"/>
        <v>内部装修状况</v>
      </c>
      <c r="R37" s="1307" t="s">
        <v>5</v>
      </c>
      <c r="S37" s="1308">
        <f t="shared" si="9"/>
        <v>100</v>
      </c>
      <c r="T37" s="1307" t="s">
        <v>5</v>
      </c>
      <c r="U37" s="1308">
        <f t="shared" si="10"/>
        <v>100</v>
      </c>
      <c r="V37" s="1307" t="s">
        <v>5</v>
      </c>
      <c r="W37" s="1308">
        <f t="shared" si="11"/>
        <v>100</v>
      </c>
      <c r="X37" s="1302"/>
      <c r="Y37" s="3634"/>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34"/>
      <c r="Q38" s="819">
        <f t="shared" si="8"/>
        <v>111</v>
      </c>
      <c r="R38" s="1310" t="s">
        <v>5</v>
      </c>
      <c r="S38" s="1311">
        <f t="shared" si="9"/>
        <v>100</v>
      </c>
      <c r="T38" s="1310" t="s">
        <v>5</v>
      </c>
      <c r="U38" s="1311">
        <f t="shared" si="10"/>
        <v>100</v>
      </c>
      <c r="V38" s="1310" t="s">
        <v>5</v>
      </c>
      <c r="W38" s="1311">
        <f t="shared" si="11"/>
        <v>100</v>
      </c>
      <c r="X38" s="1312"/>
      <c r="Y38" s="3634"/>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34"/>
      <c r="Q39" s="1306">
        <f t="shared" si="8"/>
        <v>111</v>
      </c>
      <c r="R39" s="1307" t="s">
        <v>5</v>
      </c>
      <c r="S39" s="1308">
        <f t="shared" si="9"/>
        <v>100</v>
      </c>
      <c r="T39" s="1307" t="s">
        <v>5</v>
      </c>
      <c r="U39" s="1308">
        <f t="shared" si="10"/>
        <v>100</v>
      </c>
      <c r="V39" s="1307" t="s">
        <v>5</v>
      </c>
      <c r="W39" s="1308">
        <f t="shared" si="11"/>
        <v>100</v>
      </c>
      <c r="X39" s="1302"/>
      <c r="Y39" s="3634"/>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24"/>
      <c r="Q40" s="1306">
        <f t="shared" si="8"/>
        <v>111</v>
      </c>
      <c r="R40" s="1307" t="s">
        <v>5</v>
      </c>
      <c r="S40" s="1308">
        <f t="shared" si="9"/>
        <v>100</v>
      </c>
      <c r="T40" s="1307" t="s">
        <v>5</v>
      </c>
      <c r="U40" s="1308">
        <f t="shared" si="10"/>
        <v>100</v>
      </c>
      <c r="V40" s="1307" t="s">
        <v>5</v>
      </c>
      <c r="W40" s="1308">
        <f t="shared" si="11"/>
        <v>100</v>
      </c>
      <c r="X40" s="1302"/>
      <c r="Y40" s="3724"/>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598" t="str">
        <f>A41</f>
        <v>成交单价（元/平方米）</v>
      </c>
      <c r="Q41" s="3598"/>
      <c r="R41" s="3599">
        <f>E41</f>
        <v>0</v>
      </c>
      <c r="S41" s="3599"/>
      <c r="T41" s="3599">
        <f>G41</f>
        <v>0</v>
      </c>
      <c r="U41" s="3599"/>
      <c r="V41" s="3599">
        <f>I41</f>
        <v>0</v>
      </c>
      <c r="W41" s="3599"/>
      <c r="X41" s="799"/>
      <c r="Y41" s="1314"/>
      <c r="Z41" s="799"/>
      <c r="AA41" s="799"/>
      <c r="AB41" s="799"/>
      <c r="AC41" s="799"/>
    </row>
    <row r="42" spans="1:29" ht="15.75" thickBot="1">
      <c r="A42" s="564" t="s">
        <v>2042</v>
      </c>
      <c r="B42" s="813"/>
      <c r="C42" s="2082" t="e">
        <f>R43</f>
        <v>#DIV/0!</v>
      </c>
      <c r="D42" s="2550" t="s">
        <v>2250</v>
      </c>
      <c r="E42" s="2083" t="e">
        <f>R42</f>
        <v>#DIV/0!</v>
      </c>
      <c r="F42" s="2551"/>
      <c r="G42" s="2082" t="e">
        <f>T42</f>
        <v>#DIV/0!</v>
      </c>
      <c r="H42" s="2551"/>
      <c r="I42" s="2083" t="e">
        <f>V42</f>
        <v>#DIV/0!</v>
      </c>
      <c r="J42" s="2551"/>
      <c r="K42" s="2558">
        <f>F42+H42+J42</f>
        <v>0</v>
      </c>
      <c r="L42" s="1751"/>
      <c r="M42" s="1742"/>
      <c r="N42" s="1742"/>
      <c r="O42" s="1742"/>
      <c r="P42" s="3598" t="str">
        <f>A42</f>
        <v>比较价格（元/平方米）</v>
      </c>
      <c r="Q42" s="3598"/>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799"/>
      <c r="Y42" s="799"/>
      <c r="Z42" s="799"/>
      <c r="AA42" s="799"/>
      <c r="AB42" s="799"/>
      <c r="AC42" s="799"/>
    </row>
    <row r="43" spans="1:29" ht="15.75" thickBot="1">
      <c r="A43" s="568" t="s">
        <v>2187</v>
      </c>
      <c r="B43" s="569"/>
      <c r="C43" s="469" t="e">
        <f>R43</f>
        <v>#DIV/0!</v>
      </c>
      <c r="D43" s="469"/>
      <c r="E43" s="469"/>
      <c r="F43" s="469"/>
      <c r="G43" s="469"/>
      <c r="H43" s="469"/>
      <c r="I43" s="469"/>
      <c r="J43" s="469"/>
      <c r="K43" s="1336"/>
      <c r="L43" s="1751"/>
      <c r="M43" s="1742"/>
      <c r="N43" s="1742"/>
      <c r="O43" s="1742"/>
      <c r="P43" s="3635" t="str">
        <f>A43</f>
        <v>估价对象XX用房的比较价格（楼面单价，元/平方米）</v>
      </c>
      <c r="Q43" s="3636"/>
      <c r="R43" s="3723" t="e">
        <f>IF(F1="售价",ROUND(IF(D42="简单平均",AVERAGE(R42:V42),R42*F42+T42*H42+V42*J42),0),ROUND(IF(D42="简单平均",AVERAGE(R42:V42),R42*F42+T42*H42+V42*J42),1))</f>
        <v>#DIV/0!</v>
      </c>
      <c r="S43" s="3723"/>
      <c r="T43" s="3723"/>
      <c r="U43" s="3723"/>
      <c r="V43" s="3723"/>
      <c r="W43" s="3723"/>
      <c r="X43" s="799"/>
      <c r="Y43" s="799"/>
      <c r="Z43" s="799"/>
      <c r="AA43" s="799"/>
      <c r="AB43" s="799"/>
      <c r="AC43" s="799"/>
    </row>
    <row r="44" spans="1:29">
      <c r="A44" s="2719"/>
      <c r="B44" s="2719"/>
      <c r="C44" s="2719"/>
      <c r="D44" s="2719"/>
      <c r="E44" s="2719"/>
      <c r="F44" s="2719"/>
      <c r="G44" s="2721"/>
      <c r="H44" s="2719"/>
      <c r="I44" s="2719"/>
      <c r="J44" s="2719"/>
      <c r="K44" s="2722"/>
      <c r="L44" s="1755"/>
      <c r="M44" s="1742"/>
      <c r="N44" s="1742"/>
      <c r="O44" s="1742"/>
      <c r="P44" s="1742"/>
      <c r="Q44" s="1742"/>
      <c r="R44" s="1742"/>
      <c r="S44" s="1742"/>
      <c r="T44" s="1742"/>
      <c r="U44" s="1742"/>
      <c r="V44" s="1742"/>
      <c r="W44" s="1742"/>
      <c r="X44" s="1742"/>
      <c r="Y44" s="1742"/>
      <c r="Z44" s="1742"/>
      <c r="AA44" s="1742"/>
      <c r="AB44" s="1742"/>
      <c r="AC44" s="1742"/>
    </row>
    <row r="45" spans="1:29">
      <c r="A45" s="2719"/>
      <c r="B45" s="2719"/>
      <c r="C45" s="2719"/>
      <c r="D45" s="2719"/>
      <c r="E45" s="2719"/>
      <c r="F45" s="2719"/>
      <c r="G45" s="2719"/>
      <c r="H45" s="2719"/>
      <c r="I45" s="2719"/>
      <c r="J45" s="2719"/>
      <c r="K45" s="2722"/>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2025-9</v>
      </c>
      <c r="D52" s="2115">
        <f>EDATE(C52,-1)</f>
        <v>45870</v>
      </c>
      <c r="E52" s="2115">
        <f t="shared" ref="E52:O52" si="13">EDATE(D52,-1)</f>
        <v>45839</v>
      </c>
      <c r="F52" s="2115">
        <f t="shared" si="13"/>
        <v>45809</v>
      </c>
      <c r="G52" s="2115">
        <f t="shared" si="13"/>
        <v>45778</v>
      </c>
      <c r="H52" s="2115">
        <f t="shared" si="13"/>
        <v>45748</v>
      </c>
      <c r="I52" s="2115">
        <f t="shared" si="13"/>
        <v>45717</v>
      </c>
      <c r="J52" s="2115">
        <f t="shared" si="13"/>
        <v>45689</v>
      </c>
      <c r="K52" s="2115">
        <f t="shared" si="13"/>
        <v>45658</v>
      </c>
      <c r="L52" s="2115">
        <f t="shared" si="13"/>
        <v>45627</v>
      </c>
      <c r="M52" s="2115">
        <f t="shared" si="13"/>
        <v>45597</v>
      </c>
      <c r="N52" s="2115">
        <f t="shared" si="13"/>
        <v>45566</v>
      </c>
      <c r="O52" s="2115">
        <f t="shared" si="13"/>
        <v>45536</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受贵公司委托，我公司对北京市出让国有建设用地使用权抵押价格进行了预评估。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5431.65平方米。根据《建设工程规划许可证》[]、《出让合同》[]，估价对象规划建筑面积为11011.79平方米。</v>
      </c>
    </row>
    <row r="7" spans="1:4" ht="93.75">
      <c r="A7" s="2178" t="s">
        <v>2030</v>
      </c>
    </row>
    <row r="8" spans="1:4" ht="18.75">
      <c r="A8" s="1491" t="s">
        <v>1430</v>
      </c>
    </row>
    <row r="9" spans="1:4" ht="75">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2025年9月8日（评估专业人员勘察现场之日）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根据《国有土地使用证》[]，估价对象（分摊）出让国有建设用地使用权面积为5431.65平方米。根据《建设工程规划许可证》[]、《出让合同》[]，估价对象规划建筑面积为11011.79平方米。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F30" sqref="F3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t="s">
        <v>2728</v>
      </c>
      <c r="C1" s="455" t="s">
        <v>732</v>
      </c>
      <c r="D1" s="783" t="s">
        <v>2728</v>
      </c>
      <c r="E1" s="457"/>
      <c r="F1" s="2118" t="s">
        <v>3492</v>
      </c>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2688</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8171</v>
      </c>
      <c r="C3" s="786" t="s">
        <v>736</v>
      </c>
      <c r="D3" s="785">
        <f>SUMIF('数据-汇总表'!$C19:$C33,D1,'数据-汇总表'!$E19:$E33)</f>
        <v>3289.81</v>
      </c>
      <c r="E3" s="1537" t="s">
        <v>1594</v>
      </c>
      <c r="F3" s="785">
        <f>SUMIF('数据-取费表'!A5:A15,D1,'数据-取费表'!AH5:AH15)</f>
        <v>242</v>
      </c>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5">
      <c r="A4" s="463" t="s">
        <v>737</v>
      </c>
      <c r="B4" s="464"/>
      <c r="C4" s="3604" t="s">
        <v>738</v>
      </c>
      <c r="D4" s="3605"/>
      <c r="E4" s="3604" t="s">
        <v>739</v>
      </c>
      <c r="F4" s="3605"/>
      <c r="G4" s="3604" t="s">
        <v>740</v>
      </c>
      <c r="H4" s="3605"/>
      <c r="I4" s="3604" t="s">
        <v>741</v>
      </c>
      <c r="J4" s="3605"/>
      <c r="K4" s="465" t="s">
        <v>742</v>
      </c>
      <c r="L4" s="1741"/>
      <c r="M4" s="1742"/>
      <c r="N4" s="1742"/>
      <c r="O4" s="1742"/>
      <c r="P4" s="3606" t="s">
        <v>743</v>
      </c>
      <c r="Q4" s="3607"/>
      <c r="R4" s="3612" t="s">
        <v>739</v>
      </c>
      <c r="S4" s="3613"/>
      <c r="T4" s="3612" t="s">
        <v>740</v>
      </c>
      <c r="U4" s="3613"/>
      <c r="V4" s="3599" t="s">
        <v>741</v>
      </c>
      <c r="W4" s="3599"/>
      <c r="X4" s="1302"/>
      <c r="Y4" s="3612" t="s">
        <v>743</v>
      </c>
      <c r="Z4" s="3613"/>
      <c r="AA4" s="3601" t="s">
        <v>739</v>
      </c>
      <c r="AB4" s="3602" t="s">
        <v>740</v>
      </c>
      <c r="AC4" s="3601" t="s">
        <v>741</v>
      </c>
    </row>
    <row r="5" spans="1:29" ht="13.9" customHeight="1">
      <c r="A5" s="466"/>
      <c r="B5" s="467"/>
      <c r="C5" s="3620" t="s">
        <v>2181</v>
      </c>
      <c r="D5" s="3621"/>
      <c r="E5" s="3726" t="s">
        <v>3498</v>
      </c>
      <c r="F5" s="3621"/>
      <c r="G5" s="3726" t="s">
        <v>3499</v>
      </c>
      <c r="H5" s="3621"/>
      <c r="I5" s="3726" t="s">
        <v>3503</v>
      </c>
      <c r="J5" s="3621"/>
      <c r="K5" s="465"/>
      <c r="L5" s="1741"/>
      <c r="M5" s="1742"/>
      <c r="N5" s="1742"/>
      <c r="O5" s="1742"/>
      <c r="P5" s="3608"/>
      <c r="Q5" s="3609"/>
      <c r="R5" s="3614"/>
      <c r="S5" s="3615"/>
      <c r="T5" s="3614"/>
      <c r="U5" s="3615"/>
      <c r="V5" s="3599"/>
      <c r="W5" s="3599"/>
      <c r="X5" s="1302"/>
      <c r="Y5" s="3614"/>
      <c r="Z5" s="3615"/>
      <c r="AA5" s="3602"/>
      <c r="AB5" s="3602"/>
      <c r="AC5" s="3602"/>
    </row>
    <row r="6" spans="1:29" ht="15.75" thickBot="1">
      <c r="A6" s="468"/>
      <c r="B6" s="469"/>
      <c r="C6" s="3618" t="s">
        <v>2185</v>
      </c>
      <c r="D6" s="3619"/>
      <c r="E6" s="3622" t="s">
        <v>2185</v>
      </c>
      <c r="F6" s="3623"/>
      <c r="G6" s="3618" t="s">
        <v>2185</v>
      </c>
      <c r="H6" s="3619"/>
      <c r="I6" s="3618" t="s">
        <v>2185</v>
      </c>
      <c r="J6" s="3619"/>
      <c r="K6" s="465" t="s">
        <v>477</v>
      </c>
      <c r="L6" s="1741"/>
      <c r="M6" s="1742"/>
      <c r="N6" s="1742"/>
      <c r="O6" s="1742"/>
      <c r="P6" s="3610"/>
      <c r="Q6" s="3611"/>
      <c r="R6" s="3614"/>
      <c r="S6" s="3615"/>
      <c r="T6" s="3616"/>
      <c r="U6" s="3617"/>
      <c r="V6" s="3599"/>
      <c r="W6" s="3599"/>
      <c r="X6" s="1302"/>
      <c r="Y6" s="3616"/>
      <c r="Z6" s="3617"/>
      <c r="AA6" s="3603"/>
      <c r="AB6" s="3603"/>
      <c r="AC6" s="3603"/>
    </row>
    <row r="7" spans="1:29" s="1060" customFormat="1" ht="15.75" thickBot="1">
      <c r="A7" s="2209"/>
      <c r="B7" s="2216" t="s">
        <v>478</v>
      </c>
      <c r="C7" s="470">
        <f>'数据-取费表'!B2</f>
        <v>45908</v>
      </c>
      <c r="D7" s="471">
        <v>100</v>
      </c>
      <c r="E7" s="472">
        <v>45901</v>
      </c>
      <c r="F7" s="473">
        <f>SUMIF(48:48,YEAR(E7)&amp;"-"&amp;MONTH(E7),49:49)</f>
        <v>100</v>
      </c>
      <c r="G7" s="472">
        <v>45901</v>
      </c>
      <c r="H7" s="471">
        <f>SUMIF(48:48,YEAR(G7)&amp;"-"&amp;MONTH(G7),49:49)</f>
        <v>100</v>
      </c>
      <c r="I7" s="472">
        <v>45901</v>
      </c>
      <c r="J7" s="471">
        <f>SUMIF(48:48,YEAR(I7)&amp;"-"&amp;MONTH(I7),49:49)</f>
        <v>100</v>
      </c>
      <c r="K7" s="88"/>
      <c r="L7" s="1743"/>
      <c r="M7" s="1640"/>
      <c r="N7" s="1640"/>
      <c r="O7" s="1640"/>
      <c r="P7" s="3628" t="s">
        <v>479</v>
      </c>
      <c r="Q7" s="3630"/>
      <c r="R7" s="1303" t="s">
        <v>5</v>
      </c>
      <c r="S7" s="1304">
        <f t="shared" ref="S7:S14" si="0">F7</f>
        <v>100</v>
      </c>
      <c r="T7" s="1303" t="s">
        <v>5</v>
      </c>
      <c r="U7" s="1304">
        <f t="shared" ref="U7:U14" si="1">H7</f>
        <v>100</v>
      </c>
      <c r="V7" s="1303" t="s">
        <v>5</v>
      </c>
      <c r="W7" s="1304">
        <f t="shared" ref="W7:W14" si="2">J7</f>
        <v>100</v>
      </c>
      <c r="X7" s="1305"/>
      <c r="Y7" s="3628" t="s">
        <v>479</v>
      </c>
      <c r="Z7" s="3629"/>
      <c r="AA7" s="997">
        <f>D7/F7</f>
        <v>1</v>
      </c>
      <c r="AB7" s="997">
        <f>D7/H7</f>
        <v>1</v>
      </c>
      <c r="AC7" s="997">
        <f>D7/J7</f>
        <v>1</v>
      </c>
    </row>
    <row r="8" spans="1:29" s="1060" customFormat="1" ht="15.75" thickBot="1">
      <c r="A8" s="2210"/>
      <c r="B8" s="2217" t="s">
        <v>480</v>
      </c>
      <c r="C8" s="475" t="s">
        <v>524</v>
      </c>
      <c r="D8" s="471">
        <v>100</v>
      </c>
      <c r="E8" s="475" t="s">
        <v>3469</v>
      </c>
      <c r="F8" s="473">
        <f>SUMIF(51:51,E8,52:52)-SUMIF(51:51,C8,52:52)+100</f>
        <v>100</v>
      </c>
      <c r="G8" s="475" t="s">
        <v>3469</v>
      </c>
      <c r="H8" s="471">
        <f>SUMIF(51:51,G8,52:52)-SUMIF(51:51,C8,52:52)+100</f>
        <v>100</v>
      </c>
      <c r="I8" s="475" t="s">
        <v>3469</v>
      </c>
      <c r="J8" s="471">
        <f>SUMIF(51:51,I8,52:52)-SUMIF(51:51,C8,52:52)+100</f>
        <v>100</v>
      </c>
      <c r="K8" s="88"/>
      <c r="L8" s="1743"/>
      <c r="M8" s="1640"/>
      <c r="N8" s="1640"/>
      <c r="O8" s="1640"/>
      <c r="P8" s="3628" t="s">
        <v>482</v>
      </c>
      <c r="Q8" s="3629"/>
      <c r="R8" s="1303" t="s">
        <v>5</v>
      </c>
      <c r="S8" s="1304">
        <f t="shared" si="0"/>
        <v>100</v>
      </c>
      <c r="T8" s="1303" t="s">
        <v>5</v>
      </c>
      <c r="U8" s="1304">
        <f t="shared" si="1"/>
        <v>100</v>
      </c>
      <c r="V8" s="1303" t="s">
        <v>5</v>
      </c>
      <c r="W8" s="1304">
        <f t="shared" si="2"/>
        <v>100</v>
      </c>
      <c r="X8" s="1305"/>
      <c r="Y8" s="3628" t="s">
        <v>482</v>
      </c>
      <c r="Z8" s="3629"/>
      <c r="AA8" s="997">
        <f t="shared" ref="AA8:AA36" si="3">D8/F8</f>
        <v>1</v>
      </c>
      <c r="AB8" s="997">
        <f t="shared" ref="AB8:AB36" si="4">D8/H8</f>
        <v>1</v>
      </c>
      <c r="AC8" s="997">
        <f t="shared" ref="AC8:AC36" si="5">D8/J8</f>
        <v>1</v>
      </c>
    </row>
    <row r="9" spans="1:29" s="1060" customFormat="1" ht="15">
      <c r="A9" s="2211"/>
      <c r="B9" s="2218" t="s">
        <v>2038</v>
      </c>
      <c r="C9" s="791" t="s">
        <v>2728</v>
      </c>
      <c r="D9" s="154">
        <v>100</v>
      </c>
      <c r="E9" s="793" t="s">
        <v>2728</v>
      </c>
      <c r="F9" s="154">
        <f>SUMIF(53:53,E9,54:54)-SUMIF(53:53,C9,54:54)+100</f>
        <v>100</v>
      </c>
      <c r="G9" s="793" t="s">
        <v>2728</v>
      </c>
      <c r="H9" s="154">
        <f>SUMIF(53:53,G9,54:54)-SUMIF(53:53,C9,54:54)+100</f>
        <v>100</v>
      </c>
      <c r="I9" s="793" t="s">
        <v>2728</v>
      </c>
      <c r="J9" s="154">
        <f>SUMIF(53:53,I9,54:54)-SUMIF(53:53,C9,54:54)+100</f>
        <v>100</v>
      </c>
      <c r="K9" s="88"/>
      <c r="L9" s="1743"/>
      <c r="M9" s="1640"/>
      <c r="N9" s="1640"/>
      <c r="O9" s="1744"/>
      <c r="P9" s="3598" t="s">
        <v>484</v>
      </c>
      <c r="Q9" s="818" t="str">
        <f t="shared" ref="Q9:Q14" si="6">B9</f>
        <v>用途</v>
      </c>
      <c r="R9" s="1303" t="s">
        <v>5</v>
      </c>
      <c r="S9" s="1304">
        <f t="shared" si="0"/>
        <v>100</v>
      </c>
      <c r="T9" s="1303" t="s">
        <v>5</v>
      </c>
      <c r="U9" s="1304">
        <f t="shared" si="1"/>
        <v>100</v>
      </c>
      <c r="V9" s="1303" t="s">
        <v>5</v>
      </c>
      <c r="W9" s="1304">
        <f t="shared" si="2"/>
        <v>100</v>
      </c>
      <c r="X9" s="1305"/>
      <c r="Y9" s="3542" t="s">
        <v>485</v>
      </c>
      <c r="Z9" s="997" t="str">
        <f t="shared" ref="Z9:Z14" si="7">Q9</f>
        <v>用途</v>
      </c>
      <c r="AA9" s="997">
        <f t="shared" si="3"/>
        <v>1</v>
      </c>
      <c r="AB9" s="997">
        <f t="shared" si="4"/>
        <v>1</v>
      </c>
      <c r="AC9" s="997">
        <f t="shared" si="5"/>
        <v>1</v>
      </c>
    </row>
    <row r="10" spans="1:29" s="1133" customFormat="1" ht="27">
      <c r="A10" s="2212"/>
      <c r="B10" s="2217" t="s">
        <v>2039</v>
      </c>
      <c r="C10" s="3384"/>
      <c r="D10" s="235">
        <v>100</v>
      </c>
      <c r="E10" s="3384"/>
      <c r="F10" s="235">
        <f>SUMIF(55:55,E10,56:56)-SUMIF(55:55,C10,56:56)+100</f>
        <v>100</v>
      </c>
      <c r="G10" s="3384"/>
      <c r="H10" s="235">
        <f>SUMIF(55:55,G10,56:56)-SUMIF(55:55,C10,56:56)+100</f>
        <v>100</v>
      </c>
      <c r="I10" s="3384"/>
      <c r="J10" s="235">
        <f>SUMIF(55:55,I10,56:56)-SUMIF(55:55,C10,56:56)+100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8"/>
      <c r="Q11" s="818">
        <f t="shared" si="6"/>
        <v>111</v>
      </c>
      <c r="R11" s="1303" t="s">
        <v>5</v>
      </c>
      <c r="S11" s="1304">
        <f t="shared" si="0"/>
        <v>100</v>
      </c>
      <c r="T11" s="1303" t="s">
        <v>5</v>
      </c>
      <c r="U11" s="1304">
        <f t="shared" si="1"/>
        <v>100</v>
      </c>
      <c r="V11" s="1303" t="s">
        <v>5</v>
      </c>
      <c r="W11" s="1304">
        <f t="shared" si="2"/>
        <v>100</v>
      </c>
      <c r="X11" s="1305"/>
      <c r="Y11" s="3542"/>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42"/>
      <c r="Z12" s="997">
        <f t="shared" si="7"/>
        <v>111</v>
      </c>
      <c r="AA12" s="997">
        <f>D12/F12</f>
        <v>1</v>
      </c>
      <c r="AB12" s="997">
        <f>D12/H12</f>
        <v>1</v>
      </c>
      <c r="AC12" s="997">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42"/>
      <c r="Z13" s="997">
        <f t="shared" si="7"/>
        <v>111</v>
      </c>
      <c r="AA13" s="997">
        <f t="shared" si="3"/>
        <v>1</v>
      </c>
      <c r="AB13" s="997">
        <f t="shared" si="4"/>
        <v>1</v>
      </c>
      <c r="AC13" s="997">
        <f t="shared" si="5"/>
        <v>1</v>
      </c>
    </row>
    <row r="14" spans="1:29" ht="15">
      <c r="A14" s="2207"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c r="L14" s="1749"/>
      <c r="M14" s="1742"/>
      <c r="N14" s="1742"/>
      <c r="O14" s="1748"/>
      <c r="P14" s="3631" t="s">
        <v>489</v>
      </c>
      <c r="Q14" s="1306" t="str">
        <f t="shared" si="6"/>
        <v>交通便捷度</v>
      </c>
      <c r="R14" s="1307" t="s">
        <v>5</v>
      </c>
      <c r="S14" s="1308">
        <f t="shared" si="0"/>
        <v>100</v>
      </c>
      <c r="T14" s="1307" t="s">
        <v>5</v>
      </c>
      <c r="U14" s="1308">
        <f t="shared" si="1"/>
        <v>100</v>
      </c>
      <c r="V14" s="1307" t="s">
        <v>5</v>
      </c>
      <c r="W14" s="1308">
        <f t="shared" si="2"/>
        <v>100</v>
      </c>
      <c r="X14" s="1302"/>
      <c r="Y14" s="3631" t="s">
        <v>489</v>
      </c>
      <c r="Z14" s="1309" t="str">
        <f t="shared" si="7"/>
        <v>交通便捷度</v>
      </c>
      <c r="AA14" s="1309">
        <f t="shared" si="3"/>
        <v>1</v>
      </c>
      <c r="AB14" s="1309">
        <f t="shared" si="4"/>
        <v>1</v>
      </c>
      <c r="AC14" s="1309">
        <f t="shared" si="5"/>
        <v>1</v>
      </c>
    </row>
    <row r="15" spans="1:29" ht="15">
      <c r="A15" s="466"/>
      <c r="B15" s="846"/>
      <c r="C15" s="526" t="s">
        <v>3470</v>
      </c>
      <c r="D15" s="505"/>
      <c r="E15" s="526" t="s">
        <v>3470</v>
      </c>
      <c r="F15" s="507"/>
      <c r="G15" s="526" t="s">
        <v>3470</v>
      </c>
      <c r="H15" s="509"/>
      <c r="I15" s="526" t="s">
        <v>3470</v>
      </c>
      <c r="J15" s="505"/>
      <c r="K15" s="823"/>
      <c r="L15" s="1749"/>
      <c r="M15" s="1742"/>
      <c r="N15" s="1742"/>
      <c r="O15" s="1748"/>
      <c r="P15" s="3632"/>
      <c r="Q15" s="1306"/>
      <c r="R15" s="1307"/>
      <c r="S15" s="1308"/>
      <c r="T15" s="1307"/>
      <c r="U15" s="1308"/>
      <c r="V15" s="1307"/>
      <c r="W15" s="1308"/>
      <c r="X15" s="1302"/>
      <c r="Y15" s="3632"/>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c r="L16" s="1749"/>
      <c r="M16" s="1742"/>
      <c r="N16" s="1742"/>
      <c r="O16" s="1748"/>
      <c r="P16" s="3632"/>
      <c r="Q16" s="1306" t="str">
        <f>B16</f>
        <v>公共配套设施</v>
      </c>
      <c r="R16" s="1307" t="s">
        <v>5</v>
      </c>
      <c r="S16" s="1308">
        <f>F16</f>
        <v>100</v>
      </c>
      <c r="T16" s="1307" t="s">
        <v>5</v>
      </c>
      <c r="U16" s="1308">
        <f>H16</f>
        <v>100</v>
      </c>
      <c r="V16" s="1307" t="s">
        <v>5</v>
      </c>
      <c r="W16" s="1308">
        <f>J16</f>
        <v>100</v>
      </c>
      <c r="X16" s="1302"/>
      <c r="Y16" s="3632"/>
      <c r="Z16" s="1309" t="str">
        <f>Q16</f>
        <v>公共配套设施</v>
      </c>
      <c r="AA16" s="1309">
        <f t="shared" si="3"/>
        <v>1</v>
      </c>
      <c r="AB16" s="1309">
        <f t="shared" si="4"/>
        <v>1</v>
      </c>
      <c r="AC16" s="1309">
        <f t="shared" si="5"/>
        <v>1</v>
      </c>
    </row>
    <row r="17" spans="1:29" ht="15">
      <c r="A17" s="466"/>
      <c r="B17" s="516"/>
      <c r="C17" s="526" t="s">
        <v>3470</v>
      </c>
      <c r="D17" s="505"/>
      <c r="E17" s="526" t="s">
        <v>3470</v>
      </c>
      <c r="F17" s="507"/>
      <c r="G17" s="526" t="s">
        <v>3470</v>
      </c>
      <c r="H17" s="505"/>
      <c r="I17" s="526" t="s">
        <v>3470</v>
      </c>
      <c r="J17" s="505"/>
      <c r="K17" s="823"/>
      <c r="L17" s="1749"/>
      <c r="M17" s="1742"/>
      <c r="N17" s="1742"/>
      <c r="O17" s="1748"/>
      <c r="P17" s="3632"/>
      <c r="Q17" s="1306"/>
      <c r="R17" s="1307"/>
      <c r="S17" s="1308"/>
      <c r="T17" s="1307"/>
      <c r="U17" s="1308"/>
      <c r="V17" s="1307"/>
      <c r="W17" s="1308"/>
      <c r="X17" s="1302"/>
      <c r="Y17" s="3632"/>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c r="L18" s="1749"/>
      <c r="M18" s="1742"/>
      <c r="N18" s="1742"/>
      <c r="O18" s="1748"/>
      <c r="P18" s="3632"/>
      <c r="Q18" s="1306" t="str">
        <f>B18</f>
        <v>基础设施水平</v>
      </c>
      <c r="R18" s="1307" t="s">
        <v>5</v>
      </c>
      <c r="S18" s="1308">
        <f>F18</f>
        <v>100</v>
      </c>
      <c r="T18" s="1307" t="s">
        <v>5</v>
      </c>
      <c r="U18" s="1308">
        <f>H18</f>
        <v>100</v>
      </c>
      <c r="V18" s="1307" t="s">
        <v>5</v>
      </c>
      <c r="W18" s="1308">
        <f>J18</f>
        <v>100</v>
      </c>
      <c r="X18" s="1302"/>
      <c r="Y18" s="3632"/>
      <c r="Z18" s="1309" t="str">
        <f>Q18</f>
        <v>基础设施水平</v>
      </c>
      <c r="AA18" s="1309">
        <f>D18/F18</f>
        <v>1</v>
      </c>
      <c r="AB18" s="1309">
        <f>D18/H18</f>
        <v>1</v>
      </c>
      <c r="AC18" s="1309">
        <f>D18/J18</f>
        <v>1</v>
      </c>
    </row>
    <row r="19" spans="1:29" ht="15">
      <c r="A19" s="466"/>
      <c r="B19" s="528"/>
      <c r="C19" s="802" t="s">
        <v>3468</v>
      </c>
      <c r="D19" s="509"/>
      <c r="E19" s="802" t="s">
        <v>3468</v>
      </c>
      <c r="F19" s="507"/>
      <c r="G19" s="802" t="s">
        <v>3468</v>
      </c>
      <c r="H19" s="505"/>
      <c r="I19" s="802" t="s">
        <v>3468</v>
      </c>
      <c r="J19" s="505"/>
      <c r="K19" s="2061"/>
      <c r="L19" s="1749"/>
      <c r="M19" s="1742"/>
      <c r="N19" s="1742"/>
      <c r="O19" s="1748"/>
      <c r="P19" s="3632"/>
      <c r="Q19" s="1306"/>
      <c r="R19" s="1307"/>
      <c r="S19" s="1308"/>
      <c r="T19" s="1307"/>
      <c r="U19" s="1308"/>
      <c r="V19" s="1307"/>
      <c r="W19" s="1308"/>
      <c r="X19" s="1302"/>
      <c r="Y19" s="3632"/>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c r="L20" s="1749"/>
      <c r="M20" s="1742"/>
      <c r="N20" s="1742"/>
      <c r="O20" s="1748"/>
      <c r="P20" s="3632"/>
      <c r="Q20" s="1306" t="str">
        <f>B20</f>
        <v>自然及人文环境</v>
      </c>
      <c r="R20" s="1307" t="s">
        <v>5</v>
      </c>
      <c r="S20" s="1308">
        <f>F20</f>
        <v>100</v>
      </c>
      <c r="T20" s="1307" t="s">
        <v>5</v>
      </c>
      <c r="U20" s="1308">
        <f>H20</f>
        <v>100</v>
      </c>
      <c r="V20" s="1307" t="s">
        <v>5</v>
      </c>
      <c r="W20" s="1308">
        <f>J20</f>
        <v>100</v>
      </c>
      <c r="X20" s="1302"/>
      <c r="Y20" s="3632"/>
      <c r="Z20" s="1309" t="str">
        <f>Q20</f>
        <v>自然及人文环境</v>
      </c>
      <c r="AA20" s="1309">
        <f t="shared" si="3"/>
        <v>1</v>
      </c>
      <c r="AB20" s="1309">
        <f t="shared" si="4"/>
        <v>1</v>
      </c>
      <c r="AC20" s="1309">
        <f t="shared" si="5"/>
        <v>1</v>
      </c>
    </row>
    <row r="21" spans="1:29" ht="15">
      <c r="A21" s="466"/>
      <c r="B21" s="516"/>
      <c r="C21" s="526" t="s">
        <v>3470</v>
      </c>
      <c r="D21" s="505"/>
      <c r="E21" s="526" t="s">
        <v>3470</v>
      </c>
      <c r="F21" s="507"/>
      <c r="G21" s="526" t="s">
        <v>3470</v>
      </c>
      <c r="H21" s="505"/>
      <c r="I21" s="526" t="s">
        <v>3470</v>
      </c>
      <c r="J21" s="505"/>
      <c r="K21" s="823"/>
      <c r="L21" s="1749"/>
      <c r="M21" s="1742"/>
      <c r="N21" s="1742"/>
      <c r="O21" s="1748"/>
      <c r="P21" s="3632"/>
      <c r="Q21" s="1306"/>
      <c r="R21" s="1307"/>
      <c r="S21" s="1308"/>
      <c r="T21" s="1307"/>
      <c r="U21" s="1308"/>
      <c r="V21" s="1307"/>
      <c r="W21" s="1308"/>
      <c r="X21" s="1302"/>
      <c r="Y21" s="3632"/>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32"/>
      <c r="Q22" s="1306" t="str">
        <f>B22</f>
        <v>楼层</v>
      </c>
      <c r="R22" s="1307" t="s">
        <v>5</v>
      </c>
      <c r="S22" s="1308">
        <f>F22</f>
        <v>100</v>
      </c>
      <c r="T22" s="1307" t="s">
        <v>5</v>
      </c>
      <c r="U22" s="1308">
        <f>H22</f>
        <v>100</v>
      </c>
      <c r="V22" s="1307" t="s">
        <v>5</v>
      </c>
      <c r="W22" s="1308">
        <f>J22</f>
        <v>100</v>
      </c>
      <c r="X22" s="1302"/>
      <c r="Y22" s="3632"/>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32"/>
      <c r="Q23" s="1306">
        <f>B23</f>
        <v>111</v>
      </c>
      <c r="R23" s="1307" t="s">
        <v>5</v>
      </c>
      <c r="S23" s="1308">
        <f>F23</f>
        <v>100</v>
      </c>
      <c r="T23" s="1307" t="s">
        <v>5</v>
      </c>
      <c r="U23" s="1308">
        <f>H23</f>
        <v>100</v>
      </c>
      <c r="V23" s="1307" t="s">
        <v>5</v>
      </c>
      <c r="W23" s="1308">
        <f>J23</f>
        <v>100</v>
      </c>
      <c r="X23" s="1302"/>
      <c r="Y23" s="3632"/>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32"/>
      <c r="Q24" s="1306">
        <f t="shared" ref="Q24:Q36" si="8">B24</f>
        <v>111</v>
      </c>
      <c r="R24" s="1307" t="s">
        <v>5</v>
      </c>
      <c r="S24" s="1308">
        <f>F24</f>
        <v>100</v>
      </c>
      <c r="T24" s="1307" t="s">
        <v>5</v>
      </c>
      <c r="U24" s="1308">
        <f>H24</f>
        <v>100</v>
      </c>
      <c r="V24" s="1307" t="s">
        <v>5</v>
      </c>
      <c r="W24" s="1308">
        <f>J24</f>
        <v>100</v>
      </c>
      <c r="X24" s="1302"/>
      <c r="Y24" s="3632"/>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32"/>
      <c r="Q25" s="818">
        <f t="shared" si="8"/>
        <v>111</v>
      </c>
      <c r="R25" s="1303" t="s">
        <v>5</v>
      </c>
      <c r="S25" s="1304">
        <f>F25</f>
        <v>100</v>
      </c>
      <c r="T25" s="1303" t="s">
        <v>5</v>
      </c>
      <c r="U25" s="1304">
        <f>H25</f>
        <v>100</v>
      </c>
      <c r="V25" s="1303" t="s">
        <v>5</v>
      </c>
      <c r="W25" s="1304">
        <f>J25</f>
        <v>100</v>
      </c>
      <c r="X25" s="1305"/>
      <c r="Y25" s="3632"/>
      <c r="Z25" s="997">
        <f>Q25</f>
        <v>111</v>
      </c>
      <c r="AA25" s="1309">
        <f>D25/F25</f>
        <v>1</v>
      </c>
      <c r="AB25" s="1309">
        <f>D25/H25</f>
        <v>1</v>
      </c>
      <c r="AC25" s="1309">
        <f>D25/J25</f>
        <v>1</v>
      </c>
    </row>
    <row r="26" spans="1:29" ht="15">
      <c r="A26" s="2204" t="s">
        <v>2037</v>
      </c>
      <c r="B26" s="154" t="s">
        <v>746</v>
      </c>
      <c r="C26" s="849" t="str">
        <f>B1</f>
        <v>车库</v>
      </c>
      <c r="D26" s="505">
        <v>100</v>
      </c>
      <c r="E26" s="526" t="s">
        <v>2728</v>
      </c>
      <c r="F26" s="507">
        <f>SUMIF(79:79,E26,80:80)-SUMIF(79:79,C26,80:80)+100</f>
        <v>100</v>
      </c>
      <c r="G26" s="526" t="s">
        <v>2728</v>
      </c>
      <c r="H26" s="505">
        <f>SUMIF(79:79,G26,80:80)-SUMIF(79:79,C26,80:80)+100</f>
        <v>100</v>
      </c>
      <c r="I26" s="526" t="s">
        <v>2728</v>
      </c>
      <c r="J26" s="505">
        <f>SUMIF(79:79,I26,80:80)-SUMIF(79:79,C26,80:80)+100</f>
        <v>100</v>
      </c>
      <c r="K26" s="533">
        <v>2</v>
      </c>
      <c r="L26" s="1749"/>
      <c r="M26" s="1742"/>
      <c r="N26" s="1742"/>
      <c r="O26" s="1748"/>
      <c r="P26" s="3633"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4"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34"/>
      <c r="Q27" s="819" t="str">
        <f t="shared" si="8"/>
        <v>项目停车位配比</v>
      </c>
      <c r="R27" s="1310" t="s">
        <v>5</v>
      </c>
      <c r="S27" s="1311">
        <f t="shared" si="9"/>
        <v>100</v>
      </c>
      <c r="T27" s="1310" t="s">
        <v>5</v>
      </c>
      <c r="U27" s="1311">
        <f t="shared" si="10"/>
        <v>100</v>
      </c>
      <c r="V27" s="1310" t="s">
        <v>5</v>
      </c>
      <c r="W27" s="1311">
        <f t="shared" si="11"/>
        <v>100</v>
      </c>
      <c r="X27" s="1312"/>
      <c r="Y27" s="3634"/>
      <c r="Z27" s="1313" t="str">
        <f t="shared" si="12"/>
        <v>项目停车位配比</v>
      </c>
      <c r="AA27" s="1309">
        <f t="shared" si="3"/>
        <v>1</v>
      </c>
      <c r="AB27" s="1309">
        <f t="shared" si="4"/>
        <v>1</v>
      </c>
      <c r="AC27" s="1309">
        <f t="shared" si="5"/>
        <v>1</v>
      </c>
    </row>
    <row r="28" spans="1:29" ht="15">
      <c r="A28" s="852"/>
      <c r="B28" s="235" t="s">
        <v>748</v>
      </c>
      <c r="C28" s="524" t="s">
        <v>3478</v>
      </c>
      <c r="D28" s="490">
        <v>100</v>
      </c>
      <c r="E28" s="524" t="s">
        <v>3478</v>
      </c>
      <c r="F28" s="525">
        <f>SUMIF(83:83,E28,84:84)-SUMIF(83:83,C28,84:84)+100</f>
        <v>100</v>
      </c>
      <c r="G28" s="524" t="s">
        <v>3478</v>
      </c>
      <c r="H28" s="490">
        <f>SUMIF(83:83,G28,84:84)-SUMIF(83:83,C28,84:84)+100</f>
        <v>100</v>
      </c>
      <c r="I28" s="524" t="s">
        <v>3478</v>
      </c>
      <c r="J28" s="490">
        <f>SUMIF(83:83,I28,84:84)-SUMIF(83:83,C28,84:84)+100</f>
        <v>100</v>
      </c>
      <c r="K28" s="533">
        <v>2</v>
      </c>
      <c r="L28" s="1749"/>
      <c r="M28" s="1742"/>
      <c r="N28" s="1742"/>
      <c r="O28" s="1748"/>
      <c r="P28" s="3634"/>
      <c r="Q28" s="1306" t="str">
        <f t="shared" si="8"/>
        <v>公共部分装修</v>
      </c>
      <c r="R28" s="1307" t="s">
        <v>5</v>
      </c>
      <c r="S28" s="1308">
        <f t="shared" si="9"/>
        <v>100</v>
      </c>
      <c r="T28" s="1307" t="s">
        <v>5</v>
      </c>
      <c r="U28" s="1308">
        <f t="shared" si="10"/>
        <v>100</v>
      </c>
      <c r="V28" s="1307" t="s">
        <v>5</v>
      </c>
      <c r="W28" s="1308">
        <f t="shared" si="11"/>
        <v>100</v>
      </c>
      <c r="X28" s="1302"/>
      <c r="Y28" s="3634"/>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34"/>
      <c r="Q29" s="1306" t="str">
        <f t="shared" si="8"/>
        <v>成新率</v>
      </c>
      <c r="R29" s="1307" t="s">
        <v>5</v>
      </c>
      <c r="S29" s="1308">
        <f t="shared" si="9"/>
        <v>100</v>
      </c>
      <c r="T29" s="1307" t="s">
        <v>5</v>
      </c>
      <c r="U29" s="1308">
        <f t="shared" si="10"/>
        <v>100</v>
      </c>
      <c r="V29" s="1307" t="s">
        <v>5</v>
      </c>
      <c r="W29" s="1308">
        <f t="shared" si="11"/>
        <v>100</v>
      </c>
      <c r="X29" s="1302"/>
      <c r="Y29" s="3634"/>
      <c r="Z29" s="1309" t="str">
        <f t="shared" si="12"/>
        <v>成新率</v>
      </c>
      <c r="AA29" s="1309">
        <f t="shared" si="3"/>
        <v>1</v>
      </c>
      <c r="AB29" s="1309">
        <f t="shared" si="4"/>
        <v>1</v>
      </c>
      <c r="AC29" s="1309">
        <f t="shared" si="5"/>
        <v>1</v>
      </c>
    </row>
    <row r="30" spans="1:29" ht="15">
      <c r="A30" s="852"/>
      <c r="B30" s="235" t="s">
        <v>750</v>
      </c>
      <c r="C30" s="853" t="s">
        <v>3479</v>
      </c>
      <c r="D30" s="490">
        <v>100</v>
      </c>
      <c r="E30" s="853" t="s">
        <v>3479</v>
      </c>
      <c r="F30" s="525">
        <f>SUMIF(88:88,E30,89:89)-SUMIF(88:88,C30,89:89)+100</f>
        <v>100</v>
      </c>
      <c r="G30" s="853" t="s">
        <v>3479</v>
      </c>
      <c r="H30" s="490">
        <f>SUMIF(88:88,E30,89:89)-SUMIF(88:88,C30,89:89)+100</f>
        <v>100</v>
      </c>
      <c r="I30" s="853" t="s">
        <v>3479</v>
      </c>
      <c r="J30" s="490">
        <f>SUMIF(88:88,E30,89:89)-SUMIF(88:88,C30,89:89)+100</f>
        <v>100</v>
      </c>
      <c r="K30" s="533">
        <v>2</v>
      </c>
      <c r="L30" s="1749"/>
      <c r="M30" s="1742"/>
      <c r="N30" s="1742"/>
      <c r="O30" s="1748"/>
      <c r="P30" s="3634"/>
      <c r="Q30" s="1306" t="str">
        <f t="shared" si="8"/>
        <v>物业等级</v>
      </c>
      <c r="R30" s="1307" t="s">
        <v>5</v>
      </c>
      <c r="S30" s="1308">
        <f t="shared" si="9"/>
        <v>100</v>
      </c>
      <c r="T30" s="1307" t="s">
        <v>5</v>
      </c>
      <c r="U30" s="1308">
        <f t="shared" si="10"/>
        <v>100</v>
      </c>
      <c r="V30" s="1307" t="s">
        <v>5</v>
      </c>
      <c r="W30" s="1308">
        <f t="shared" si="11"/>
        <v>100</v>
      </c>
      <c r="X30" s="1302"/>
      <c r="Y30" s="3634"/>
      <c r="Z30" s="1309" t="str">
        <f t="shared" si="12"/>
        <v>物业等级</v>
      </c>
      <c r="AA30" s="1309">
        <f t="shared" si="3"/>
        <v>1</v>
      </c>
      <c r="AB30" s="1309">
        <f t="shared" si="4"/>
        <v>1</v>
      </c>
      <c r="AC30" s="1309">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3"/>
      <c r="M31" s="1640"/>
      <c r="N31" s="1640"/>
      <c r="O31" s="1744"/>
      <c r="P31" s="3634"/>
      <c r="Q31" s="818" t="str">
        <f t="shared" si="8"/>
        <v>停车位面积</v>
      </c>
      <c r="R31" s="1303" t="s">
        <v>5</v>
      </c>
      <c r="S31" s="1304">
        <f t="shared" si="9"/>
        <v>100</v>
      </c>
      <c r="T31" s="1303" t="s">
        <v>5</v>
      </c>
      <c r="U31" s="1304">
        <f t="shared" si="10"/>
        <v>100</v>
      </c>
      <c r="V31" s="1303" t="s">
        <v>5</v>
      </c>
      <c r="W31" s="1304">
        <f t="shared" si="11"/>
        <v>100</v>
      </c>
      <c r="X31" s="1305"/>
      <c r="Y31" s="3634"/>
      <c r="Z31" s="997" t="str">
        <f t="shared" si="12"/>
        <v>停车位面积</v>
      </c>
      <c r="AA31" s="997">
        <f t="shared" si="3"/>
        <v>1</v>
      </c>
      <c r="AB31" s="997">
        <f t="shared" si="4"/>
        <v>1</v>
      </c>
      <c r="AC31" s="997">
        <f t="shared" si="5"/>
        <v>1</v>
      </c>
    </row>
    <row r="32" spans="1:29" ht="15">
      <c r="A32" s="852"/>
      <c r="B32" s="235" t="s">
        <v>752</v>
      </c>
      <c r="C32" s="524" t="s">
        <v>3496</v>
      </c>
      <c r="D32" s="490">
        <v>100</v>
      </c>
      <c r="E32" s="524" t="s">
        <v>3496</v>
      </c>
      <c r="F32" s="525">
        <f>SUMIF(93:93,E32,94:94)-SUMIF(93:93,C32,94:94)+100</f>
        <v>100</v>
      </c>
      <c r="G32" s="524" t="s">
        <v>3496</v>
      </c>
      <c r="H32" s="490">
        <f>SUMIF(93:93,G32,94:94)-SUMIF(93:93,C32,94:94)+100</f>
        <v>100</v>
      </c>
      <c r="I32" s="524" t="s">
        <v>3496</v>
      </c>
      <c r="J32" s="490">
        <f>SUMIF(93:93,I32,94:94)-SUMIF(93:93,C32,94:94)+100</f>
        <v>100</v>
      </c>
      <c r="K32" s="533">
        <v>2</v>
      </c>
      <c r="L32" s="1749"/>
      <c r="M32" s="1742"/>
      <c r="N32" s="1742"/>
      <c r="O32" s="1748"/>
      <c r="P32" s="3634" t="s">
        <v>499</v>
      </c>
      <c r="Q32" s="1306" t="str">
        <f t="shared" si="8"/>
        <v>车位类型</v>
      </c>
      <c r="R32" s="1307" t="s">
        <v>5</v>
      </c>
      <c r="S32" s="1308">
        <f t="shared" si="9"/>
        <v>100</v>
      </c>
      <c r="T32" s="1307" t="s">
        <v>5</v>
      </c>
      <c r="U32" s="1308">
        <f t="shared" si="10"/>
        <v>100</v>
      </c>
      <c r="V32" s="1307" t="s">
        <v>5</v>
      </c>
      <c r="W32" s="1308">
        <f t="shared" si="11"/>
        <v>100</v>
      </c>
      <c r="X32" s="1302"/>
      <c r="Y32" s="3634" t="s">
        <v>499</v>
      </c>
      <c r="Z32" s="1309" t="str">
        <f t="shared" si="12"/>
        <v>车位类型</v>
      </c>
      <c r="AA32" s="1309">
        <f t="shared" si="3"/>
        <v>1</v>
      </c>
      <c r="AB32" s="1309">
        <f t="shared" si="4"/>
        <v>1</v>
      </c>
      <c r="AC32" s="1309">
        <f t="shared" si="5"/>
        <v>1</v>
      </c>
    </row>
    <row r="33" spans="1:29" ht="15">
      <c r="A33" s="852"/>
      <c r="B33" s="235" t="s">
        <v>753</v>
      </c>
      <c r="C33" s="524" t="s">
        <v>3497</v>
      </c>
      <c r="D33" s="490">
        <v>100</v>
      </c>
      <c r="E33" s="524" t="s">
        <v>3497</v>
      </c>
      <c r="F33" s="525">
        <f>SUMIF(95:95,E33,96:96)-SUMIF(95:95,C33,96:96)+100</f>
        <v>100</v>
      </c>
      <c r="G33" s="524" t="s">
        <v>3497</v>
      </c>
      <c r="H33" s="490">
        <f>SUMIF(95:95,G33,96:96)-SUMIF(95:95,C33,96:96)+100</f>
        <v>100</v>
      </c>
      <c r="I33" s="524" t="s">
        <v>3497</v>
      </c>
      <c r="J33" s="490">
        <f>SUMIF(95:95,I33,96:96)-SUMIF(95:95,C33,96:96)+100</f>
        <v>100</v>
      </c>
      <c r="K33" s="533">
        <v>2</v>
      </c>
      <c r="L33" s="1749"/>
      <c r="M33" s="1742"/>
      <c r="N33" s="1742"/>
      <c r="O33" s="1748"/>
      <c r="P33" s="3634"/>
      <c r="Q33" s="1306" t="str">
        <f t="shared" si="8"/>
        <v>是否直接入户</v>
      </c>
      <c r="R33" s="1307" t="s">
        <v>5</v>
      </c>
      <c r="S33" s="1308">
        <f t="shared" si="9"/>
        <v>100</v>
      </c>
      <c r="T33" s="1307" t="s">
        <v>5</v>
      </c>
      <c r="U33" s="1308">
        <f t="shared" si="10"/>
        <v>100</v>
      </c>
      <c r="V33" s="1307" t="s">
        <v>5</v>
      </c>
      <c r="W33" s="1308">
        <f t="shared" si="11"/>
        <v>100</v>
      </c>
      <c r="X33" s="1302"/>
      <c r="Y33" s="3634"/>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34"/>
      <c r="Q34" s="1306">
        <f t="shared" si="8"/>
        <v>111</v>
      </c>
      <c r="R34" s="1307" t="s">
        <v>5</v>
      </c>
      <c r="S34" s="1308">
        <f t="shared" si="9"/>
        <v>100</v>
      </c>
      <c r="T34" s="1307" t="s">
        <v>5</v>
      </c>
      <c r="U34" s="1308">
        <f t="shared" si="10"/>
        <v>100</v>
      </c>
      <c r="V34" s="1307" t="s">
        <v>5</v>
      </c>
      <c r="W34" s="1308">
        <f t="shared" si="11"/>
        <v>100</v>
      </c>
      <c r="X34" s="1302"/>
      <c r="Y34" s="3634"/>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34"/>
      <c r="Q35" s="819">
        <f t="shared" si="8"/>
        <v>111</v>
      </c>
      <c r="R35" s="1310" t="s">
        <v>5</v>
      </c>
      <c r="S35" s="1311">
        <f t="shared" si="9"/>
        <v>100</v>
      </c>
      <c r="T35" s="1310" t="s">
        <v>5</v>
      </c>
      <c r="U35" s="1311">
        <f t="shared" si="10"/>
        <v>100</v>
      </c>
      <c r="V35" s="1310" t="s">
        <v>5</v>
      </c>
      <c r="W35" s="1311">
        <f t="shared" si="11"/>
        <v>100</v>
      </c>
      <c r="X35" s="1312"/>
      <c r="Y35" s="3634"/>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34"/>
      <c r="Q36" s="1306">
        <f t="shared" si="8"/>
        <v>111</v>
      </c>
      <c r="R36" s="1307" t="s">
        <v>5</v>
      </c>
      <c r="S36" s="1308">
        <f t="shared" si="9"/>
        <v>100</v>
      </c>
      <c r="T36" s="1307" t="s">
        <v>5</v>
      </c>
      <c r="U36" s="1308">
        <f t="shared" si="10"/>
        <v>100</v>
      </c>
      <c r="V36" s="1307" t="s">
        <v>5</v>
      </c>
      <c r="W36" s="1308">
        <f t="shared" si="11"/>
        <v>100</v>
      </c>
      <c r="X36" s="1302"/>
      <c r="Y36" s="3634"/>
      <c r="Z36" s="1309">
        <f t="shared" si="12"/>
        <v>111</v>
      </c>
      <c r="AA36" s="1309">
        <f t="shared" si="3"/>
        <v>1</v>
      </c>
      <c r="AB36" s="1309">
        <f t="shared" si="4"/>
        <v>1</v>
      </c>
      <c r="AC36" s="1309">
        <f t="shared" si="5"/>
        <v>1</v>
      </c>
    </row>
    <row r="37" spans="1:29" ht="15">
      <c r="A37" s="1535" t="s">
        <v>1595</v>
      </c>
      <c r="B37" s="1536" t="s">
        <v>3504</v>
      </c>
      <c r="C37" s="2081" t="s">
        <v>0</v>
      </c>
      <c r="D37" s="559"/>
      <c r="E37" s="560">
        <v>107387</v>
      </c>
      <c r="F37" s="561"/>
      <c r="G37" s="562">
        <v>106462</v>
      </c>
      <c r="H37" s="563"/>
      <c r="I37" s="560">
        <v>119368</v>
      </c>
      <c r="J37" s="563"/>
      <c r="K37" s="1335"/>
      <c r="L37" s="1751"/>
      <c r="M37" s="1742"/>
      <c r="N37" s="1742"/>
      <c r="O37" s="1742"/>
      <c r="P37" s="3598" t="str">
        <f>A37</f>
        <v>成交单价</v>
      </c>
      <c r="Q37" s="3598"/>
      <c r="R37" s="3599">
        <f>E37</f>
        <v>107387</v>
      </c>
      <c r="S37" s="3599"/>
      <c r="T37" s="3599">
        <f>G37</f>
        <v>106462</v>
      </c>
      <c r="U37" s="3599"/>
      <c r="V37" s="3599">
        <f>I37</f>
        <v>119368</v>
      </c>
      <c r="W37" s="3599"/>
      <c r="X37" s="799"/>
      <c r="Y37" s="1314"/>
      <c r="Z37" s="799"/>
      <c r="AA37" s="799"/>
      <c r="AB37" s="799"/>
      <c r="AC37" s="799"/>
    </row>
    <row r="38" spans="1:29" ht="15.75" thickBot="1">
      <c r="A38" s="564" t="s">
        <v>2042</v>
      </c>
      <c r="B38" s="813"/>
      <c r="C38" s="2082">
        <f>R39</f>
        <v>111072</v>
      </c>
      <c r="D38" s="2550" t="s">
        <v>2250</v>
      </c>
      <c r="E38" s="2083">
        <f>R38</f>
        <v>107387</v>
      </c>
      <c r="F38" s="2551"/>
      <c r="G38" s="2082">
        <f>T38</f>
        <v>106462</v>
      </c>
      <c r="H38" s="2551"/>
      <c r="I38" s="2083">
        <f>V38</f>
        <v>119368</v>
      </c>
      <c r="J38" s="2551"/>
      <c r="K38" s="2558">
        <f>F38+H38+J38</f>
        <v>0</v>
      </c>
      <c r="L38" s="1751"/>
      <c r="M38" s="1742"/>
      <c r="N38" s="1742"/>
      <c r="O38" s="1742"/>
      <c r="P38" s="3598" t="str">
        <f>A38</f>
        <v>比较价格（元/平方米）</v>
      </c>
      <c r="Q38" s="3598"/>
      <c r="R38" s="3599">
        <f>IF(F1="售价",ROUND(PRODUCT(R37,AA7:AA36),0),ROUND(PRODUCT(R37,AA7:AA36),1))</f>
        <v>107387</v>
      </c>
      <c r="S38" s="3599"/>
      <c r="T38" s="3599">
        <f>IF(F1="售价",ROUND(PRODUCT(T37,AB7:AB36),0),ROUND(PRODUCT(T37,AB7:AB36),1))</f>
        <v>106462</v>
      </c>
      <c r="U38" s="3599"/>
      <c r="V38" s="3599">
        <f>IF(F1="售价",ROUND(PRODUCT(V37,AC7:AC36),0),ROUND(PRODUCT(V37,AC7:AC36),1))</f>
        <v>119368</v>
      </c>
      <c r="W38" s="3599"/>
      <c r="X38" s="799"/>
      <c r="Y38" s="799"/>
      <c r="Z38" s="799"/>
      <c r="AA38" s="799"/>
      <c r="AB38" s="799"/>
      <c r="AC38" s="799"/>
    </row>
    <row r="39" spans="1:29" ht="15.75" thickBot="1">
      <c r="A39" s="568" t="s">
        <v>2187</v>
      </c>
      <c r="B39" s="569"/>
      <c r="C39" s="469">
        <f>R39</f>
        <v>111072</v>
      </c>
      <c r="D39" s="469"/>
      <c r="E39" s="469"/>
      <c r="F39" s="469"/>
      <c r="G39" s="469"/>
      <c r="H39" s="469"/>
      <c r="I39" s="469"/>
      <c r="J39" s="469"/>
      <c r="K39" s="1336"/>
      <c r="L39" s="1751"/>
      <c r="M39" s="1742"/>
      <c r="N39" s="1742"/>
      <c r="O39" s="1742"/>
      <c r="P39" s="3635" t="str">
        <f>A39</f>
        <v>估价对象XX用房的比较价格（楼面单价，元/平方米）</v>
      </c>
      <c r="Q39" s="3636"/>
      <c r="R39" s="3723">
        <f>IF(F1="售价",ROUND(IF(D38="简单平均",AVERAGE(R38:W38),R38*F38+T38*H38+V38*J38),0),ROUND(IF(D38="简单平均",AVERAGE(R38:V38),R38*F38+T38*H38+V38*J38),1))</f>
        <v>111072</v>
      </c>
      <c r="S39" s="3723"/>
      <c r="T39" s="3723"/>
      <c r="U39" s="3723"/>
      <c r="V39" s="3723"/>
      <c r="W39" s="3723"/>
      <c r="X39" s="799"/>
      <c r="Y39" s="799"/>
      <c r="Z39" s="799"/>
      <c r="AA39" s="799"/>
      <c r="AB39" s="799"/>
      <c r="AC39" s="799"/>
    </row>
    <row r="40" spans="1:29">
      <c r="A40" s="2719"/>
      <c r="B40" s="2719"/>
      <c r="C40" s="2719"/>
      <c r="D40" s="2719"/>
      <c r="E40" s="2719"/>
      <c r="F40" s="2719"/>
      <c r="G40" s="2721"/>
      <c r="H40" s="2719"/>
      <c r="I40" s="2719"/>
      <c r="J40" s="2719"/>
      <c r="K40" s="2722"/>
      <c r="L40" s="1755"/>
      <c r="M40" s="1742"/>
      <c r="N40" s="1742"/>
      <c r="O40" s="1742"/>
      <c r="P40" s="1742"/>
      <c r="Q40" s="1742"/>
      <c r="R40" s="1742"/>
      <c r="S40" s="1742"/>
      <c r="T40" s="1742"/>
      <c r="U40" s="1742"/>
      <c r="V40" s="1742"/>
      <c r="W40" s="1742"/>
      <c r="X40" s="1742"/>
      <c r="Y40" s="1742"/>
      <c r="Z40" s="1742"/>
      <c r="AA40" s="1742"/>
      <c r="AB40" s="1742"/>
      <c r="AC40" s="1742"/>
    </row>
    <row r="41" spans="1:29">
      <c r="A41" s="2719"/>
      <c r="B41" s="2719"/>
      <c r="C41" s="2719"/>
      <c r="D41" s="2719"/>
      <c r="E41" s="2719"/>
      <c r="F41" s="2719"/>
      <c r="G41" s="2719"/>
      <c r="H41" s="2719"/>
      <c r="I41" s="2719"/>
      <c r="J41" s="2719"/>
      <c r="K41" s="2722"/>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9"/>
      <c r="B42" s="2719"/>
      <c r="C42" s="571" t="s">
        <v>506</v>
      </c>
      <c r="D42" s="572"/>
      <c r="E42" s="573">
        <f>IF(E37&lt;E38,E38/E37-1,E37/E38-1)</f>
        <v>0</v>
      </c>
      <c r="F42" s="574" t="str">
        <f>IF(OR(E42&gt;=0.3,E42&lt;=-0.3),"超过30%","")</f>
        <v/>
      </c>
      <c r="G42" s="573">
        <f>IF(G37&lt;G38,G38/G37-1,G37/G38-1)</f>
        <v>0</v>
      </c>
      <c r="H42" s="574" t="str">
        <f>IF(OR(G42&gt;=0.3,G42&lt;=-0.3),"超过30%","")</f>
        <v/>
      </c>
      <c r="I42" s="573">
        <f>IF(I37&lt;I38,I38/I37-1,I37/I38-1)</f>
        <v>0</v>
      </c>
      <c r="J42" s="574" t="str">
        <f>IF(OR(I42&gt;=0.3,I42&lt;=-0.3),"超过30%","")</f>
        <v/>
      </c>
      <c r="K42" s="2722"/>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9"/>
      <c r="B43" s="2719"/>
      <c r="C43" s="571" t="s">
        <v>507</v>
      </c>
      <c r="D43" s="575"/>
      <c r="E43" s="573">
        <f>IF(E38&lt;G38,G38/E38-1,E38/G38-1)</f>
        <v>8.688546147921361E-3</v>
      </c>
      <c r="F43" s="574" t="str">
        <f>IF(OR(E43&gt;=0.2,E43&lt;=-0.2),"超过20%","")</f>
        <v/>
      </c>
      <c r="G43" s="573">
        <f>IF(G38&lt;I38,I38/G38-1,G38/I38-1)</f>
        <v>0.12122635306494334</v>
      </c>
      <c r="H43" s="574" t="str">
        <f>IF(OR(G43&gt;=0.2,G43&lt;=-0.2),"超过20%","")</f>
        <v/>
      </c>
      <c r="I43" s="573">
        <f>IF(I38&lt;E38,E38/I38-1,I38/E38-1)</f>
        <v>0.11156843938279315</v>
      </c>
      <c r="J43" s="574" t="str">
        <f>IF(OR(I43&gt;=0.2,I43&lt;=-0.2),"超过20%","")</f>
        <v/>
      </c>
      <c r="K43" s="2722"/>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0"/>
      <c r="B44" s="2720"/>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3"/>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2025-9</v>
      </c>
      <c r="D48" s="2115">
        <f>EDATE(C48,-1)</f>
        <v>45870</v>
      </c>
      <c r="E48" s="2115">
        <f t="shared" ref="E48:O48" si="13">EDATE(D48,-1)</f>
        <v>45839</v>
      </c>
      <c r="F48" s="2115">
        <f t="shared" si="13"/>
        <v>45809</v>
      </c>
      <c r="G48" s="2115">
        <f t="shared" si="13"/>
        <v>45778</v>
      </c>
      <c r="H48" s="2115">
        <f t="shared" si="13"/>
        <v>45748</v>
      </c>
      <c r="I48" s="2115">
        <f t="shared" si="13"/>
        <v>45717</v>
      </c>
      <c r="J48" s="2115">
        <f t="shared" si="13"/>
        <v>45689</v>
      </c>
      <c r="K48" s="2115">
        <f t="shared" si="13"/>
        <v>45658</v>
      </c>
      <c r="L48" s="2115">
        <f t="shared" si="13"/>
        <v>45627</v>
      </c>
      <c r="M48" s="2115">
        <f t="shared" si="13"/>
        <v>45597</v>
      </c>
      <c r="N48" s="2115">
        <f t="shared" si="13"/>
        <v>45566</v>
      </c>
      <c r="O48" s="2115">
        <f t="shared" si="13"/>
        <v>45536</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21" t="s">
        <v>3485</v>
      </c>
      <c r="D83" s="3421" t="s">
        <v>3486</v>
      </c>
      <c r="E83" s="3419" t="s">
        <v>3487</v>
      </c>
      <c r="F83" s="3419" t="s">
        <v>3488</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20</v>
      </c>
      <c r="E91" s="79">
        <v>30</v>
      </c>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v>100</v>
      </c>
      <c r="D92" s="613">
        <f>C92-1</f>
        <v>99</v>
      </c>
      <c r="E92" s="613">
        <f t="shared" ref="E92" si="19">D92-1</f>
        <v>98</v>
      </c>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21" t="s">
        <v>3500</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18" t="s">
        <v>3501</v>
      </c>
      <c r="D95" s="3418" t="s">
        <v>3502</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5">
      <c r="A4" s="463" t="s">
        <v>737</v>
      </c>
      <c r="B4" s="464"/>
      <c r="C4" s="3604" t="s">
        <v>738</v>
      </c>
      <c r="D4" s="3605"/>
      <c r="E4" s="3639" t="s">
        <v>739</v>
      </c>
      <c r="F4" s="3640"/>
      <c r="G4" s="3604" t="s">
        <v>740</v>
      </c>
      <c r="H4" s="3605"/>
      <c r="I4" s="3604" t="s">
        <v>741</v>
      </c>
      <c r="J4" s="3605"/>
      <c r="K4" s="465" t="s">
        <v>742</v>
      </c>
      <c r="L4" s="1741"/>
      <c r="M4" s="1742"/>
      <c r="N4" s="1742"/>
      <c r="O4" s="1742"/>
      <c r="P4" s="3606" t="s">
        <v>743</v>
      </c>
      <c r="Q4" s="3607"/>
      <c r="R4" s="3612" t="s">
        <v>739</v>
      </c>
      <c r="S4" s="3613"/>
      <c r="T4" s="3612" t="s">
        <v>740</v>
      </c>
      <c r="U4" s="3613"/>
      <c r="V4" s="3599" t="s">
        <v>741</v>
      </c>
      <c r="W4" s="3599"/>
      <c r="X4" s="1302"/>
      <c r="Y4" s="3612" t="s">
        <v>743</v>
      </c>
      <c r="Z4" s="3613"/>
      <c r="AA4" s="3601" t="s">
        <v>739</v>
      </c>
      <c r="AB4" s="3602" t="s">
        <v>740</v>
      </c>
      <c r="AC4" s="3601" t="s">
        <v>741</v>
      </c>
    </row>
    <row r="5" spans="1:29" ht="15">
      <c r="A5" s="466"/>
      <c r="B5" s="467"/>
      <c r="C5" s="3620" t="s">
        <v>2181</v>
      </c>
      <c r="D5" s="3621"/>
      <c r="E5" s="3641" t="s">
        <v>2182</v>
      </c>
      <c r="F5" s="3642"/>
      <c r="G5" s="3620" t="s">
        <v>2183</v>
      </c>
      <c r="H5" s="3621"/>
      <c r="I5" s="3620" t="s">
        <v>2184</v>
      </c>
      <c r="J5" s="3621"/>
      <c r="K5" s="465"/>
      <c r="L5" s="1741"/>
      <c r="M5" s="1742"/>
      <c r="N5" s="1742"/>
      <c r="O5" s="1742"/>
      <c r="P5" s="3608"/>
      <c r="Q5" s="3609"/>
      <c r="R5" s="3614"/>
      <c r="S5" s="3615"/>
      <c r="T5" s="3614"/>
      <c r="U5" s="3615"/>
      <c r="V5" s="3599"/>
      <c r="W5" s="3599"/>
      <c r="X5" s="1302"/>
      <c r="Y5" s="3614"/>
      <c r="Z5" s="3615"/>
      <c r="AA5" s="3602"/>
      <c r="AB5" s="3602"/>
      <c r="AC5" s="3602"/>
    </row>
    <row r="6" spans="1:29" ht="15.75" thickBot="1">
      <c r="A6" s="468"/>
      <c r="B6" s="469"/>
      <c r="C6" s="3618" t="s">
        <v>2185</v>
      </c>
      <c r="D6" s="3619"/>
      <c r="E6" s="3637" t="s">
        <v>2185</v>
      </c>
      <c r="F6" s="3638"/>
      <c r="G6" s="3618" t="s">
        <v>2185</v>
      </c>
      <c r="H6" s="3619"/>
      <c r="I6" s="3618" t="s">
        <v>2185</v>
      </c>
      <c r="J6" s="3619"/>
      <c r="K6" s="465" t="s">
        <v>477</v>
      </c>
      <c r="L6" s="1741"/>
      <c r="M6" s="1742"/>
      <c r="N6" s="1742"/>
      <c r="O6" s="1742"/>
      <c r="P6" s="3610"/>
      <c r="Q6" s="3611"/>
      <c r="R6" s="3614"/>
      <c r="S6" s="3615"/>
      <c r="T6" s="3616"/>
      <c r="U6" s="3617"/>
      <c r="V6" s="3599"/>
      <c r="W6" s="3599"/>
      <c r="X6" s="1302"/>
      <c r="Y6" s="3616"/>
      <c r="Z6" s="3617"/>
      <c r="AA6" s="3603"/>
      <c r="AB6" s="3603"/>
      <c r="AC6" s="3603"/>
    </row>
    <row r="7" spans="1:29" s="1060" customFormat="1" ht="15.75" thickBot="1">
      <c r="A7" s="2209"/>
      <c r="B7" s="2216" t="s">
        <v>478</v>
      </c>
      <c r="C7" s="470">
        <f>'数据-取费表'!B2</f>
        <v>45908</v>
      </c>
      <c r="D7" s="471">
        <v>100</v>
      </c>
      <c r="E7" s="472"/>
      <c r="F7" s="473">
        <f>SUMIF(46:46,YEAR(E7)&amp;"-"&amp;MONTH(E7),47:47)</f>
        <v>0</v>
      </c>
      <c r="G7" s="474"/>
      <c r="H7" s="471">
        <f>SUMIF(46:46,YEAR(G7)&amp;"-"&amp;MONTH(G7),47:47)</f>
        <v>0</v>
      </c>
      <c r="I7" s="474"/>
      <c r="J7" s="471">
        <f>SUMIF(46:46,YEAR(I7)&amp;"-"&amp;MONTH(I7),47:47)</f>
        <v>0</v>
      </c>
      <c r="K7" s="88"/>
      <c r="L7" s="1743"/>
      <c r="M7" s="1640"/>
      <c r="N7" s="1640"/>
      <c r="O7" s="1640"/>
      <c r="P7" s="3628" t="s">
        <v>479</v>
      </c>
      <c r="Q7" s="3630"/>
      <c r="R7" s="1303" t="s">
        <v>5</v>
      </c>
      <c r="S7" s="1304">
        <f t="shared" ref="S7:S14" si="0">F7</f>
        <v>0</v>
      </c>
      <c r="T7" s="1303" t="s">
        <v>5</v>
      </c>
      <c r="U7" s="1304">
        <f t="shared" ref="U7:U14" si="1">H7</f>
        <v>0</v>
      </c>
      <c r="V7" s="1303" t="s">
        <v>5</v>
      </c>
      <c r="W7" s="1304">
        <f t="shared" ref="W7:W14" si="2">J7</f>
        <v>0</v>
      </c>
      <c r="X7" s="1305"/>
      <c r="Y7" s="3628" t="s">
        <v>479</v>
      </c>
      <c r="Z7" s="3629"/>
      <c r="AA7" s="997" t="e">
        <f>D7/F7</f>
        <v>#DIV/0!</v>
      </c>
      <c r="AB7" s="997" t="e">
        <f>D7/H7</f>
        <v>#DIV/0!</v>
      </c>
      <c r="AC7" s="997" t="e">
        <f>D7/J7</f>
        <v>#DIV/0!</v>
      </c>
    </row>
    <row r="8" spans="1:29" s="1060"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28" t="s">
        <v>482</v>
      </c>
      <c r="Q8" s="3629"/>
      <c r="R8" s="1303" t="s">
        <v>5</v>
      </c>
      <c r="S8" s="1304">
        <f t="shared" si="0"/>
        <v>0</v>
      </c>
      <c r="T8" s="1303" t="s">
        <v>5</v>
      </c>
      <c r="U8" s="1304">
        <f t="shared" si="1"/>
        <v>0</v>
      </c>
      <c r="V8" s="1303" t="s">
        <v>5</v>
      </c>
      <c r="W8" s="1304">
        <f t="shared" si="2"/>
        <v>0</v>
      </c>
      <c r="X8" s="1305"/>
      <c r="Y8" s="3628" t="s">
        <v>482</v>
      </c>
      <c r="Z8" s="3629"/>
      <c r="AA8" s="997" t="e">
        <f t="shared" ref="AA8:AA34" si="3">D8/F8</f>
        <v>#DIV/0!</v>
      </c>
      <c r="AB8" s="997" t="e">
        <f t="shared" ref="AB8:AB34" si="4">D8/H8</f>
        <v>#DIV/0!</v>
      </c>
      <c r="AC8" s="997" t="e">
        <f t="shared" ref="AC8:AC34" si="5">D8/J8</f>
        <v>#DIV/0!</v>
      </c>
    </row>
    <row r="9" spans="1:29" s="1060"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8" t="s">
        <v>484</v>
      </c>
      <c r="Q9" s="818" t="str">
        <f t="shared" ref="Q9:Q14" si="6">B9</f>
        <v>用途</v>
      </c>
      <c r="R9" s="1303" t="s">
        <v>5</v>
      </c>
      <c r="S9" s="1304">
        <f t="shared" si="0"/>
        <v>100</v>
      </c>
      <c r="T9" s="1303" t="s">
        <v>5</v>
      </c>
      <c r="U9" s="1304">
        <f t="shared" si="1"/>
        <v>100</v>
      </c>
      <c r="V9" s="1303" t="s">
        <v>5</v>
      </c>
      <c r="W9" s="1304">
        <f t="shared" si="2"/>
        <v>100</v>
      </c>
      <c r="X9" s="1305"/>
      <c r="Y9" s="3542" t="s">
        <v>485</v>
      </c>
      <c r="Z9" s="997" t="str">
        <f t="shared" ref="Z9:Z14" si="7">Q9</f>
        <v>用途</v>
      </c>
      <c r="AA9" s="997">
        <f t="shared" si="3"/>
        <v>1</v>
      </c>
      <c r="AB9" s="997">
        <f t="shared" si="4"/>
        <v>1</v>
      </c>
      <c r="AC9" s="997">
        <f t="shared" si="5"/>
        <v>1</v>
      </c>
    </row>
    <row r="10" spans="1:29" s="1133" customFormat="1" ht="27">
      <c r="A10" s="2212"/>
      <c r="B10" s="2217"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42"/>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98"/>
      <c r="Q11" s="818">
        <f t="shared" si="6"/>
        <v>111</v>
      </c>
      <c r="R11" s="1303" t="s">
        <v>5</v>
      </c>
      <c r="S11" s="1304">
        <f t="shared" si="0"/>
        <v>100</v>
      </c>
      <c r="T11" s="1303" t="s">
        <v>5</v>
      </c>
      <c r="U11" s="1304">
        <f t="shared" si="1"/>
        <v>100</v>
      </c>
      <c r="V11" s="1303" t="s">
        <v>5</v>
      </c>
      <c r="W11" s="1304">
        <f t="shared" si="2"/>
        <v>100</v>
      </c>
      <c r="X11" s="1305"/>
      <c r="Y11" s="3542"/>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42"/>
      <c r="Z12" s="997">
        <f t="shared" si="7"/>
        <v>111</v>
      </c>
      <c r="AA12" s="997">
        <f>D12/F12</f>
        <v>1</v>
      </c>
      <c r="AB12" s="997">
        <f>D12/H12</f>
        <v>1</v>
      </c>
      <c r="AC12" s="997">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42"/>
      <c r="Z13" s="997">
        <f t="shared" si="7"/>
        <v>111</v>
      </c>
      <c r="AA13" s="997">
        <f t="shared" si="3"/>
        <v>1</v>
      </c>
      <c r="AB13" s="997">
        <f t="shared" si="4"/>
        <v>1</v>
      </c>
      <c r="AC13" s="997">
        <f t="shared" si="5"/>
        <v>1</v>
      </c>
    </row>
    <row r="14" spans="1:29" ht="15">
      <c r="A14" s="2207"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31" t="s">
        <v>489</v>
      </c>
      <c r="Q14" s="1306" t="str">
        <f t="shared" si="6"/>
        <v>交通便捷度</v>
      </c>
      <c r="R14" s="1307" t="s">
        <v>5</v>
      </c>
      <c r="S14" s="1308">
        <f t="shared" si="0"/>
        <v>100</v>
      </c>
      <c r="T14" s="1307" t="s">
        <v>5</v>
      </c>
      <c r="U14" s="1308">
        <f t="shared" si="1"/>
        <v>100</v>
      </c>
      <c r="V14" s="1307" t="s">
        <v>5</v>
      </c>
      <c r="W14" s="1308">
        <f t="shared" si="2"/>
        <v>100</v>
      </c>
      <c r="X14" s="1302"/>
      <c r="Y14" s="3631"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32"/>
      <c r="Q15" s="1306"/>
      <c r="R15" s="1307"/>
      <c r="S15" s="1308"/>
      <c r="T15" s="1307"/>
      <c r="U15" s="1308"/>
      <c r="V15" s="1307"/>
      <c r="W15" s="1308"/>
      <c r="X15" s="1302"/>
      <c r="Y15" s="3632"/>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32"/>
      <c r="Q16" s="1306" t="str">
        <f>B16</f>
        <v>公共配套设施</v>
      </c>
      <c r="R16" s="1307" t="s">
        <v>5</v>
      </c>
      <c r="S16" s="1308">
        <f>F16</f>
        <v>100</v>
      </c>
      <c r="T16" s="1307" t="s">
        <v>5</v>
      </c>
      <c r="U16" s="1308">
        <f>H16</f>
        <v>100</v>
      </c>
      <c r="V16" s="1307" t="s">
        <v>5</v>
      </c>
      <c r="W16" s="1308">
        <f>J16</f>
        <v>100</v>
      </c>
      <c r="X16" s="1302"/>
      <c r="Y16" s="3632"/>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32"/>
      <c r="Q17" s="1306"/>
      <c r="R17" s="1307"/>
      <c r="S17" s="1308"/>
      <c r="T17" s="1307"/>
      <c r="U17" s="1308"/>
      <c r="V17" s="1307"/>
      <c r="W17" s="1308"/>
      <c r="X17" s="1302"/>
      <c r="Y17" s="3632"/>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32"/>
      <c r="Q18" s="1306" t="str">
        <f>B18</f>
        <v>基础设施水平</v>
      </c>
      <c r="R18" s="1307" t="s">
        <v>5</v>
      </c>
      <c r="S18" s="1308">
        <f>F18</f>
        <v>100</v>
      </c>
      <c r="T18" s="1307" t="s">
        <v>5</v>
      </c>
      <c r="U18" s="1308">
        <f>H18</f>
        <v>100</v>
      </c>
      <c r="V18" s="1307" t="s">
        <v>5</v>
      </c>
      <c r="W18" s="1308">
        <f>J18</f>
        <v>100</v>
      </c>
      <c r="X18" s="1302"/>
      <c r="Y18" s="3632"/>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32"/>
      <c r="Q19" s="1306"/>
      <c r="R19" s="1307"/>
      <c r="S19" s="1308"/>
      <c r="T19" s="1307"/>
      <c r="U19" s="1308"/>
      <c r="V19" s="1307"/>
      <c r="W19" s="1308"/>
      <c r="X19" s="1302"/>
      <c r="Y19" s="3632"/>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32"/>
      <c r="Q20" s="1306" t="str">
        <f>B20</f>
        <v>自然及人文环境</v>
      </c>
      <c r="R20" s="1307" t="s">
        <v>5</v>
      </c>
      <c r="S20" s="1308">
        <f>F20</f>
        <v>100</v>
      </c>
      <c r="T20" s="1307" t="s">
        <v>5</v>
      </c>
      <c r="U20" s="1308">
        <f>H20</f>
        <v>100</v>
      </c>
      <c r="V20" s="1307" t="s">
        <v>5</v>
      </c>
      <c r="W20" s="1308">
        <f>J20</f>
        <v>100</v>
      </c>
      <c r="X20" s="1302"/>
      <c r="Y20" s="3632"/>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32"/>
      <c r="Q21" s="1306"/>
      <c r="R21" s="1307"/>
      <c r="S21" s="1308"/>
      <c r="T21" s="1307"/>
      <c r="U21" s="1308"/>
      <c r="V21" s="1307"/>
      <c r="W21" s="1308"/>
      <c r="X21" s="1302"/>
      <c r="Y21" s="3632"/>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32"/>
      <c r="Q22" s="1306" t="str">
        <f>B22</f>
        <v>楼层</v>
      </c>
      <c r="R22" s="1307" t="s">
        <v>5</v>
      </c>
      <c r="S22" s="1308">
        <f>F22</f>
        <v>100</v>
      </c>
      <c r="T22" s="1307" t="s">
        <v>5</v>
      </c>
      <c r="U22" s="1308">
        <f>H22</f>
        <v>100</v>
      </c>
      <c r="V22" s="1307" t="s">
        <v>5</v>
      </c>
      <c r="W22" s="1308">
        <f>J22</f>
        <v>100</v>
      </c>
      <c r="X22" s="1302"/>
      <c r="Y22" s="3632"/>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32"/>
      <c r="Q23" s="1306">
        <f>B23</f>
        <v>111</v>
      </c>
      <c r="R23" s="1307" t="s">
        <v>5</v>
      </c>
      <c r="S23" s="1308">
        <f>F23</f>
        <v>100</v>
      </c>
      <c r="T23" s="1307" t="s">
        <v>5</v>
      </c>
      <c r="U23" s="1308">
        <f>H23</f>
        <v>100</v>
      </c>
      <c r="V23" s="1307" t="s">
        <v>5</v>
      </c>
      <c r="W23" s="1308">
        <f>J23</f>
        <v>100</v>
      </c>
      <c r="X23" s="1302"/>
      <c r="Y23" s="3632"/>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32"/>
      <c r="Q24" s="1306">
        <f t="shared" ref="Q24:Q34" si="8">B24</f>
        <v>111</v>
      </c>
      <c r="R24" s="1307" t="s">
        <v>5</v>
      </c>
      <c r="S24" s="1308">
        <f>F24</f>
        <v>100</v>
      </c>
      <c r="T24" s="1307" t="s">
        <v>5</v>
      </c>
      <c r="U24" s="1308">
        <f>H24</f>
        <v>100</v>
      </c>
      <c r="V24" s="1307" t="s">
        <v>5</v>
      </c>
      <c r="W24" s="1308">
        <f>J24</f>
        <v>100</v>
      </c>
      <c r="X24" s="1302"/>
      <c r="Y24" s="3632"/>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32"/>
      <c r="Q25" s="818">
        <f t="shared" si="8"/>
        <v>111</v>
      </c>
      <c r="R25" s="1303" t="s">
        <v>5</v>
      </c>
      <c r="S25" s="1304">
        <f>F25</f>
        <v>100</v>
      </c>
      <c r="T25" s="1303" t="s">
        <v>5</v>
      </c>
      <c r="U25" s="1304">
        <f>H25</f>
        <v>100</v>
      </c>
      <c r="V25" s="1303" t="s">
        <v>5</v>
      </c>
      <c r="W25" s="1304">
        <f>J25</f>
        <v>100</v>
      </c>
      <c r="X25" s="1305"/>
      <c r="Y25" s="3632"/>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33"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4"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34"/>
      <c r="Q27" s="819" t="str">
        <f t="shared" si="8"/>
        <v>成新率</v>
      </c>
      <c r="R27" s="1310" t="s">
        <v>5</v>
      </c>
      <c r="S27" s="1311" t="e">
        <f t="shared" si="9"/>
        <v>#N/A</v>
      </c>
      <c r="T27" s="1310" t="s">
        <v>5</v>
      </c>
      <c r="U27" s="1311" t="e">
        <f t="shared" si="10"/>
        <v>#N/A</v>
      </c>
      <c r="V27" s="1310" t="s">
        <v>5</v>
      </c>
      <c r="W27" s="1311" t="e">
        <f t="shared" si="11"/>
        <v>#N/A</v>
      </c>
      <c r="X27" s="1312"/>
      <c r="Y27" s="3634"/>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34"/>
      <c r="Q28" s="1306" t="str">
        <f t="shared" si="8"/>
        <v>物业等级</v>
      </c>
      <c r="R28" s="1307" t="s">
        <v>5</v>
      </c>
      <c r="S28" s="1308">
        <f t="shared" si="9"/>
        <v>100</v>
      </c>
      <c r="T28" s="1307" t="s">
        <v>5</v>
      </c>
      <c r="U28" s="1308">
        <f t="shared" si="10"/>
        <v>100</v>
      </c>
      <c r="V28" s="1307" t="s">
        <v>5</v>
      </c>
      <c r="W28" s="1308">
        <f t="shared" si="11"/>
        <v>100</v>
      </c>
      <c r="X28" s="1302"/>
      <c r="Y28" s="3634"/>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34"/>
      <c r="Q29" s="1306" t="str">
        <f t="shared" si="8"/>
        <v>有无电梯</v>
      </c>
      <c r="R29" s="1307" t="s">
        <v>5</v>
      </c>
      <c r="S29" s="1308">
        <f t="shared" si="9"/>
        <v>100</v>
      </c>
      <c r="T29" s="1307" t="s">
        <v>5</v>
      </c>
      <c r="U29" s="1308">
        <f t="shared" si="10"/>
        <v>100</v>
      </c>
      <c r="V29" s="1307" t="s">
        <v>5</v>
      </c>
      <c r="W29" s="1308">
        <f t="shared" si="11"/>
        <v>100</v>
      </c>
      <c r="X29" s="1302"/>
      <c r="Y29" s="3634"/>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34"/>
      <c r="Q30" s="1306" t="str">
        <f t="shared" si="8"/>
        <v>建筑面积</v>
      </c>
      <c r="R30" s="1307" t="s">
        <v>5</v>
      </c>
      <c r="S30" s="1308" t="e">
        <f t="shared" si="9"/>
        <v>#N/A</v>
      </c>
      <c r="T30" s="1307" t="s">
        <v>5</v>
      </c>
      <c r="U30" s="1308" t="e">
        <f t="shared" si="10"/>
        <v>#N/A</v>
      </c>
      <c r="V30" s="1307" t="s">
        <v>5</v>
      </c>
      <c r="W30" s="1308" t="e">
        <f t="shared" si="11"/>
        <v>#N/A</v>
      </c>
      <c r="X30" s="1302"/>
      <c r="Y30" s="3634"/>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34"/>
      <c r="Q31" s="818" t="str">
        <f t="shared" si="8"/>
        <v>是否封闭</v>
      </c>
      <c r="R31" s="1303" t="s">
        <v>5</v>
      </c>
      <c r="S31" s="1304">
        <f t="shared" si="9"/>
        <v>100</v>
      </c>
      <c r="T31" s="1303" t="s">
        <v>5</v>
      </c>
      <c r="U31" s="1304">
        <f t="shared" si="10"/>
        <v>100</v>
      </c>
      <c r="V31" s="1303" t="s">
        <v>5</v>
      </c>
      <c r="W31" s="1304">
        <f t="shared" si="11"/>
        <v>100</v>
      </c>
      <c r="X31" s="1305"/>
      <c r="Y31" s="3634"/>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34" t="s">
        <v>499</v>
      </c>
      <c r="Q32" s="1306">
        <f t="shared" si="8"/>
        <v>111</v>
      </c>
      <c r="R32" s="1307" t="s">
        <v>5</v>
      </c>
      <c r="S32" s="1308">
        <f t="shared" si="9"/>
        <v>100</v>
      </c>
      <c r="T32" s="1307" t="s">
        <v>5</v>
      </c>
      <c r="U32" s="1308">
        <f t="shared" si="10"/>
        <v>100</v>
      </c>
      <c r="V32" s="1307" t="s">
        <v>5</v>
      </c>
      <c r="W32" s="1308">
        <f t="shared" si="11"/>
        <v>100</v>
      </c>
      <c r="X32" s="1302"/>
      <c r="Y32" s="3634"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34"/>
      <c r="Q33" s="1306">
        <f t="shared" si="8"/>
        <v>111</v>
      </c>
      <c r="R33" s="1307" t="s">
        <v>5</v>
      </c>
      <c r="S33" s="1308">
        <f t="shared" si="9"/>
        <v>100</v>
      </c>
      <c r="T33" s="1307" t="s">
        <v>5</v>
      </c>
      <c r="U33" s="1308">
        <f t="shared" si="10"/>
        <v>100</v>
      </c>
      <c r="V33" s="1307" t="s">
        <v>5</v>
      </c>
      <c r="W33" s="1308">
        <f t="shared" si="11"/>
        <v>100</v>
      </c>
      <c r="X33" s="1302"/>
      <c r="Y33" s="3634"/>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34"/>
      <c r="Q34" s="1306">
        <f t="shared" si="8"/>
        <v>111</v>
      </c>
      <c r="R34" s="1307" t="s">
        <v>5</v>
      </c>
      <c r="S34" s="1308">
        <f t="shared" si="9"/>
        <v>100</v>
      </c>
      <c r="T34" s="1307" t="s">
        <v>5</v>
      </c>
      <c r="U34" s="1308">
        <f t="shared" si="10"/>
        <v>100</v>
      </c>
      <c r="V34" s="1307" t="s">
        <v>5</v>
      </c>
      <c r="W34" s="1308">
        <f t="shared" si="11"/>
        <v>100</v>
      </c>
      <c r="X34" s="1302"/>
      <c r="Y34" s="3634"/>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598" t="str">
        <f>A35</f>
        <v>成交单价（元/平方米）</v>
      </c>
      <c r="Q35" s="3598"/>
      <c r="R35" s="3599">
        <f>E35</f>
        <v>0</v>
      </c>
      <c r="S35" s="3599"/>
      <c r="T35" s="3599">
        <f>G35</f>
        <v>0</v>
      </c>
      <c r="U35" s="3599"/>
      <c r="V35" s="3599">
        <f>I35</f>
        <v>0</v>
      </c>
      <c r="W35" s="3599"/>
      <c r="X35" s="799"/>
      <c r="Y35" s="1314"/>
      <c r="Z35" s="799"/>
      <c r="AA35" s="799"/>
      <c r="AB35" s="799"/>
      <c r="AC35" s="799"/>
    </row>
    <row r="36" spans="1:29" ht="15.75" thickBot="1">
      <c r="A36" s="564" t="s">
        <v>2042</v>
      </c>
      <c r="B36" s="813"/>
      <c r="C36" s="2082" t="e">
        <f>R37</f>
        <v>#DIV/0!</v>
      </c>
      <c r="D36" s="2550" t="s">
        <v>2251</v>
      </c>
      <c r="E36" s="2083" t="e">
        <f>R36</f>
        <v>#DIV/0!</v>
      </c>
      <c r="F36" s="2551"/>
      <c r="G36" s="2082" t="e">
        <f>T36</f>
        <v>#DIV/0!</v>
      </c>
      <c r="H36" s="2551"/>
      <c r="I36" s="2083" t="e">
        <f>V36</f>
        <v>#DIV/0!</v>
      </c>
      <c r="J36" s="2551"/>
      <c r="K36" s="2558">
        <f>F36+H36+J36</f>
        <v>0</v>
      </c>
      <c r="L36" s="1751"/>
      <c r="M36" s="1742"/>
      <c r="N36" s="1742"/>
      <c r="O36" s="1742"/>
      <c r="P36" s="3598" t="str">
        <f>A36</f>
        <v>比较价格（元/平方米）</v>
      </c>
      <c r="Q36" s="3598"/>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799"/>
      <c r="Y36" s="799"/>
      <c r="Z36" s="799"/>
      <c r="AA36" s="799"/>
      <c r="AB36" s="799"/>
      <c r="AC36" s="799"/>
    </row>
    <row r="37" spans="1:29" ht="15.75" thickBot="1">
      <c r="A37" s="568" t="s">
        <v>2187</v>
      </c>
      <c r="B37" s="569"/>
      <c r="C37" s="469" t="e">
        <f>R37</f>
        <v>#DIV/0!</v>
      </c>
      <c r="D37" s="469"/>
      <c r="E37" s="469"/>
      <c r="F37" s="469"/>
      <c r="G37" s="469"/>
      <c r="H37" s="469"/>
      <c r="I37" s="469"/>
      <c r="J37" s="469"/>
      <c r="K37" s="1336"/>
      <c r="L37" s="1751"/>
      <c r="M37" s="1742"/>
      <c r="N37" s="1742"/>
      <c r="O37" s="1742"/>
      <c r="P37" s="3635" t="str">
        <f>A37</f>
        <v>估价对象XX用房的比较价格（楼面单价，元/平方米）</v>
      </c>
      <c r="Q37" s="3636"/>
      <c r="R37" s="3723" t="e">
        <f>IF(F1="售价",ROUND(IF(D36="简单平均",AVERAGE(R36:W36),R36*F36+T36*H36+V36*J36),0),ROUND(IF(D36="简单平均",AVERAGE(R36:V36),R36*F36+T36*H36+V36*J36),1))</f>
        <v>#DIV/0!</v>
      </c>
      <c r="S37" s="3723"/>
      <c r="T37" s="3723"/>
      <c r="U37" s="3723"/>
      <c r="V37" s="3723"/>
      <c r="W37" s="3723"/>
      <c r="X37" s="799"/>
      <c r="Y37" s="799"/>
      <c r="Z37" s="799"/>
      <c r="AA37" s="799"/>
      <c r="AB37" s="799"/>
      <c r="AC37" s="799"/>
    </row>
    <row r="38" spans="1:29">
      <c r="A38" s="2719"/>
      <c r="B38" s="2719"/>
      <c r="C38" s="2719"/>
      <c r="D38" s="2719"/>
      <c r="E38" s="2719"/>
      <c r="F38" s="2719"/>
      <c r="G38" s="2721"/>
      <c r="H38" s="2719"/>
      <c r="I38" s="2719"/>
      <c r="J38" s="2719"/>
      <c r="K38" s="2722"/>
      <c r="L38" s="1755"/>
      <c r="M38" s="1742"/>
      <c r="N38" s="1742"/>
      <c r="O38" s="1742"/>
      <c r="P38" s="1742"/>
      <c r="Q38" s="1742"/>
      <c r="R38" s="1742"/>
      <c r="S38" s="1742"/>
      <c r="T38" s="1742"/>
      <c r="U38" s="1742"/>
      <c r="V38" s="1742"/>
      <c r="W38" s="1742"/>
      <c r="X38" s="1742"/>
      <c r="Y38" s="1742"/>
      <c r="Z38" s="1742"/>
      <c r="AA38" s="1742"/>
      <c r="AB38" s="1742"/>
      <c r="AC38" s="1742"/>
    </row>
    <row r="39" spans="1:29">
      <c r="A39" s="2719"/>
      <c r="B39" s="2719"/>
      <c r="C39" s="2719"/>
      <c r="D39" s="2719"/>
      <c r="E39" s="2719"/>
      <c r="F39" s="2719"/>
      <c r="G39" s="2719"/>
      <c r="H39" s="2719"/>
      <c r="I39" s="2719"/>
      <c r="J39" s="2719"/>
      <c r="K39" s="2722"/>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2025-9</v>
      </c>
      <c r="D46" s="2115">
        <f>EDATE(C46,-1)</f>
        <v>45870</v>
      </c>
      <c r="E46" s="2115">
        <f t="shared" ref="E46:O46" si="13">EDATE(D46,-1)</f>
        <v>45839</v>
      </c>
      <c r="F46" s="2115">
        <f t="shared" si="13"/>
        <v>45809</v>
      </c>
      <c r="G46" s="2115">
        <f t="shared" si="13"/>
        <v>45778</v>
      </c>
      <c r="H46" s="2115">
        <f t="shared" si="13"/>
        <v>45748</v>
      </c>
      <c r="I46" s="2115">
        <f t="shared" si="13"/>
        <v>45717</v>
      </c>
      <c r="J46" s="2115">
        <f t="shared" si="13"/>
        <v>45689</v>
      </c>
      <c r="K46" s="2115">
        <f t="shared" si="13"/>
        <v>45658</v>
      </c>
      <c r="L46" s="2115">
        <f t="shared" si="13"/>
        <v>45627</v>
      </c>
      <c r="M46" s="2115">
        <f t="shared" si="13"/>
        <v>45597</v>
      </c>
      <c r="N46" s="2115">
        <f t="shared" si="13"/>
        <v>45566</v>
      </c>
      <c r="O46" s="2115">
        <f t="shared" si="13"/>
        <v>45536</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3" t="s">
        <v>877</v>
      </c>
      <c r="E1" s="1947" t="s">
        <v>1728</v>
      </c>
      <c r="F1" s="1948">
        <f ca="1">J53</f>
        <v>68.84</v>
      </c>
      <c r="G1" s="2758">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3"/>
      <c r="D2" s="2762"/>
      <c r="E2" s="2764"/>
      <c r="F2" s="2764"/>
      <c r="G2" s="2759"/>
      <c r="H2" s="1670"/>
      <c r="I2" s="1670"/>
      <c r="J2" s="1670"/>
      <c r="K2" s="1671"/>
      <c r="L2" s="1670"/>
      <c r="M2" s="1670"/>
    </row>
    <row r="3" spans="1:33" ht="18" customHeight="1" thickBot="1">
      <c r="A3" s="767" t="s">
        <v>1256</v>
      </c>
      <c r="B3" s="768">
        <f ca="1">IF(ISERROR(B2*10000/F43),0,ROUND(B2*10000/F43,0))</f>
        <v>0</v>
      </c>
      <c r="C3" s="2763"/>
      <c r="D3" s="2762"/>
      <c r="E3" s="2764"/>
      <c r="F3" s="2764"/>
      <c r="G3" s="2759"/>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98" t="s">
        <v>1807</v>
      </c>
      <c r="C6" s="718">
        <f ca="1">ROUND(F6*F8*F7*(1-F9)/10000,0)</f>
        <v>0</v>
      </c>
      <c r="D6" s="2002" t="s">
        <v>1806</v>
      </c>
      <c r="E6" s="719" t="s">
        <v>1267</v>
      </c>
      <c r="F6" s="720">
        <f ca="1">INDIRECT("'数据-取费表'!u"&amp;$G$1)</f>
        <v>0</v>
      </c>
      <c r="G6" s="1668"/>
      <c r="H6" s="2009" t="s">
        <v>1812</v>
      </c>
      <c r="I6" s="3698" t="s">
        <v>1807</v>
      </c>
      <c r="J6" s="718">
        <f ca="1">ROUND(M6*M8*M7*(1-M9)/10000,0)</f>
        <v>0</v>
      </c>
      <c r="K6" s="315" t="s">
        <v>1266</v>
      </c>
      <c r="L6" s="719" t="s">
        <v>1267</v>
      </c>
      <c r="M6" s="720">
        <f ca="1">INDIRECT("'数据-取费表'!z"&amp;$G$1)</f>
        <v>0</v>
      </c>
    </row>
    <row r="7" spans="1:33" ht="18" customHeight="1">
      <c r="A7" s="2005"/>
      <c r="B7" s="3699"/>
      <c r="C7" s="723"/>
      <c r="D7" s="724"/>
      <c r="E7" s="719" t="s">
        <v>1268</v>
      </c>
      <c r="F7" s="720">
        <f ca="1">IF(INDIRECT("'数据-取费表'!ah"&amp;$G$1)="",INDIRECT("'数据-取费表'!k"&amp;$G$1),INDIRECT("'数据-取费表'!ah"&amp;$G$1))</f>
        <v>5999.630000000001</v>
      </c>
      <c r="G7" s="1668"/>
      <c r="H7" s="1994"/>
      <c r="I7" s="3699"/>
      <c r="J7" s="723"/>
      <c r="K7" s="724"/>
      <c r="L7" s="719" t="s">
        <v>1268</v>
      </c>
      <c r="M7" s="720">
        <f ca="1">F7</f>
        <v>5999.630000000001</v>
      </c>
    </row>
    <row r="8" spans="1:33" ht="18" customHeight="1">
      <c r="A8" s="1998"/>
      <c r="B8" s="3700"/>
      <c r="C8" s="723"/>
      <c r="D8" s="724"/>
      <c r="E8" s="719" t="s">
        <v>1269</v>
      </c>
      <c r="F8" s="720">
        <f ca="1">INDIRECT("'数据-取费表'!ai"&amp;$G$1)</f>
        <v>0</v>
      </c>
      <c r="G8" s="1668"/>
      <c r="H8" s="1994"/>
      <c r="I8" s="3700"/>
      <c r="J8" s="723"/>
      <c r="K8" s="724"/>
      <c r="L8" s="719" t="s">
        <v>1269</v>
      </c>
      <c r="M8" s="720">
        <f ca="1">INDIRECT("'数据-取费表'!ai"&amp;$G$1)</f>
        <v>0</v>
      </c>
    </row>
    <row r="9" spans="1:33" ht="18" customHeight="1">
      <c r="A9" s="721"/>
      <c r="B9" s="3701"/>
      <c r="C9" s="723"/>
      <c r="D9" s="724"/>
      <c r="E9" s="719" t="s">
        <v>1270</v>
      </c>
      <c r="F9" s="729">
        <f ca="1">INDIRECT("'数据-取费表'!w"&amp;$G$1)</f>
        <v>0</v>
      </c>
      <c r="G9" s="1668"/>
      <c r="H9" s="2010"/>
      <c r="I9" s="3700"/>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2221</v>
      </c>
      <c r="E10" s="2003" t="s">
        <v>1808</v>
      </c>
      <c r="F10" s="2076"/>
      <c r="G10" s="1668"/>
      <c r="H10" s="2037" t="s">
        <v>1813</v>
      </c>
      <c r="I10" s="2041" t="s">
        <v>1803</v>
      </c>
      <c r="J10" s="718">
        <f ca="1">ROUND(IF(M10="押一",J6/12*M11,IF(M10="押二",J6/12*2*M11,IF(M10="押三",J6/12*3*M11,J11*M11))),0)</f>
        <v>0</v>
      </c>
      <c r="K10" s="2006" t="s">
        <v>2221</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4037</v>
      </c>
      <c r="D14" s="906" t="s">
        <v>1274</v>
      </c>
      <c r="E14" s="905"/>
      <c r="F14" s="740"/>
      <c r="G14" s="1668"/>
      <c r="H14" s="1369" t="s">
        <v>1359</v>
      </c>
      <c r="I14" s="1825" t="s">
        <v>2103</v>
      </c>
      <c r="J14" s="49">
        <f ca="1">C29</f>
        <v>6515</v>
      </c>
      <c r="K14" s="22"/>
      <c r="L14" s="736"/>
      <c r="M14" s="737"/>
    </row>
    <row r="15" spans="1:33" s="1676" customFormat="1" ht="18" customHeight="1" thickBot="1">
      <c r="A15" s="1368" t="s">
        <v>1410</v>
      </c>
      <c r="B15" s="719" t="s">
        <v>595</v>
      </c>
      <c r="C15" s="49">
        <f ca="1">ROUND(C14*F15,0)</f>
        <v>283</v>
      </c>
      <c r="D15" s="741" t="s">
        <v>1275</v>
      </c>
      <c r="E15" s="741" t="s">
        <v>1276</v>
      </c>
      <c r="F15" s="742">
        <f>'数据-取费表'!B33</f>
        <v>7.0000000000000007E-2</v>
      </c>
      <c r="G15" s="2760"/>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195</v>
      </c>
      <c r="D16" s="719" t="s">
        <v>1275</v>
      </c>
      <c r="E16" s="719" t="s">
        <v>1276</v>
      </c>
      <c r="F16" s="744">
        <f ca="1">IF(INDIRECT("'数据-取费表'!c"&amp;$G$1)="住宅",'数据-取费表'!B34,0)</f>
        <v>0.05</v>
      </c>
      <c r="G16" s="1668"/>
      <c r="H16" s="1520" t="s">
        <v>1277</v>
      </c>
      <c r="I16" s="1518" t="s">
        <v>1278</v>
      </c>
      <c r="J16" s="727">
        <f ca="1">ROUND(J17+J22+J23+J24,0)</f>
        <v>1</v>
      </c>
      <c r="K16" s="1514" t="s">
        <v>1279</v>
      </c>
      <c r="L16" s="909"/>
      <c r="M16" s="1996"/>
    </row>
    <row r="17" spans="1:33" s="1676" customFormat="1" ht="18" customHeight="1">
      <c r="A17" s="1368" t="s">
        <v>1412</v>
      </c>
      <c r="B17" s="719" t="s">
        <v>601</v>
      </c>
      <c r="C17" s="49">
        <f ca="1">ROUND(F17*(F43+INDIRECT("'数据-取费表'!S"&amp;$G$1))/10000,0)</f>
        <v>126</v>
      </c>
      <c r="D17" s="719" t="s">
        <v>1280</v>
      </c>
      <c r="E17" s="719" t="s">
        <v>1281</v>
      </c>
      <c r="F17" s="52">
        <f>'数据-取费表'!B35</f>
        <v>200</v>
      </c>
      <c r="G17" s="2760"/>
      <c r="H17" s="1369" t="s">
        <v>1359</v>
      </c>
      <c r="I17" s="719" t="s">
        <v>604</v>
      </c>
      <c r="J17" s="2555">
        <f ca="1">ROUND(IF(AND(项目基本情况!B11="自然人",项目基本情况!B10="北京市"),J6*M17/(1+'数据-取费表'!C42),J18+J19+J20),2)</f>
        <v>0.52</v>
      </c>
      <c r="K17" s="906" t="s">
        <v>1282</v>
      </c>
      <c r="L17" s="907"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81</v>
      </c>
      <c r="D18" s="719" t="s">
        <v>1275</v>
      </c>
      <c r="E18" s="719" t="s">
        <v>1276</v>
      </c>
      <c r="F18" s="744">
        <f>'数据-取费表'!B36</f>
        <v>0.02</v>
      </c>
      <c r="G18" s="2760"/>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4722</v>
      </c>
      <c r="D19" s="241" t="s">
        <v>1286</v>
      </c>
      <c r="E19" s="915"/>
      <c r="F19" s="52"/>
      <c r="G19" s="1668"/>
      <c r="H19" s="1368" t="s">
        <v>1410</v>
      </c>
      <c r="I19" s="719" t="s">
        <v>1287</v>
      </c>
      <c r="J19" s="49">
        <f ca="1">IF(K19="按租金收入计税",ROUND(J6*M19/(1+'数据-取费表'!C42),1),ROUND(C29*F33*0.7,2))</f>
        <v>0</v>
      </c>
      <c r="K19" s="745" t="s">
        <v>3232</v>
      </c>
      <c r="L19" s="719" t="s">
        <v>1276</v>
      </c>
      <c r="M19" s="744">
        <f>IF(K19="按租金收入计税",'数据-取费表'!B51,'数据-取费表'!B50)</f>
        <v>0.12</v>
      </c>
    </row>
    <row r="20" spans="1:33" s="1676" customFormat="1" ht="18" customHeight="1">
      <c r="A20" s="1369" t="s">
        <v>1414</v>
      </c>
      <c r="B20" s="719" t="s">
        <v>613</v>
      </c>
      <c r="C20" s="49">
        <f ca="1">ROUND(C19*F20,0)</f>
        <v>94</v>
      </c>
      <c r="D20" s="746" t="s">
        <v>1288</v>
      </c>
      <c r="E20" s="719" t="s">
        <v>1276</v>
      </c>
      <c r="F20" s="744">
        <f>'数据-取费表'!B37</f>
        <v>0.02</v>
      </c>
      <c r="G20" s="2760"/>
      <c r="H20" s="1371" t="s">
        <v>1405</v>
      </c>
      <c r="I20" s="315" t="s">
        <v>1289</v>
      </c>
      <c r="J20" s="50">
        <f ca="1">ROUND(M20*M21/10000,2)</f>
        <v>0.52</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60"/>
      <c r="H21" s="2011"/>
      <c r="I21" s="728"/>
      <c r="J21" s="65"/>
      <c r="K21" s="750"/>
      <c r="L21" s="719" t="s">
        <v>1295</v>
      </c>
      <c r="M21" s="720">
        <f ca="1">INDIRECT("'数据-取费表'!r"&amp;$G$1)</f>
        <v>3493.0600000000004</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v>
      </c>
      <c r="K22" s="907"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193</v>
      </c>
      <c r="D23" s="2044" t="str">
        <f>IF(F23&lt;=1,"(建造成本+管理费用)×利率×(建设周期÷2)","(建造成本+管理费用)×((1+利率)^(建设周期÷2)-1)")</f>
        <v>(建造成本+管理费用)×((1+利率)^(建设周期÷2)-1)</v>
      </c>
      <c r="E23" s="719" t="s">
        <v>1299</v>
      </c>
      <c r="F23" s="587">
        <f>'数据-取费表'!B20</f>
        <v>2.5</v>
      </c>
      <c r="G23" s="2760"/>
      <c r="H23" s="1369" t="s">
        <v>1415</v>
      </c>
      <c r="I23" s="719" t="s">
        <v>626</v>
      </c>
      <c r="J23" s="49">
        <f ca="1">ROUND(J13*M23,2)</f>
        <v>0</v>
      </c>
      <c r="K23" s="907"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1E-3</v>
      </c>
      <c r="D24" s="2044" t="str">
        <f>IF(F23&lt;=1,"销售费用×利率×(建设周期÷2)","销售费用×((1+利率)^(建设周期÷2)-1)")</f>
        <v>销售费用×((1+利率)^(建设周期÷2)-1)</v>
      </c>
      <c r="E24" s="719" t="s">
        <v>1302</v>
      </c>
      <c r="F24" s="753">
        <f ca="1">'数据-取费表'!B40</f>
        <v>3.1899999999999998E-2</v>
      </c>
      <c r="G24" s="2760"/>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-1</v>
      </c>
      <c r="K25" s="2024" t="s">
        <v>1306</v>
      </c>
      <c r="L25" s="2025"/>
      <c r="M25" s="2026"/>
    </row>
    <row r="26" spans="1:33" ht="18" customHeight="1">
      <c r="A26" s="1368" t="s">
        <v>1360</v>
      </c>
      <c r="B26" s="719" t="s">
        <v>1785</v>
      </c>
      <c r="C26" s="49">
        <f ca="1">ROUND((C19+C20)*F26,0)</f>
        <v>963</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4.4999999999999998E-2</v>
      </c>
    </row>
    <row r="27" spans="1:33" ht="18" customHeight="1">
      <c r="A27" s="1368" t="s">
        <v>1361</v>
      </c>
      <c r="B27" s="719" t="s">
        <v>633</v>
      </c>
      <c r="C27" s="49">
        <f ca="1">ROUND(F21*F26,4)</f>
        <v>5.0000000000000001E-3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0"/>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6515</v>
      </c>
      <c r="D29" s="2021"/>
      <c r="E29" s="2022"/>
      <c r="F29" s="2023"/>
      <c r="G29" s="2760"/>
      <c r="H29" s="757" t="s">
        <v>1316</v>
      </c>
      <c r="I29" s="758" t="s">
        <v>1317</v>
      </c>
      <c r="J29" s="759">
        <f ca="1">ROUND(J26/(1+F40)^F41,0)</f>
        <v>0</v>
      </c>
      <c r="K29" s="760" t="s">
        <v>1318</v>
      </c>
      <c r="L29" s="761"/>
      <c r="M29" s="762">
        <f ca="1">INDIRECT("'数据-取费表'!k"&amp;$G$1)</f>
        <v>5999.630000000001</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1</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0.52</v>
      </c>
      <c r="D31" s="906" t="s">
        <v>1321</v>
      </c>
      <c r="E31" s="907" t="s">
        <v>1322</v>
      </c>
      <c r="F31" s="2554" t="str">
        <f>IF(项目基本情况!B11="企业","——",IF(M47="住宅",IF(F6*F7*F8/12/(1+'数据-取费表'!F30)&gt;100000,4%,2.5%),IF(F6*F7*F8/12/(1+'数据-取费表'!F30)&gt;100000,12%,7%)))</f>
        <v>——</v>
      </c>
      <c r="G31" s="1668"/>
      <c r="H31" s="2757" t="s">
        <v>2269</v>
      </c>
      <c r="I31" s="1678"/>
      <c r="J31" s="1679"/>
      <c r="K31" s="1636"/>
      <c r="L31" s="1680"/>
      <c r="M31" s="1681"/>
    </row>
    <row r="32" spans="1:33" ht="18" customHeight="1">
      <c r="A32" s="1368" t="s">
        <v>1360</v>
      </c>
      <c r="B32" s="719" t="s">
        <v>1323</v>
      </c>
      <c r="C32" s="49">
        <f ca="1">ROUND(C6*F32/(1+'数据-取费表'!C42),2)</f>
        <v>0</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3232</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0.52</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3493.0600000000004</v>
      </c>
      <c r="G35" s="1668"/>
      <c r="H35" s="1677"/>
      <c r="I35" s="771" t="s">
        <v>1343</v>
      </c>
      <c r="J35" s="772">
        <f ca="1">ROUND(C13*J36,0)</f>
        <v>0</v>
      </c>
      <c r="K35" s="1689"/>
      <c r="L35" s="1688"/>
      <c r="M35" s="1688"/>
    </row>
    <row r="36" spans="1:18" ht="18" customHeight="1">
      <c r="A36" s="1369" t="s">
        <v>1414</v>
      </c>
      <c r="B36" s="719" t="s">
        <v>1331</v>
      </c>
      <c r="C36" s="49">
        <f ca="1">ROUND(C29*F36,2)</f>
        <v>0</v>
      </c>
      <c r="D36" s="907"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7"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7" t="s">
        <v>2099</v>
      </c>
      <c r="C39" s="727">
        <f ca="1">C5-C30</f>
        <v>-1</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4.4999999999999998E-2</v>
      </c>
      <c r="G40" s="1668"/>
      <c r="H40" s="1668"/>
      <c r="I40" s="771" t="s">
        <v>1348</v>
      </c>
      <c r="J40" s="779">
        <f ca="1">1-J39</f>
        <v>1</v>
      </c>
      <c r="K40" s="1693"/>
      <c r="L40" s="1668"/>
      <c r="M40" s="1668"/>
    </row>
    <row r="41" spans="1:18" ht="18" customHeight="1">
      <c r="A41" s="721"/>
      <c r="B41" s="722"/>
      <c r="C41" s="723"/>
      <c r="D41" s="755" t="s">
        <v>1337</v>
      </c>
      <c r="E41" s="719" t="s">
        <v>2213</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5999.630000000001</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0</v>
      </c>
      <c r="D46" s="2761"/>
      <c r="E46" s="2761"/>
      <c r="F46" s="2761"/>
      <c r="I46" s="1939" t="s">
        <v>1697</v>
      </c>
      <c r="J46" s="1940"/>
      <c r="K46" s="1941"/>
      <c r="L46" s="2375">
        <f>IF(OR(M47="住宅",D1="土地（套用方法）"),0,IF(L48&gt;J51,L60,J60))</f>
        <v>0</v>
      </c>
      <c r="M46" s="2762"/>
      <c r="O46" s="1953" t="s">
        <v>1764</v>
      </c>
      <c r="P46" s="1145"/>
      <c r="Q46" s="1330"/>
      <c r="R46" s="1145"/>
    </row>
    <row r="47" spans="1:18" s="1672" customFormat="1" ht="18" customHeight="1" thickBot="1">
      <c r="A47" s="3379">
        <v>1</v>
      </c>
      <c r="B47" s="3380" t="s">
        <v>583</v>
      </c>
      <c r="C47" s="3381">
        <f ca="1">C48+C52+C54</f>
        <v>0</v>
      </c>
      <c r="D47" s="3382"/>
      <c r="E47" s="3382"/>
      <c r="F47" s="3383"/>
      <c r="I47" s="2367" t="s">
        <v>1698</v>
      </c>
      <c r="J47" s="1942"/>
      <c r="K47" s="2372" t="s">
        <v>1703</v>
      </c>
      <c r="L47" s="2376">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c r="K48" s="2373" t="s">
        <v>1705</v>
      </c>
      <c r="L48" s="1567">
        <f ca="1">INDIRECT("'数据-取费表'!f"&amp;$G$1)</f>
        <v>68.84</v>
      </c>
      <c r="M48" s="2762"/>
      <c r="O48" s="1957" t="s">
        <v>1733</v>
      </c>
      <c r="P48" s="1958" t="s">
        <v>1759</v>
      </c>
      <c r="Q48" s="1959">
        <f ca="1">C40+J29</f>
        <v>0</v>
      </c>
      <c r="R48" s="1958" t="s">
        <v>1734</v>
      </c>
    </row>
    <row r="49" spans="1:18" s="1672" customFormat="1" ht="18" customHeight="1" thickBot="1">
      <c r="A49" s="721"/>
      <c r="B49" s="722"/>
      <c r="C49" s="723"/>
      <c r="D49" s="724"/>
      <c r="E49" s="719" t="s">
        <v>1268</v>
      </c>
      <c r="F49" s="720">
        <f ca="1">F7</f>
        <v>5999.630000000001</v>
      </c>
      <c r="G49" s="1699"/>
      <c r="H49" s="1702"/>
      <c r="I49" s="2364" t="s">
        <v>1700</v>
      </c>
      <c r="J49" s="1944"/>
      <c r="K49" s="2374" t="s">
        <v>1706</v>
      </c>
      <c r="L49" s="1566"/>
      <c r="M49" s="2762"/>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4" t="s">
        <v>1701</v>
      </c>
      <c r="J50" s="2371">
        <f>SUMPRODUCT((I63:I65=J47)*(J62:L62=J48)*(J63:L65))</f>
        <v>0</v>
      </c>
      <c r="K50" s="2374" t="s">
        <v>1707</v>
      </c>
      <c r="L50" s="1566"/>
      <c r="M50" s="2762"/>
      <c r="O50" s="1960" t="s">
        <v>1737</v>
      </c>
      <c r="P50" s="1958" t="s">
        <v>1761</v>
      </c>
      <c r="Q50" s="1959">
        <f ca="1">C29</f>
        <v>6515</v>
      </c>
      <c r="R50" s="1958" t="s">
        <v>1734</v>
      </c>
    </row>
    <row r="51" spans="1:18" s="1672" customFormat="1" ht="18" customHeight="1" thickBot="1">
      <c r="A51" s="721"/>
      <c r="B51" s="722"/>
      <c r="C51" s="723"/>
      <c r="D51" s="724"/>
      <c r="E51" s="719" t="s">
        <v>588</v>
      </c>
      <c r="F51" s="1934"/>
      <c r="H51" s="1702"/>
      <c r="I51" s="2368" t="s">
        <v>1702</v>
      </c>
      <c r="J51" s="1567">
        <f>IF(J49="",J50,J49+J50-YEAR('数据-取费表'!B2))</f>
        <v>0</v>
      </c>
      <c r="K51" s="2364" t="s">
        <v>1708</v>
      </c>
      <c r="L51" s="2377">
        <f ca="1">ROUND(-PV(INDIRECT("'数据-取费表'!h"&amp;$G$1),J51,(C39-C13*J36),0),0)</f>
        <v>0</v>
      </c>
      <c r="M51" s="2762"/>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2222</v>
      </c>
      <c r="E52" s="2003" t="s">
        <v>1808</v>
      </c>
      <c r="F52" s="2076"/>
      <c r="I52" s="2369" t="s">
        <v>1775</v>
      </c>
      <c r="J52" s="1945"/>
      <c r="K52" s="2369" t="s">
        <v>1774</v>
      </c>
      <c r="L52" s="1945"/>
      <c r="M52" s="2762"/>
      <c r="O52" s="1960" t="s">
        <v>1740</v>
      </c>
      <c r="P52" s="1958" t="s">
        <v>1741</v>
      </c>
      <c r="Q52" s="1961">
        <f>J52</f>
        <v>0</v>
      </c>
      <c r="R52" s="1962"/>
    </row>
    <row r="53" spans="1:18" s="1672" customFormat="1" ht="39.75" customHeight="1" thickBot="1">
      <c r="A53" s="721"/>
      <c r="B53" s="2000" t="s">
        <v>1856</v>
      </c>
      <c r="C53" s="2004"/>
      <c r="D53" s="2006"/>
      <c r="E53" s="2003"/>
      <c r="F53" s="735"/>
      <c r="I53" s="2370" t="s">
        <v>2225</v>
      </c>
      <c r="J53" s="2416">
        <f ca="1">IF(M47="住宅",IF(D1="——",MAX(J51,L48),MAX(J51,L48-'数据-取费表'!B20)),IF(D1="——",MIN(J51,L48),MIN(J51,L48-'数据-取费表'!B20)))</f>
        <v>68.84</v>
      </c>
      <c r="K53" s="3732" t="s">
        <v>2215</v>
      </c>
      <c r="L53" s="3733"/>
      <c r="M53" s="2762"/>
      <c r="O53" s="1960" t="s">
        <v>1742</v>
      </c>
      <c r="P53" s="1958" t="s">
        <v>1743</v>
      </c>
      <c r="Q53" s="1959">
        <f ca="1">J53</f>
        <v>68.84</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2"/>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80" t="s">
        <v>1709</v>
      </c>
      <c r="J55" s="2353" t="e">
        <f ca="1">ROUND(IF(J47="钢混",J57/J50,1-(1-2%)*(J50-J57)/J50),3)</f>
        <v>#VALUE!</v>
      </c>
      <c r="K55" s="2381" t="s">
        <v>1710</v>
      </c>
      <c r="L55" s="1946"/>
      <c r="M55" s="2762"/>
      <c r="O55" s="1963" t="s">
        <v>1765</v>
      </c>
      <c r="P55" s="1145"/>
      <c r="Q55" s="1330"/>
      <c r="R55" s="1145"/>
    </row>
    <row r="56" spans="1:18" s="1672" customFormat="1" ht="42.75" customHeight="1" thickBot="1">
      <c r="A56" s="1370"/>
      <c r="B56" s="1825" t="s">
        <v>1659</v>
      </c>
      <c r="C56" s="49">
        <f ca="1">C29</f>
        <v>6515</v>
      </c>
      <c r="D56" s="907"/>
      <c r="E56" s="719"/>
      <c r="F56" s="744"/>
      <c r="I56" s="2382" t="s">
        <v>1711</v>
      </c>
      <c r="J56" s="2392"/>
      <c r="K56" s="2364" t="s">
        <v>1716</v>
      </c>
      <c r="L56" s="1567">
        <f ca="1">IF(L48&lt;J51,"——",L48-J51)</f>
        <v>68.84</v>
      </c>
      <c r="M56" s="2762"/>
      <c r="O56" s="1954" t="s">
        <v>1729</v>
      </c>
      <c r="P56" s="1955" t="s">
        <v>1730</v>
      </c>
      <c r="Q56" s="1956" t="s">
        <v>1731</v>
      </c>
      <c r="R56" s="1955" t="s">
        <v>1732</v>
      </c>
    </row>
    <row r="57" spans="1:18" s="1672" customFormat="1" ht="28.5" customHeight="1" thickBot="1">
      <c r="A57" s="732" t="s">
        <v>1277</v>
      </c>
      <c r="B57" s="733" t="s">
        <v>599</v>
      </c>
      <c r="C57" s="734">
        <f ca="1">ROUND(C58+C63+C64+C65,0)</f>
        <v>1</v>
      </c>
      <c r="D57" s="22" t="s">
        <v>1279</v>
      </c>
      <c r="E57" s="915"/>
      <c r="F57" s="52"/>
      <c r="I57" s="2383" t="s">
        <v>1712</v>
      </c>
      <c r="J57" s="2384" t="str">
        <f ca="1">IF(OR(M47="住宅",J51&lt;L48,J56="是"),"——",J51-L48)</f>
        <v>——</v>
      </c>
      <c r="K57" s="2364" t="s">
        <v>1717</v>
      </c>
      <c r="L57" s="1567">
        <f ca="1">IF(L48&lt;J51,"——",IF(L55="比较法",L49,IF(L55="基准地价",L50,L51)))</f>
        <v>0</v>
      </c>
      <c r="M57" s="2762"/>
      <c r="O57" s="1957" t="s">
        <v>1733</v>
      </c>
      <c r="P57" s="1958" t="s">
        <v>1763</v>
      </c>
      <c r="Q57" s="1959">
        <f ca="1">C40+J29</f>
        <v>0</v>
      </c>
      <c r="R57" s="1958" t="s">
        <v>1734</v>
      </c>
    </row>
    <row r="58" spans="1:18" s="1672" customFormat="1" ht="28.5" customHeight="1" thickBot="1">
      <c r="A58" s="1369" t="s">
        <v>1353</v>
      </c>
      <c r="B58" s="719" t="s">
        <v>604</v>
      </c>
      <c r="C58" s="2555">
        <f ca="1">ROUND(IF(AND(项目基本情况!B11="自然人",项目基本情况!B10="北京市"),C48*F58/(1+'数据-取费表'!C42),C59+C60+C61),2)</f>
        <v>0.52</v>
      </c>
      <c r="D58" s="906" t="s">
        <v>605</v>
      </c>
      <c r="E58" s="907"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2"/>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2"/>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2"/>
      <c r="O60" s="1960" t="s">
        <v>1738</v>
      </c>
      <c r="P60" s="1958" t="s">
        <v>1747</v>
      </c>
      <c r="Q60" s="1961">
        <f>L52</f>
        <v>0</v>
      </c>
      <c r="R60" s="1962"/>
    </row>
    <row r="61" spans="1:18" s="1672" customFormat="1" ht="18" customHeight="1" thickBot="1">
      <c r="A61" s="1371" t="s">
        <v>1362</v>
      </c>
      <c r="B61" s="315" t="s">
        <v>615</v>
      </c>
      <c r="C61" s="50">
        <f ca="1">ROUND(F61*F62/10000,2)</f>
        <v>0.52</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3493.0600000000004</v>
      </c>
      <c r="I62" s="2388" t="s">
        <v>1721</v>
      </c>
      <c r="J62" s="2389" t="s">
        <v>1722</v>
      </c>
      <c r="K62" s="2389" t="s">
        <v>1723</v>
      </c>
      <c r="L62" s="2389" t="s">
        <v>1704</v>
      </c>
      <c r="M62" s="2390" t="s">
        <v>2194</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7" t="s">
        <v>1332</v>
      </c>
      <c r="E63" s="719" t="s">
        <v>1276</v>
      </c>
      <c r="F63" s="751">
        <f t="shared" ca="1" si="0"/>
        <v>0</v>
      </c>
      <c r="I63" s="2388" t="s">
        <v>1724</v>
      </c>
      <c r="J63" s="2389">
        <v>70</v>
      </c>
      <c r="K63" s="2389">
        <v>50</v>
      </c>
      <c r="L63" s="2389">
        <v>80</v>
      </c>
      <c r="M63" s="2391">
        <v>0.02</v>
      </c>
      <c r="O63" s="1957" t="s">
        <v>1745</v>
      </c>
      <c r="P63" s="1958" t="s">
        <v>1762</v>
      </c>
      <c r="Q63" s="1959">
        <f ca="1">Q57+Q58</f>
        <v>0</v>
      </c>
      <c r="R63" s="1962" t="s">
        <v>1746</v>
      </c>
    </row>
    <row r="64" spans="1:18" s="1672" customFormat="1" ht="16.5" thickBot="1">
      <c r="A64" s="1369" t="s">
        <v>1415</v>
      </c>
      <c r="B64" s="719" t="s">
        <v>626</v>
      </c>
      <c r="C64" s="49">
        <f ca="1">ROUND(C55*F64,2)</f>
        <v>0</v>
      </c>
      <c r="D64" s="907" t="s">
        <v>627</v>
      </c>
      <c r="E64" s="719" t="s">
        <v>1276</v>
      </c>
      <c r="F64" s="752">
        <f t="shared" ca="1" si="0"/>
        <v>0</v>
      </c>
      <c r="I64" s="2388" t="s">
        <v>1725</v>
      </c>
      <c r="J64" s="2389">
        <v>50</v>
      </c>
      <c r="K64" s="2389">
        <v>35</v>
      </c>
      <c r="L64" s="2389">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-1</v>
      </c>
      <c r="D66" s="906" t="s">
        <v>647</v>
      </c>
      <c r="E66" s="904"/>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4.4999999999999998E-2</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-1</v>
      </c>
      <c r="R69" s="1962"/>
    </row>
    <row r="70" spans="1:18" ht="15.75" thickBot="1">
      <c r="A70" s="757" t="s">
        <v>1316</v>
      </c>
      <c r="B70" s="758" t="s">
        <v>1339</v>
      </c>
      <c r="C70" s="759">
        <f ca="1">ROUND(C67*10000/F70,0)</f>
        <v>0</v>
      </c>
      <c r="D70" s="760" t="s">
        <v>1340</v>
      </c>
      <c r="E70" s="761" t="s">
        <v>1341</v>
      </c>
      <c r="F70" s="762">
        <f ca="1">F43</f>
        <v>5999.630000000001</v>
      </c>
      <c r="O70" s="1960" t="s">
        <v>1753</v>
      </c>
      <c r="P70" s="1966" t="s">
        <v>1754</v>
      </c>
      <c r="Q70" s="1959">
        <f ca="1">C39</f>
        <v>-1</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37" t="s">
        <v>1661</v>
      </c>
      <c r="D1" s="3738"/>
      <c r="E1" s="3738"/>
      <c r="F1" s="3738"/>
      <c r="G1" s="3738"/>
      <c r="H1" s="3738"/>
      <c r="I1" s="3738"/>
      <c r="J1" s="3738"/>
      <c r="K1" s="3738"/>
      <c r="L1" s="3738"/>
      <c r="M1" s="3738"/>
      <c r="N1" s="3738"/>
      <c r="O1" s="3738"/>
      <c r="P1" s="3738"/>
      <c r="Q1" s="3738"/>
      <c r="R1" s="3738"/>
      <c r="S1" s="3739"/>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2180</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2179</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2178</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2191</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2177</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2176</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4" t="s">
        <v>14</v>
      </c>
      <c r="D22" s="3735"/>
      <c r="E22" s="3735"/>
      <c r="F22" s="3735"/>
      <c r="G22" s="3735"/>
      <c r="H22" s="3735"/>
      <c r="I22" s="3735"/>
      <c r="J22" s="3735"/>
      <c r="K22" s="3735"/>
      <c r="L22" s="3735"/>
      <c r="M22" s="3735"/>
      <c r="N22" s="3735"/>
      <c r="O22" s="3735"/>
      <c r="P22" s="3735"/>
      <c r="Q22" s="3736"/>
      <c r="R22" s="49" t="e">
        <f>ROUND(S22*10000/B22,0)</f>
        <v>#DIV/0!</v>
      </c>
      <c r="S22" s="49">
        <f>SUM(S24:S10000)</f>
        <v>0</v>
      </c>
    </row>
    <row r="23" spans="1:45" s="1337" customFormat="1" ht="24">
      <c r="A23" s="14" t="s">
        <v>770</v>
      </c>
      <c r="B23" s="2419"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6" sqref="E6"/>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45908</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2.5</v>
      </c>
      <c r="D2" s="2291" t="s">
        <v>2066</v>
      </c>
      <c r="E2" s="2294">
        <f ca="1">IF(OR(C1&lt;C27,C2&lt;=1),INDIRECT("I"&amp;$I$1)/100,ROUND((I5+(C2-H5)*(I7-I5)/(H7-H5))/100,4))</f>
        <v>3.1899999999999998E-2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IF(OR(C3&lt;C27,C2&lt;=1),INDIRECT("J"&amp;$J$1)/100,ROUND((I5+(C2-H5)*(I7-I5)/(H7-H5))/100,4))</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45097</v>
      </c>
      <c r="D18" s="2284">
        <v>3.55</v>
      </c>
      <c r="E18" s="2284">
        <f t="shared" si="0"/>
        <v>3.55</v>
      </c>
      <c r="F18" s="2284">
        <f t="shared" si="1"/>
        <v>3.55</v>
      </c>
      <c r="G18" s="2284">
        <f t="shared" si="2"/>
        <v>3.55</v>
      </c>
      <c r="H18" s="2284">
        <v>4.2</v>
      </c>
      <c r="I18" s="2280"/>
      <c r="J18" s="2280"/>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4.25">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79"/>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278" t="s">
        <v>2275</v>
      </c>
      <c r="C27" s="2286">
        <v>43697</v>
      </c>
      <c r="D27" s="2776">
        <v>4.25</v>
      </c>
      <c r="E27" s="2776">
        <v>4.25</v>
      </c>
      <c r="F27" s="2776">
        <v>4.25</v>
      </c>
      <c r="G27" s="2776">
        <v>4.25</v>
      </c>
      <c r="H27" s="2776">
        <v>4.8499999999999996</v>
      </c>
      <c r="I27" s="2776"/>
      <c r="J27" s="2776"/>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4.25">
      <c r="B28" s="2780"/>
      <c r="C28" s="2781">
        <v>42301</v>
      </c>
      <c r="D28" s="2782">
        <v>4.3499999999999996</v>
      </c>
      <c r="E28" s="2782">
        <v>4.3499999999999996</v>
      </c>
      <c r="F28" s="2782">
        <v>4.75</v>
      </c>
      <c r="G28" s="2782">
        <v>4.75</v>
      </c>
      <c r="H28" s="2782">
        <v>4.9000000000000004</v>
      </c>
      <c r="I28" s="2782"/>
      <c r="J28" s="2782"/>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4" t="s">
        <v>1556</v>
      </c>
      <c r="B1" s="3424"/>
      <c r="C1" s="3424"/>
      <c r="D1" s="3424"/>
      <c r="E1" s="3424"/>
      <c r="F1" s="3424"/>
      <c r="G1" s="3424"/>
      <c r="H1" s="3424"/>
      <c r="I1" s="3424"/>
      <c r="J1" s="3424"/>
      <c r="K1" s="3424"/>
      <c r="L1" s="3424"/>
      <c r="M1" s="3424"/>
      <c r="N1" s="3424"/>
      <c r="O1" s="3424"/>
      <c r="P1" s="3424"/>
      <c r="Q1" s="3424"/>
      <c r="R1" s="3424"/>
    </row>
    <row r="2" spans="1:18">
      <c r="A2" s="1502" t="s">
        <v>1558</v>
      </c>
      <c r="B2" s="1502"/>
      <c r="C2" s="1502"/>
      <c r="D2" s="1502"/>
      <c r="E2" s="1502"/>
      <c r="F2" s="1502"/>
      <c r="G2" s="1502"/>
      <c r="H2" s="1502"/>
      <c r="I2" s="1503"/>
      <c r="J2" s="1503"/>
      <c r="K2" s="1504" t="str">
        <f>"估价期日："&amp;TEXT(项目基本情况!D3,"yyyy年m月d日;;")</f>
        <v>估价期日：2025年9月8日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5" t="s">
        <v>1547</v>
      </c>
      <c r="B3" s="3425" t="s">
        <v>2013</v>
      </c>
      <c r="C3" s="3426" t="s">
        <v>1548</v>
      </c>
      <c r="D3" s="3425" t="s">
        <v>2017</v>
      </c>
      <c r="E3" s="3427" t="s">
        <v>1549</v>
      </c>
      <c r="F3" s="3427"/>
      <c r="G3" s="3427"/>
      <c r="H3" s="3427" t="s">
        <v>1550</v>
      </c>
      <c r="I3" s="3427"/>
      <c r="J3" s="3427"/>
      <c r="K3" s="3426" t="s">
        <v>1551</v>
      </c>
      <c r="L3" s="3426" t="s">
        <v>1552</v>
      </c>
      <c r="M3" s="3425" t="s">
        <v>2014</v>
      </c>
      <c r="N3" s="3425" t="str">
        <f>"（分摊）"&amp;项目基本情况!A17&amp;"国有建设用地使用权面积/㎡"</f>
        <v>（分摊）出让国有建设用地使用权面积/㎡</v>
      </c>
      <c r="O3" s="3425" t="s">
        <v>1581</v>
      </c>
      <c r="P3" s="3426" t="s">
        <v>1561</v>
      </c>
      <c r="Q3" s="3426" t="s">
        <v>1582</v>
      </c>
      <c r="R3" s="3426" t="s">
        <v>1553</v>
      </c>
    </row>
    <row r="4" spans="1:18" ht="36.75" customHeight="1">
      <c r="A4" s="3425"/>
      <c r="B4" s="3425"/>
      <c r="C4" s="3426"/>
      <c r="D4" s="3425"/>
      <c r="E4" s="1505" t="s">
        <v>1560</v>
      </c>
      <c r="F4" s="1505" t="s">
        <v>2026</v>
      </c>
      <c r="G4" s="1505" t="s">
        <v>1554</v>
      </c>
      <c r="H4" s="1505" t="s">
        <v>1555</v>
      </c>
      <c r="I4" s="1505" t="s">
        <v>2027</v>
      </c>
      <c r="J4" s="1505" t="s">
        <v>1554</v>
      </c>
      <c r="K4" s="3426"/>
      <c r="L4" s="3426"/>
      <c r="M4" s="3425"/>
      <c r="N4" s="3425"/>
      <c r="O4" s="3425"/>
      <c r="P4" s="3426"/>
      <c r="Q4" s="3426"/>
      <c r="R4" s="3426"/>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5431.65</v>
      </c>
      <c r="O5" s="1505">
        <f>项目基本情况!C21</f>
        <v>11011.79</v>
      </c>
      <c r="P5" s="1505">
        <f ca="1">结果表!E42</f>
        <v>17665</v>
      </c>
      <c r="Q5" s="1505">
        <f ca="1">结果表!D42</f>
        <v>8713</v>
      </c>
      <c r="R5" s="1506">
        <f ca="1">结果表!C42</f>
        <v>9595</v>
      </c>
    </row>
    <row r="6" spans="1:18">
      <c r="A6" s="3428" t="str">
        <f>IF(项目基本情况!B9="市场价格","——","抵押价格")</f>
        <v>抵押价格</v>
      </c>
      <c r="B6" s="3429"/>
      <c r="C6" s="3429"/>
      <c r="D6" s="3429"/>
      <c r="E6" s="3429"/>
      <c r="F6" s="3429"/>
      <c r="G6" s="3429"/>
      <c r="H6" s="3429"/>
      <c r="I6" s="3429"/>
      <c r="J6" s="3429"/>
      <c r="K6" s="3429"/>
      <c r="L6" s="3429"/>
      <c r="M6" s="3429"/>
      <c r="N6" s="3429"/>
      <c r="O6" s="3429"/>
      <c r="P6" s="3429"/>
      <c r="Q6" s="3430"/>
      <c r="R6" s="1507">
        <f ca="1">结果表!O39</f>
        <v>9595</v>
      </c>
    </row>
    <row r="7" spans="1:18">
      <c r="A7" s="3428" t="str">
        <f>IF(项目基本情况!B9="市场价格","——",IF(项目基本情况!E8="已注销及未注销","抵押担保权已注销时的抵押价格","——"))</f>
        <v>——</v>
      </c>
      <c r="B7" s="3429"/>
      <c r="C7" s="3429"/>
      <c r="D7" s="3429"/>
      <c r="E7" s="3429"/>
      <c r="F7" s="3429"/>
      <c r="G7" s="3429"/>
      <c r="H7" s="3429"/>
      <c r="I7" s="3429"/>
      <c r="J7" s="3429"/>
      <c r="K7" s="3429"/>
      <c r="L7" s="3429"/>
      <c r="M7" s="3429"/>
      <c r="N7" s="3429"/>
      <c r="O7" s="3429"/>
      <c r="P7" s="3429"/>
      <c r="Q7" s="3430"/>
      <c r="R7" s="1507" t="str">
        <f>结果表!O40</f>
        <v>——</v>
      </c>
    </row>
    <row r="8" spans="1:18">
      <c r="A8" s="3428">
        <f>IF(项目基本情况!B9="市场价格","——",项目基本情况!E9)</f>
        <v>0</v>
      </c>
      <c r="B8" s="3429"/>
      <c r="C8" s="3429"/>
      <c r="D8" s="3429"/>
      <c r="E8" s="3429"/>
      <c r="F8" s="3429"/>
      <c r="G8" s="3429"/>
      <c r="H8" s="3429"/>
      <c r="I8" s="3429"/>
      <c r="J8" s="3429"/>
      <c r="K8" s="3429"/>
      <c r="L8" s="3429"/>
      <c r="M8" s="3429"/>
      <c r="N8" s="3429"/>
      <c r="O8" s="3429"/>
      <c r="P8" s="3429"/>
      <c r="Q8" s="3430"/>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32" t="s">
        <v>1583</v>
      </c>
      <c r="B1" s="3432"/>
      <c r="C1" s="3432"/>
      <c r="D1" s="3432"/>
    </row>
    <row r="2" spans="1:4" ht="47.25" customHeight="1">
      <c r="A2" s="3433" t="str">
        <f>"1.权利限制："&amp;项目基本情况!L24&amp;"未设定租赁等其他他项权利。"</f>
        <v>1.权利限制：根据估价对象《不动产权证书》原件、《国有土地使用权》复印件，截至估价期日，估价对象抵押权未见登记。未设定租赁等其他他项权利。</v>
      </c>
      <c r="B2" s="3433"/>
      <c r="C2" s="3433"/>
      <c r="D2" s="3433"/>
    </row>
    <row r="3" spans="1:4" ht="48" customHeight="1">
      <c r="A3" s="34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1" t="s">
        <v>1584</v>
      </c>
      <c r="B5" s="3431"/>
      <c r="C5" s="3431"/>
      <c r="D5" s="3431"/>
    </row>
    <row r="6" spans="1:4">
      <c r="A6" s="3432" t="s">
        <v>1562</v>
      </c>
      <c r="B6" s="3432"/>
      <c r="C6" s="3432"/>
      <c r="D6" s="3432"/>
    </row>
    <row r="7" spans="1:4" ht="33" customHeight="1">
      <c r="A7" s="3432" t="s">
        <v>1857</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2"/>
      <c r="C8" s="3432"/>
      <c r="D8" s="3432"/>
    </row>
    <row r="9" spans="1:4" ht="33.75" customHeight="1">
      <c r="A9" s="34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2"/>
      <c r="C9" s="3432"/>
      <c r="D9" s="3432"/>
    </row>
    <row r="10" spans="1:4">
      <c r="A10" s="3432" t="str">
        <f>IF(项目基本情况!B8="抵押","4.估价师所知悉的法定优先受偿款情况为：","——")</f>
        <v>4.估价师所知悉的法定优先受偿款情况为：</v>
      </c>
      <c r="B10" s="3432"/>
      <c r="C10" s="3432"/>
      <c r="D10" s="3432"/>
    </row>
    <row r="11" spans="1:4" ht="37.5" customHeight="1">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spans="1:4" ht="168" customHeight="1">
      <c r="A12" s="3431" t="s">
        <v>1586</v>
      </c>
      <c r="B12" s="3431"/>
      <c r="C12" s="3431"/>
      <c r="D12" s="3431"/>
    </row>
    <row r="13" spans="1:4">
      <c r="A13" s="3434" t="s">
        <v>2028</v>
      </c>
      <c r="B13" s="3434"/>
      <c r="C13" s="3434"/>
      <c r="D13" s="3434"/>
    </row>
    <row r="14" spans="1:4">
      <c r="A14" s="3432" t="str">
        <f>IF(项目基本情况!B8="抵押","综上，"&amp;结果表!K47,"——")</f>
        <v>综上，本次评估不存在估价师知悉的法定优先受偿款</v>
      </c>
      <c r="B14" s="3432"/>
      <c r="C14" s="3432"/>
      <c r="D14" s="3432"/>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1984</v>
      </c>
      <c r="B17" s="3432"/>
      <c r="C17" s="3432"/>
      <c r="D17" s="3432"/>
    </row>
    <row r="18" spans="1:4">
      <c r="A18" s="3432" t="s">
        <v>1976</v>
      </c>
      <c r="B18" s="3432"/>
      <c r="C18" s="3432"/>
      <c r="D18" s="3432"/>
    </row>
    <row r="19" spans="1:4">
      <c r="A19" s="2173" t="s">
        <v>1977</v>
      </c>
      <c r="B19" s="2173" t="s">
        <v>1978</v>
      </c>
      <c r="C19" s="2173" t="s">
        <v>1979</v>
      </c>
      <c r="D19" s="2173" t="s">
        <v>1980</v>
      </c>
    </row>
    <row r="20" spans="1:4">
      <c r="A20" s="2173" t="str">
        <f>项目基本情况!B4</f>
        <v>吴薇</v>
      </c>
      <c r="B20" s="2173">
        <f ca="1">项目基本情况!C4</f>
        <v>2002110125</v>
      </c>
      <c r="C20" s="2175"/>
      <c r="D20" s="1496" t="s">
        <v>1985</v>
      </c>
    </row>
    <row r="21" spans="1:4">
      <c r="A21" s="2173" t="str">
        <f>项目基本情况!D4</f>
        <v>土地估价师</v>
      </c>
      <c r="B21" s="2173">
        <f>项目基本情况!E4</f>
        <v>0</v>
      </c>
      <c r="C21" s="2175"/>
      <c r="D21" s="1496" t="s">
        <v>1986</v>
      </c>
    </row>
    <row r="23" spans="1:4">
      <c r="A23" s="3432" t="s">
        <v>1981</v>
      </c>
      <c r="B23" s="3432"/>
      <c r="C23" s="3432"/>
      <c r="D23" s="3432"/>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42" t="s">
        <v>27</v>
      </c>
      <c r="B15" s="3443" t="s">
        <v>784</v>
      </c>
      <c r="C15" s="3439"/>
    </row>
    <row r="16" spans="1:7" ht="14.25">
      <c r="A16" s="3442"/>
      <c r="B16" s="3440" t="s">
        <v>28</v>
      </c>
      <c r="C16" s="1017" t="s">
        <v>27</v>
      </c>
    </row>
    <row r="17" spans="1:3" ht="14.25">
      <c r="A17" s="3442"/>
      <c r="B17" s="3440"/>
      <c r="C17" s="1017" t="s">
        <v>29</v>
      </c>
    </row>
    <row r="18" spans="1:3" ht="14.25">
      <c r="A18" s="3442"/>
      <c r="B18" s="3440"/>
      <c r="C18" s="1017" t="s">
        <v>30</v>
      </c>
    </row>
    <row r="19" spans="1:3" ht="14.25">
      <c r="A19" s="3442"/>
      <c r="B19" s="3438" t="s">
        <v>31</v>
      </c>
      <c r="C19" s="3439"/>
    </row>
    <row r="20" spans="1:3" ht="14.25">
      <c r="A20" s="1018" t="s">
        <v>32</v>
      </c>
      <c r="B20" s="1019"/>
      <c r="C20" s="1020"/>
    </row>
    <row r="21" spans="1:3" ht="14.25">
      <c r="A21" s="3441" t="s">
        <v>33</v>
      </c>
      <c r="B21" s="3438" t="s">
        <v>34</v>
      </c>
      <c r="C21" s="3439"/>
    </row>
    <row r="22" spans="1:3" ht="14.25">
      <c r="A22" s="3441"/>
      <c r="B22" s="3438" t="s">
        <v>35</v>
      </c>
      <c r="C22" s="3439"/>
    </row>
    <row r="23" spans="1:3" ht="14.25">
      <c r="A23" s="3441"/>
      <c r="B23" s="3438" t="s">
        <v>36</v>
      </c>
      <c r="C23" s="3439"/>
    </row>
    <row r="24" spans="1:3" ht="14.25">
      <c r="A24" s="3441"/>
      <c r="B24" s="3444" t="s">
        <v>37</v>
      </c>
      <c r="C24" s="1021" t="s">
        <v>775</v>
      </c>
    </row>
    <row r="25" spans="1:3" ht="14.25">
      <c r="A25" s="3441"/>
      <c r="B25" s="3445"/>
      <c r="C25" s="1021" t="s">
        <v>776</v>
      </c>
    </row>
    <row r="26" spans="1:3" ht="14.25">
      <c r="A26" s="3441"/>
      <c r="B26" s="3445"/>
      <c r="C26" s="1021" t="s">
        <v>777</v>
      </c>
    </row>
    <row r="27" spans="1:3" ht="14.25">
      <c r="A27" s="3441"/>
      <c r="B27" s="3445"/>
      <c r="C27" s="1021" t="s">
        <v>778</v>
      </c>
    </row>
    <row r="28" spans="1:3" ht="14.25">
      <c r="A28" s="3441"/>
      <c r="B28" s="3445"/>
      <c r="C28" s="1021" t="s">
        <v>779</v>
      </c>
    </row>
    <row r="29" spans="1:3" ht="14.25">
      <c r="A29" s="3441"/>
      <c r="B29" s="3445"/>
      <c r="C29" s="1021" t="s">
        <v>780</v>
      </c>
    </row>
    <row r="30" spans="1:3" ht="14.25">
      <c r="A30" s="3441"/>
      <c r="B30" s="3445"/>
      <c r="C30" s="1021" t="s">
        <v>781</v>
      </c>
    </row>
    <row r="31" spans="1:3" ht="14.25">
      <c r="A31" s="3441"/>
      <c r="B31" s="3445"/>
      <c r="C31" s="1021" t="s">
        <v>782</v>
      </c>
    </row>
    <row r="32" spans="1:3" ht="14.25">
      <c r="A32" s="3441"/>
      <c r="B32" s="3445"/>
      <c r="C32" s="1021" t="s">
        <v>1181</v>
      </c>
    </row>
    <row r="33" spans="1:3" ht="14.25">
      <c r="A33" s="3441"/>
      <c r="B33" s="3435" t="s">
        <v>1187</v>
      </c>
      <c r="C33" s="1021" t="s">
        <v>1182</v>
      </c>
    </row>
    <row r="34" spans="1:3" ht="14.25">
      <c r="A34" s="3441"/>
      <c r="B34" s="3436"/>
      <c r="C34" s="1026" t="s">
        <v>1183</v>
      </c>
    </row>
    <row r="35" spans="1:3" ht="14.25">
      <c r="A35" s="3441"/>
      <c r="B35" s="3436"/>
      <c r="C35" s="1027" t="s">
        <v>1184</v>
      </c>
    </row>
    <row r="36" spans="1:3" ht="14.25">
      <c r="A36" s="3441"/>
      <c r="B36" s="3436"/>
      <c r="C36" s="1027" t="s">
        <v>1185</v>
      </c>
    </row>
    <row r="37" spans="1:3" ht="14.25">
      <c r="A37" s="3441"/>
      <c r="B37" s="3437"/>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45910</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2228</v>
      </c>
      <c r="B12" s="2565">
        <f ca="1">IF(C12&lt;B2,"已过期",1120040230)</f>
        <v>1120040230</v>
      </c>
      <c r="C12" s="2568">
        <v>45937</v>
      </c>
      <c r="D12" s="2574" t="s">
        <v>2229</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2239</v>
      </c>
      <c r="B15" s="2565" t="str">
        <f ca="1">IF(C15&lt;B2,"已过期",1119980106)</f>
        <v>已过期</v>
      </c>
      <c r="C15" s="2568">
        <v>44969</v>
      </c>
      <c r="D15" s="2574"/>
      <c r="E15" s="2565"/>
      <c r="F15" s="2565"/>
      <c r="G15" s="2560"/>
    </row>
    <row r="16" spans="1:7" ht="20.25" customHeight="1">
      <c r="A16" s="2564" t="s">
        <v>2436</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9" t="s">
        <v>1448</v>
      </c>
      <c r="B18" s="3450"/>
      <c r="C18" s="3450"/>
      <c r="D18" s="3450"/>
      <c r="E18" s="3450"/>
      <c r="F18" s="3450"/>
      <c r="G18" s="2560"/>
    </row>
    <row r="19" spans="1:7" ht="20.25" customHeight="1">
      <c r="A19" s="3446" t="s">
        <v>1449</v>
      </c>
      <c r="B19" s="3446"/>
      <c r="C19" s="3447"/>
      <c r="D19" s="3448" t="s">
        <v>1450</v>
      </c>
      <c r="E19" s="3446"/>
      <c r="F19" s="3446"/>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2437</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8"/>
  </cols>
  <sheetData>
    <row r="1" spans="1:28" s="1029" customFormat="1" ht="40.5">
      <c r="A1" s="882" t="s">
        <v>794</v>
      </c>
      <c r="B1" s="3" t="s">
        <v>99</v>
      </c>
      <c r="C1" s="1293" t="s">
        <v>1237</v>
      </c>
      <c r="D1" s="2048" t="s">
        <v>2749</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c r="X1" s="1293" t="s">
        <v>3313</v>
      </c>
      <c r="Y1" s="1293" t="s">
        <v>3314</v>
      </c>
      <c r="Z1" s="1293" t="s">
        <v>3317</v>
      </c>
      <c r="AA1" s="1293" t="s">
        <v>3315</v>
      </c>
      <c r="AB1" s="1293" t="s">
        <v>3316</v>
      </c>
    </row>
    <row r="2" spans="1:28">
      <c r="A2" s="6" t="s">
        <v>47</v>
      </c>
      <c r="B2" s="6" t="s">
        <v>116</v>
      </c>
      <c r="C2" s="1294" t="s">
        <v>1238</v>
      </c>
      <c r="D2" s="7" t="s">
        <v>48</v>
      </c>
      <c r="E2" s="7" t="s">
        <v>95</v>
      </c>
      <c r="F2" s="7" t="s">
        <v>96</v>
      </c>
      <c r="G2" s="4">
        <v>20</v>
      </c>
      <c r="H2" s="7" t="s">
        <v>97</v>
      </c>
      <c r="I2" s="7" t="s">
        <v>2735</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2449</v>
      </c>
      <c r="Y2" s="9" t="s">
        <v>3311</v>
      </c>
      <c r="Z2" s="9" t="s">
        <v>2463</v>
      </c>
      <c r="AA2" s="9" t="s">
        <v>3312</v>
      </c>
      <c r="AB2" s="9" t="s">
        <v>2493</v>
      </c>
    </row>
    <row r="3" spans="1:28">
      <c r="A3" s="6" t="s">
        <v>52</v>
      </c>
      <c r="B3" s="8" t="s">
        <v>117</v>
      </c>
      <c r="C3" s="1294" t="s">
        <v>1239</v>
      </c>
      <c r="D3" s="7" t="s">
        <v>53</v>
      </c>
      <c r="E3" s="7" t="s">
        <v>3</v>
      </c>
      <c r="F3" s="7" t="s">
        <v>54</v>
      </c>
      <c r="G3" s="7">
        <v>40</v>
      </c>
      <c r="H3" s="7" t="s">
        <v>55</v>
      </c>
      <c r="I3" s="7" t="s">
        <v>2736</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2451</v>
      </c>
      <c r="Z3" s="9" t="s">
        <v>2465</v>
      </c>
      <c r="AB3" s="9" t="s">
        <v>2495</v>
      </c>
    </row>
    <row r="4" spans="1:28">
      <c r="A4" s="6" t="s">
        <v>60</v>
      </c>
      <c r="B4" s="6" t="s">
        <v>118</v>
      </c>
      <c r="C4" s="1294" t="s">
        <v>1240</v>
      </c>
      <c r="D4" s="7" t="s">
        <v>1512</v>
      </c>
      <c r="E4" s="7" t="s">
        <v>61</v>
      </c>
      <c r="F4" s="7" t="s">
        <v>62</v>
      </c>
      <c r="G4" s="7">
        <v>50</v>
      </c>
      <c r="H4" s="7" t="s">
        <v>63</v>
      </c>
      <c r="I4" s="7" t="s">
        <v>2737</v>
      </c>
      <c r="K4" s="7" t="s">
        <v>64</v>
      </c>
      <c r="L4" s="7" t="s">
        <v>64</v>
      </c>
      <c r="M4" s="7" t="s">
        <v>64</v>
      </c>
      <c r="N4" s="7" t="s">
        <v>64</v>
      </c>
      <c r="O4" s="7" t="s">
        <v>64</v>
      </c>
      <c r="P4" s="918" t="s">
        <v>700</v>
      </c>
      <c r="Q4" s="7" t="s">
        <v>64</v>
      </c>
      <c r="R4" s="918" t="s">
        <v>1825</v>
      </c>
      <c r="S4" s="7" t="s">
        <v>64</v>
      </c>
      <c r="T4" s="7" t="s">
        <v>65</v>
      </c>
      <c r="U4" s="7" t="s">
        <v>64</v>
      </c>
      <c r="W4" s="7" t="s">
        <v>814</v>
      </c>
      <c r="X4" s="9" t="s">
        <v>2453</v>
      </c>
      <c r="Z4" s="9" t="s">
        <v>2467</v>
      </c>
      <c r="AB4" s="9" t="s">
        <v>2497</v>
      </c>
    </row>
    <row r="5" spans="1:28">
      <c r="A5" s="6" t="s">
        <v>66</v>
      </c>
      <c r="B5" s="6" t="s">
        <v>119</v>
      </c>
      <c r="C5" s="1294" t="s">
        <v>1241</v>
      </c>
      <c r="F5" s="7" t="s">
        <v>67</v>
      </c>
      <c r="G5" s="7">
        <v>70</v>
      </c>
      <c r="H5" s="7" t="s">
        <v>44</v>
      </c>
      <c r="I5" s="7" t="s">
        <v>2738</v>
      </c>
      <c r="K5" s="7" t="s">
        <v>68</v>
      </c>
      <c r="L5" s="7" t="s">
        <v>68</v>
      </c>
      <c r="M5" s="7" t="s">
        <v>68</v>
      </c>
      <c r="N5" s="7" t="s">
        <v>68</v>
      </c>
      <c r="O5" s="7" t="s">
        <v>68</v>
      </c>
      <c r="P5" s="918" t="s">
        <v>495</v>
      </c>
      <c r="Q5" s="7" t="s">
        <v>68</v>
      </c>
      <c r="R5" s="918" t="s">
        <v>1826</v>
      </c>
      <c r="S5" s="7" t="s">
        <v>68</v>
      </c>
      <c r="T5" s="7" t="s">
        <v>69</v>
      </c>
      <c r="U5" s="7" t="s">
        <v>68</v>
      </c>
      <c r="W5" s="7" t="s">
        <v>815</v>
      </c>
      <c r="X5" s="9" t="s">
        <v>2455</v>
      </c>
      <c r="Z5" s="9" t="s">
        <v>2469</v>
      </c>
      <c r="AB5" s="9" t="s">
        <v>2753</v>
      </c>
    </row>
    <row r="6" spans="1:28">
      <c r="A6" s="6" t="s">
        <v>70</v>
      </c>
      <c r="B6" s="996" t="s">
        <v>1176</v>
      </c>
      <c r="C6" s="1295" t="s">
        <v>1242</v>
      </c>
      <c r="F6" s="7" t="s">
        <v>45</v>
      </c>
      <c r="H6" s="7" t="s">
        <v>46</v>
      </c>
      <c r="I6" s="7" t="s">
        <v>2739</v>
      </c>
      <c r="K6" s="7" t="s">
        <v>71</v>
      </c>
      <c r="L6" s="7" t="s">
        <v>71</v>
      </c>
      <c r="M6" s="7" t="s">
        <v>71</v>
      </c>
      <c r="N6" s="7" t="s">
        <v>71</v>
      </c>
      <c r="O6" s="7" t="s">
        <v>71</v>
      </c>
      <c r="P6" s="918" t="s">
        <v>818</v>
      </c>
      <c r="Q6" s="7" t="s">
        <v>71</v>
      </c>
      <c r="R6" s="918" t="s">
        <v>1827</v>
      </c>
      <c r="S6" s="7" t="s">
        <v>71</v>
      </c>
      <c r="T6" s="7"/>
      <c r="U6" s="7" t="s">
        <v>71</v>
      </c>
      <c r="W6" s="7" t="s">
        <v>816</v>
      </c>
      <c r="X6" s="9" t="s">
        <v>2457</v>
      </c>
      <c r="Z6" s="9" t="s">
        <v>2471</v>
      </c>
      <c r="AB6" s="9" t="s">
        <v>2501</v>
      </c>
    </row>
    <row r="7" spans="1:28">
      <c r="A7" s="6" t="s">
        <v>72</v>
      </c>
      <c r="B7" s="6" t="s">
        <v>73</v>
      </c>
      <c r="C7" s="1294" t="s">
        <v>1243</v>
      </c>
      <c r="F7" s="7" t="s">
        <v>120</v>
      </c>
      <c r="H7" s="7" t="s">
        <v>74</v>
      </c>
      <c r="I7" s="7" t="s">
        <v>2740</v>
      </c>
      <c r="X7" s="9" t="s">
        <v>2459</v>
      </c>
      <c r="Z7" s="9" t="s">
        <v>2473</v>
      </c>
      <c r="AB7" s="9" t="s">
        <v>2503</v>
      </c>
    </row>
    <row r="8" spans="1:28">
      <c r="A8" s="6" t="s">
        <v>75</v>
      </c>
      <c r="B8" s="6" t="s">
        <v>76</v>
      </c>
      <c r="C8" s="1294" t="s">
        <v>1244</v>
      </c>
      <c r="F8" s="7" t="s">
        <v>121</v>
      </c>
      <c r="H8" s="3080" t="s">
        <v>2734</v>
      </c>
      <c r="I8" s="7" t="s">
        <v>2741</v>
      </c>
      <c r="X8" s="9" t="s">
        <v>3307</v>
      </c>
      <c r="Z8" s="9" t="s">
        <v>2475</v>
      </c>
      <c r="AB8" s="9" t="s">
        <v>2505</v>
      </c>
    </row>
    <row r="9" spans="1:28">
      <c r="A9" s="6" t="s">
        <v>77</v>
      </c>
      <c r="B9" s="6" t="s">
        <v>122</v>
      </c>
      <c r="C9" s="1294" t="s">
        <v>1245</v>
      </c>
      <c r="F9" s="7" t="s">
        <v>78</v>
      </c>
      <c r="H9" s="7"/>
      <c r="I9" s="7" t="s">
        <v>2742</v>
      </c>
      <c r="X9" s="9" t="s">
        <v>3309</v>
      </c>
      <c r="Z9" s="9" t="s">
        <v>2477</v>
      </c>
      <c r="AB9" s="9" t="s">
        <v>2507</v>
      </c>
    </row>
    <row r="10" spans="1:28">
      <c r="A10" s="6" t="s">
        <v>79</v>
      </c>
      <c r="B10" s="6" t="s">
        <v>123</v>
      </c>
      <c r="C10" s="1294" t="s">
        <v>1246</v>
      </c>
      <c r="F10" s="3080" t="s">
        <v>2733</v>
      </c>
      <c r="I10" s="7" t="s">
        <v>2743</v>
      </c>
      <c r="Z10" s="9" t="s">
        <v>2479</v>
      </c>
      <c r="AB10" s="9" t="s">
        <v>2509</v>
      </c>
    </row>
    <row r="11" spans="1:28">
      <c r="A11" s="6" t="s">
        <v>80</v>
      </c>
      <c r="B11" s="6" t="s">
        <v>124</v>
      </c>
      <c r="C11" s="1294" t="s">
        <v>1247</v>
      </c>
      <c r="I11" s="7" t="s">
        <v>2744</v>
      </c>
      <c r="Z11" s="9" t="s">
        <v>2481</v>
      </c>
      <c r="AB11" s="9" t="s">
        <v>2511</v>
      </c>
    </row>
    <row r="12" spans="1:28">
      <c r="A12" s="6" t="s">
        <v>81</v>
      </c>
      <c r="B12" s="6" t="s">
        <v>125</v>
      </c>
      <c r="C12" s="1294" t="s">
        <v>1248</v>
      </c>
      <c r="I12" s="7" t="s">
        <v>2745</v>
      </c>
      <c r="Z12" s="9" t="s">
        <v>2484</v>
      </c>
      <c r="AB12" s="9" t="s">
        <v>2513</v>
      </c>
    </row>
    <row r="13" spans="1:28">
      <c r="A13" s="6" t="s">
        <v>82</v>
      </c>
      <c r="B13" s="6" t="s">
        <v>126</v>
      </c>
      <c r="C13" s="1294" t="s">
        <v>1249</v>
      </c>
      <c r="I13" s="7" t="s">
        <v>2746</v>
      </c>
      <c r="Z13" s="9" t="s">
        <v>2486</v>
      </c>
    </row>
    <row r="14" spans="1:28">
      <c r="A14" s="6" t="s">
        <v>83</v>
      </c>
      <c r="B14" s="6" t="s">
        <v>127</v>
      </c>
      <c r="C14" s="1296" t="s">
        <v>1421</v>
      </c>
      <c r="I14" s="7" t="s">
        <v>2747</v>
      </c>
      <c r="Z14" s="9" t="s">
        <v>2488</v>
      </c>
    </row>
    <row r="15" spans="1:28">
      <c r="A15" s="6" t="s">
        <v>84</v>
      </c>
      <c r="B15" s="6" t="s">
        <v>1214</v>
      </c>
      <c r="C15" s="1296"/>
      <c r="I15" s="7" t="s">
        <v>2748</v>
      </c>
    </row>
    <row r="16" spans="1:28">
      <c r="A16" s="6" t="s">
        <v>85</v>
      </c>
      <c r="B16" s="6" t="s">
        <v>1215</v>
      </c>
      <c r="C16" s="1296"/>
    </row>
    <row r="17" spans="1:3">
      <c r="A17" s="6" t="s">
        <v>86</v>
      </c>
      <c r="B17" s="6" t="s">
        <v>1216</v>
      </c>
      <c r="C17" s="1296"/>
    </row>
    <row r="18" spans="1:3">
      <c r="A18" s="6" t="s">
        <v>87</v>
      </c>
      <c r="B18" s="2357" t="s">
        <v>2205</v>
      </c>
      <c r="C18" s="1296"/>
    </row>
    <row r="19" spans="1:3">
      <c r="A19" s="6" t="s">
        <v>88</v>
      </c>
      <c r="B19" s="2357" t="s">
        <v>2212</v>
      </c>
      <c r="C19" s="1296"/>
    </row>
    <row r="20" spans="1:3">
      <c r="A20" s="6" t="s">
        <v>89</v>
      </c>
      <c r="B20" s="2357" t="s">
        <v>2252</v>
      </c>
      <c r="C20" s="1296"/>
    </row>
    <row r="21" spans="1:3">
      <c r="A21" s="6" t="s">
        <v>90</v>
      </c>
      <c r="B21" s="6" t="s">
        <v>2428</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51"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c r="D53" s="1469"/>
      <c r="E53" s="1469"/>
    </row>
    <row r="54" spans="1:5">
      <c r="A54" s="3451"/>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1"/>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1"/>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1"/>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2025-09-10T02:04:08Z</dcterms:modified>
</cp:coreProperties>
</file>